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2023-00191 - PSC Discovery/PSC Rehearing (RR) Set 1/"/>
    </mc:Choice>
  </mc:AlternateContent>
  <xr:revisionPtr revIDLastSave="41" documentId="13_ncr:1_{FE6AAA6A-9EE8-4BBE-99A9-5E139812651C}" xr6:coauthVersionLast="47" xr6:coauthVersionMax="47" xr10:uidLastSave="{07DFBA95-FAFB-49EE-A16F-8A9AAE4D963D}"/>
  <bookViews>
    <workbookView xWindow="-98" yWindow="-98" windowWidth="21795" windowHeight="13875" activeTab="2" xr2:uid="{96897899-E14B-4A52-97C7-E20A27622F72}"/>
  </bookViews>
  <sheets>
    <sheet name="Page 1" sheetId="1" r:id="rId1"/>
    <sheet name="Page 2" sheetId="6" r:id="rId2"/>
    <sheet name="Page 3" sheetId="3" r:id="rId3"/>
    <sheet name="Page 4" sheetId="2" r:id="rId4"/>
    <sheet name="Page 5" sheetId="4" r:id="rId5"/>
  </sheets>
  <definedNames>
    <definedName name="_000">#REF!</definedName>
    <definedName name="_1_13MO_M_S">#REF!</definedName>
    <definedName name="_2_6MO_ACT">#REF!</definedName>
    <definedName name="_3_6MO_ACT_UPIS">#REF!</definedName>
    <definedName name="ACCUMRES">#REF!</definedName>
    <definedName name="CostOfEquityRate1">#REF!</definedName>
    <definedName name="CostOfEquityRate2">#REF!</definedName>
    <definedName name="DATAW">#REF!</definedName>
    <definedName name="DEPR_DB">#REF!</definedName>
    <definedName name="DEPR_EXP">#REF!</definedName>
    <definedName name="LIST">#REF!</definedName>
    <definedName name="LIST2">#REF!</definedName>
    <definedName name="NEWCOSTS">#REF!</definedName>
    <definedName name="_xlnm.Print_Area" localSheetId="0">'Page 1'!$A$1:$E$53</definedName>
    <definedName name="_xlnm.Print_Area" localSheetId="2">'Page 3'!$A$1:$M$71</definedName>
    <definedName name="_xlnm.Print_Area" localSheetId="3">'Page 4'!$A$1:$G$33</definedName>
    <definedName name="_xlnm.Print_Area" localSheetId="4">'Page 5'!$A$1:$U$32</definedName>
    <definedName name="SCH_B">#REF!</definedName>
    <definedName name="TaxRate">#REF!</definedName>
    <definedName name="UPIS">#REF!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Z_2E9FC00E_19D3_4355_A260_417D9236B30F_.wvu.PrintArea" localSheetId="2" hidden="1">'Page 3'!$A$1:$M$70</definedName>
    <definedName name="Z_AE1B1716_57F4_4705_A4F2_7A8CD44D74C3_.wvu.PrintArea" localSheetId="2" hidden="1">'Page 3'!$A$1:$M$71</definedName>
    <definedName name="Z_C98D41B4_6B7D_46F8_862F_B1C92554BE39_.wvu.PrintArea" localSheetId="2" hidden="1">'Page 3'!$A$1:$M$70</definedName>
    <definedName name="Z_CEC57B47_E6EC_4FDA_BCFD_6AC6A66DD178_.wvu.PrintArea" localSheetId="2" hidden="1">'Page 3'!$A$1:$M$70</definedName>
    <definedName name="Z_D80F9502_1760_4B4D_BEE6_65B7268CEFF2_.wvu.PrintArea" localSheetId="2" hidden="1">'Page 3'!$A$1:$M$71</definedName>
    <definedName name="Z_E163314F_53A2_4A2F_A9CF_3F94F0129118_.wvu.PrintArea" localSheetId="2" hidden="1">'Page 3'!$A$1:$M$70</definedName>
    <definedName name="Z_F5B97444_16EA_4AA7_9A70_95BB0AFD8284_.wvu.PrintArea" localSheetId="2" hidden="1">'Page 3'!$A$1:$M$70</definedName>
    <definedName name="Z_F8C3F9F4_DBFA_417E_A63C_4DCF6CDDDD4D_.wvu.PrintArea" localSheetId="2" hidden="1">'Page 3'!$A$1:$M$70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3" l="1"/>
  <c r="J57" i="3"/>
  <c r="K57" i="3" s="1"/>
  <c r="J63" i="3"/>
  <c r="J44" i="3"/>
  <c r="I44" i="3"/>
  <c r="C38" i="1"/>
  <c r="C40" i="1" s="1"/>
  <c r="C37" i="1"/>
  <c r="C28" i="1"/>
  <c r="C27" i="1"/>
  <c r="C26" i="1"/>
  <c r="C25" i="1"/>
  <c r="C24" i="1"/>
  <c r="C23" i="1"/>
  <c r="C22" i="1"/>
  <c r="C18" i="1"/>
  <c r="I24" i="6"/>
  <c r="I57" i="6" s="1"/>
  <c r="S24" i="4"/>
  <c r="S22" i="4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18" i="4"/>
  <c r="I63" i="3"/>
  <c r="I62" i="3"/>
  <c r="K62" i="3" s="1"/>
  <c r="K61" i="3"/>
  <c r="G61" i="3"/>
  <c r="H61" i="3"/>
  <c r="K60" i="3"/>
  <c r="G60" i="3"/>
  <c r="K58" i="3"/>
  <c r="G58" i="3"/>
  <c r="G57" i="3"/>
  <c r="H57" i="3"/>
  <c r="I54" i="3"/>
  <c r="K54" i="3" s="1"/>
  <c r="I53" i="3"/>
  <c r="K53" i="3" s="1"/>
  <c r="I52" i="3"/>
  <c r="E64" i="3"/>
  <c r="I48" i="3"/>
  <c r="K48" i="3" s="1"/>
  <c r="I47" i="3"/>
  <c r="K47" i="3" s="1"/>
  <c r="I46" i="3"/>
  <c r="K46" i="3" s="1"/>
  <c r="I45" i="3"/>
  <c r="K45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K30" i="3"/>
  <c r="I30" i="3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G49" i="3"/>
  <c r="F49" i="3"/>
  <c r="E49" i="3"/>
  <c r="E66" i="3" s="1"/>
  <c r="H20" i="3"/>
  <c r="E20" i="3"/>
  <c r="K19" i="3"/>
  <c r="G19" i="3"/>
  <c r="G20" i="3" s="1"/>
  <c r="I18" i="3"/>
  <c r="K18" i="3" s="1"/>
  <c r="J20" i="3"/>
  <c r="F20" i="3"/>
  <c r="D19" i="2"/>
  <c r="D20" i="2"/>
  <c r="C35" i="1"/>
  <c r="C34" i="1"/>
  <c r="E2" i="1"/>
  <c r="J64" i="3" l="1"/>
  <c r="K63" i="3"/>
  <c r="H49" i="3"/>
  <c r="G26" i="4"/>
  <c r="I22" i="4" s="1"/>
  <c r="E68" i="3"/>
  <c r="G64" i="3"/>
  <c r="H60" i="3"/>
  <c r="F68" i="3"/>
  <c r="I64" i="3"/>
  <c r="K52" i="3"/>
  <c r="K64" i="3" s="1"/>
  <c r="F66" i="3"/>
  <c r="G66" i="3"/>
  <c r="G68" i="3" s="1"/>
  <c r="H58" i="3"/>
  <c r="H64" i="3" s="1"/>
  <c r="I49" i="3"/>
  <c r="I17" i="3"/>
  <c r="F64" i="3"/>
  <c r="D21" i="2"/>
  <c r="H66" i="3" l="1"/>
  <c r="H68" i="3" s="1"/>
  <c r="I66" i="3"/>
  <c r="C21" i="1"/>
  <c r="C29" i="1" s="1"/>
  <c r="C31" i="1" s="1"/>
  <c r="C42" i="1" s="1"/>
  <c r="C44" i="1" s="1"/>
  <c r="Q22" i="4"/>
  <c r="U22" i="4" s="1"/>
  <c r="K22" i="4"/>
  <c r="M22" i="4" s="1"/>
  <c r="I20" i="4"/>
  <c r="I18" i="4"/>
  <c r="K17" i="3"/>
  <c r="K20" i="3" s="1"/>
  <c r="I20" i="3"/>
  <c r="D24" i="2"/>
  <c r="D25" i="2"/>
  <c r="I68" i="3" l="1"/>
  <c r="I24" i="4"/>
  <c r="K18" i="4"/>
  <c r="Q18" i="4"/>
  <c r="K20" i="4"/>
  <c r="M20" i="4" s="1"/>
  <c r="Q20" i="4"/>
  <c r="U20" i="4" s="1"/>
  <c r="D27" i="2"/>
  <c r="M18" i="4" l="1"/>
  <c r="U18" i="4"/>
  <c r="Q24" i="4"/>
  <c r="U24" i="4" s="1"/>
  <c r="K24" i="4"/>
  <c r="M24" i="4" s="1"/>
  <c r="D29" i="2"/>
  <c r="U26" i="4" l="1"/>
  <c r="Q26" i="4"/>
  <c r="M26" i="4"/>
  <c r="K26" i="4"/>
  <c r="D31" i="2"/>
  <c r="E20" i="2"/>
  <c r="E19" i="2"/>
  <c r="E29" i="2" s="1"/>
  <c r="E24" i="2"/>
  <c r="E27" i="2"/>
  <c r="C46" i="1" l="1"/>
  <c r="C48" i="1" s="1"/>
  <c r="C50" i="1" l="1"/>
  <c r="C52" i="1"/>
  <c r="K44" i="3"/>
  <c r="J49" i="3"/>
  <c r="J66" i="3" s="1"/>
  <c r="J68" i="3" s="1"/>
  <c r="K49" i="3"/>
  <c r="K66" i="3" s="1"/>
  <c r="K68" i="3" s="1"/>
</calcChain>
</file>

<file path=xl/sharedStrings.xml><?xml version="1.0" encoding="utf-8"?>
<sst xmlns="http://schemas.openxmlformats.org/spreadsheetml/2006/main" count="398" uniqueCount="277">
  <si>
    <t>Exhibit 37, Schedule A</t>
  </si>
  <si>
    <t>Witness: L. Bridwell</t>
  </si>
  <si>
    <t>Kentucky American Water Company</t>
  </si>
  <si>
    <t>Case No. 2023-00191</t>
  </si>
  <si>
    <t>Jurisdictional Financial Summary for the Base and Forecast Period Detailing Derivation of the Requested Revenue Increase</t>
  </si>
  <si>
    <r>
      <t xml:space="preserve">Data: </t>
    </r>
    <r>
      <rPr>
        <u/>
        <sz val="11"/>
        <color indexed="8"/>
        <rFont val="Aptos Narrow"/>
        <family val="2"/>
        <scheme val="minor"/>
      </rPr>
      <t xml:space="preserve">X </t>
    </r>
    <r>
      <rPr>
        <sz val="11"/>
        <color indexed="8"/>
        <rFont val="Aptos Narrow"/>
        <family val="2"/>
        <scheme val="minor"/>
      </rPr>
      <t xml:space="preserve">Base Period  </t>
    </r>
    <r>
      <rPr>
        <u/>
        <sz val="11"/>
        <color indexed="8"/>
        <rFont val="Calibri"/>
        <family val="2"/>
      </rPr>
      <t xml:space="preserve">X </t>
    </r>
    <r>
      <rPr>
        <sz val="11"/>
        <color indexed="8"/>
        <rFont val="Aptos Narrow"/>
        <family val="2"/>
        <scheme val="minor"/>
      </rPr>
      <t>Forecast Period</t>
    </r>
  </si>
  <si>
    <t>Exhibits - Order\[KAWC 2023 Rate Case - Revenue Requirement and Conversion Factor.xlsx]Rev Requirement - SCH A</t>
  </si>
  <si>
    <r>
      <t xml:space="preserve">Version: _ Original </t>
    </r>
    <r>
      <rPr>
        <u/>
        <sz val="11"/>
        <rFont val="Aptos Narrow"/>
        <family val="2"/>
        <scheme val="minor"/>
      </rPr>
      <t>X</t>
    </r>
    <r>
      <rPr>
        <sz val="11"/>
        <rFont val="Aptos Narrow"/>
        <family val="2"/>
        <scheme val="minor"/>
      </rPr>
      <t xml:space="preserve"> Updated _Revised</t>
    </r>
  </si>
  <si>
    <t>Forecast Period</t>
  </si>
  <si>
    <t>Support Schedule</t>
  </si>
  <si>
    <t>Line #</t>
  </si>
  <si>
    <t>Ending January 31, 2025</t>
  </si>
  <si>
    <t>Reference</t>
  </si>
  <si>
    <t>Excel Reference</t>
  </si>
  <si>
    <t>Present Rate Utility Operating Income:</t>
  </si>
  <si>
    <t>Operating Revenue at Present Rates:</t>
  </si>
  <si>
    <t>Exhibit 37 Schedule C-1</t>
  </si>
  <si>
    <t>Exhibits - Order\[KAWC 2023 Rate Case - Income Statement.xlsx]Inc Statment - SCH C.1</t>
  </si>
  <si>
    <t>Less: Deductions:</t>
  </si>
  <si>
    <t>Operating and Maintenance</t>
  </si>
  <si>
    <t>Depreciation</t>
  </si>
  <si>
    <t>Amortization of UPAA</t>
  </si>
  <si>
    <t>Amortization Expense</t>
  </si>
  <si>
    <t>State Income Taxes</t>
  </si>
  <si>
    <t>Federal Income Taxes</t>
  </si>
  <si>
    <t>Investment Tax Credits</t>
  </si>
  <si>
    <t>General Taxes:</t>
  </si>
  <si>
    <t>Total Deductions (Sum Lines 7 - 15):</t>
  </si>
  <si>
    <t>Present Rate Operating Income (Line 4 - Line 16):</t>
  </si>
  <si>
    <t>Revenue Requirement and Increase Comparison:</t>
  </si>
  <si>
    <t>Net Original Cost Rate Base</t>
  </si>
  <si>
    <t>Exhibit 37 Schedule B-1</t>
  </si>
  <si>
    <t>Rate Base\[KAWC 2023 Rate Case - Exhibit 37 Schedules B1 - B8.xlsx]Sch B-1</t>
  </si>
  <si>
    <t>Rate of Return</t>
  </si>
  <si>
    <t>Exhibit 37 Schedule J-1.1</t>
  </si>
  <si>
    <t>Capital Structure\[KAWC 2023 Rate Case - Capital Structure.xlsx]Sch J-1</t>
  </si>
  <si>
    <t>Operating Income Required (Line 24 x Line 25):</t>
  </si>
  <si>
    <t>Less:  Operating Income at Present Rates (Line 18):</t>
  </si>
  <si>
    <t>Increase in Operating Income Required (Line 27 - Line 29)</t>
  </si>
  <si>
    <t>Gross Revenue Conversion Factor</t>
  </si>
  <si>
    <t>Exhibit 37, Schedule H</t>
  </si>
  <si>
    <t>Exhibits - Order\[KAWC 2023 Rate Case - Revenue Requirement and Conversion Factor.xlsx]Rev Conversion Factor - SCH H</t>
  </si>
  <si>
    <t>Requested Revenue Increase (Line 31 x Line 33)</t>
  </si>
  <si>
    <t>Percent Increase over Operating Revenue at Present Rates
(Line 35 / Line 4):</t>
  </si>
  <si>
    <t>Revenue Requirement (Line 4 + Line 35)</t>
  </si>
  <si>
    <t>KENTUCKY-AMERICAN WATER COMPANY</t>
  </si>
  <si>
    <t>RATE BASE SUMMARY</t>
  </si>
  <si>
    <t>Forecast Year at January 31, 2025</t>
  </si>
  <si>
    <t>EXHIBIT 37, SCHEDULE B-1</t>
  </si>
  <si>
    <t>DATA: ___ BASE PERIOD _X_ FORECASTED PERIOD</t>
  </si>
  <si>
    <t>TYPE OF FILING:  __ ORIGINAL _ X_ UPDATED __ REVISED</t>
  </si>
  <si>
    <t>Supporting</t>
  </si>
  <si>
    <t>13 Month Avg</t>
  </si>
  <si>
    <t>Line</t>
  </si>
  <si>
    <t>Schedule</t>
  </si>
  <si>
    <t>Forecasted</t>
  </si>
  <si>
    <t>No.</t>
  </si>
  <si>
    <t>Rate Base Component</t>
  </si>
  <si>
    <t>Period Amount</t>
  </si>
  <si>
    <t>Utility Plant In Service</t>
  </si>
  <si>
    <t>B-2</t>
  </si>
  <si>
    <t>Property Held for Future Use</t>
  </si>
  <si>
    <t>B-2.6</t>
  </si>
  <si>
    <t>Utility Plant Acquisition Adjustments</t>
  </si>
  <si>
    <t>WP - 1-14</t>
  </si>
  <si>
    <t>Accumulated Depreciation</t>
  </si>
  <si>
    <t>B-3</t>
  </si>
  <si>
    <t>Net Utility Plant In Service</t>
  </si>
  <si>
    <t>Construction Work in Progress</t>
  </si>
  <si>
    <t>B-4</t>
  </si>
  <si>
    <t>Working Capital Allowance</t>
  </si>
  <si>
    <t>B-5/W/P - 1-13</t>
  </si>
  <si>
    <t>Other  Working Capital Allowance</t>
  </si>
  <si>
    <t>B-5 &amp; W/P - 1-5</t>
  </si>
  <si>
    <t>Contributions in Aid of Construction</t>
  </si>
  <si>
    <t>B-6</t>
  </si>
  <si>
    <t>Customer Advances</t>
  </si>
  <si>
    <t>Deferred Income Taxes</t>
  </si>
  <si>
    <t xml:space="preserve">Deferred Investment Tax Credits </t>
  </si>
  <si>
    <t>Deferred Maintenance</t>
  </si>
  <si>
    <t>W/P-1-10</t>
  </si>
  <si>
    <t>Deferred Debits</t>
  </si>
  <si>
    <t>W/P-1-11</t>
  </si>
  <si>
    <t>Other Rate Base Elements</t>
  </si>
  <si>
    <t>W/P-1-12</t>
  </si>
  <si>
    <t>Jurisdictional Rate Base</t>
  </si>
  <si>
    <t>Exhibit 37, Schedule C-1</t>
  </si>
  <si>
    <t>Jurisdictional Operating Income Summary for the Base and Forecasted Periods</t>
  </si>
  <si>
    <r>
      <t xml:space="preserve">Data: </t>
    </r>
    <r>
      <rPr>
        <u/>
        <sz val="11"/>
        <color indexed="8"/>
        <rFont val="Aptos Narrow"/>
        <family val="2"/>
        <scheme val="minor"/>
      </rPr>
      <t xml:space="preserve">X </t>
    </r>
    <r>
      <rPr>
        <sz val="11"/>
        <color indexed="8"/>
        <rFont val="Aptos Narrow"/>
        <family val="2"/>
        <scheme val="minor"/>
      </rPr>
      <t xml:space="preserve">Base Period  </t>
    </r>
    <r>
      <rPr>
        <u/>
        <sz val="11"/>
        <color indexed="8"/>
        <rFont val="Aptos Narrow"/>
        <family val="2"/>
        <scheme val="minor"/>
      </rPr>
      <t xml:space="preserve">X </t>
    </r>
    <r>
      <rPr>
        <sz val="11"/>
        <color indexed="8"/>
        <rFont val="Aptos Narrow"/>
        <family val="2"/>
        <scheme val="minor"/>
      </rPr>
      <t>Forecast Period</t>
    </r>
  </si>
  <si>
    <t>Base</t>
  </si>
  <si>
    <t xml:space="preserve">Commission </t>
  </si>
  <si>
    <t xml:space="preserve">Corrections </t>
  </si>
  <si>
    <t>Forecast Year Ending</t>
  </si>
  <si>
    <t>Adjustment</t>
  </si>
  <si>
    <t>Forecast</t>
  </si>
  <si>
    <t>Major</t>
  </si>
  <si>
    <t>Period</t>
  </si>
  <si>
    <t>Adjustments</t>
  </si>
  <si>
    <t>based on</t>
  </si>
  <si>
    <t>for</t>
  </si>
  <si>
    <t>Year at</t>
  </si>
  <si>
    <t xml:space="preserve">Forecast </t>
  </si>
  <si>
    <t>Acct.</t>
  </si>
  <si>
    <t>Ending</t>
  </si>
  <si>
    <t>Direct Filed</t>
  </si>
  <si>
    <t>As Presented</t>
  </si>
  <si>
    <t>Commission Order</t>
  </si>
  <si>
    <t>At Present</t>
  </si>
  <si>
    <t>Proposed</t>
  </si>
  <si>
    <t>Group</t>
  </si>
  <si>
    <t>Description</t>
  </si>
  <si>
    <t>on Appendix A</t>
  </si>
  <si>
    <t>Requirements</t>
  </si>
  <si>
    <t>Rates</t>
  </si>
  <si>
    <t>Workpaper</t>
  </si>
  <si>
    <t>Workpaper Location</t>
  </si>
  <si>
    <t>Operating Revenues</t>
  </si>
  <si>
    <t>Water Revenues</t>
  </si>
  <si>
    <t>Exh 37 C-2</t>
  </si>
  <si>
    <t>Exhibit 37, Schedule M-1</t>
  </si>
  <si>
    <t>Revenues\[KAWC 2023 Rate Case - Exhibits (25, 26, 37 ) Revenue WP Support.xlsm]LinkOut</t>
  </si>
  <si>
    <t>Other Revenues</t>
  </si>
  <si>
    <t>AFUDC</t>
  </si>
  <si>
    <t>Exh 37 C-3</t>
  </si>
  <si>
    <t>W/P - 1-4</t>
  </si>
  <si>
    <t>Rate Base\[KAWC 2023 Rate Case - Capital-Depr Exp.xlsx]Link Out</t>
  </si>
  <si>
    <t>Total</t>
  </si>
  <si>
    <t>Total Revenues (Sum Lines 2-3)</t>
  </si>
  <si>
    <t>Operating Expenses</t>
  </si>
  <si>
    <t>O&amp;M:</t>
  </si>
  <si>
    <t>Purchased Water</t>
  </si>
  <si>
    <t>W/P - 3-2</t>
  </si>
  <si>
    <t>O&amp;M\[KAWC 2023 Rate Case - Purchased Water Exhibit.xlsx]Exhibit</t>
  </si>
  <si>
    <t>Fuel &amp; Power</t>
  </si>
  <si>
    <t>W/P - 3-3</t>
  </si>
  <si>
    <t>O&amp;M\[KAWC 2023 Rate Case - Fuel and Power Exhibit.xlsx]Exhibit</t>
  </si>
  <si>
    <t>Chemicals</t>
  </si>
  <si>
    <t>W/P - 3-4</t>
  </si>
  <si>
    <t>O&amp;M\[KAWC 2023 Rate Case - Chemicals Exhibit.xlsx]Exhibit</t>
  </si>
  <si>
    <t>Waste Disposal</t>
  </si>
  <si>
    <t>W/P - 3-5</t>
  </si>
  <si>
    <t>O&amp;M\[KAWC 2023 Rate Case - Waste Disposal Exhibit.xlsx]Exhibit</t>
  </si>
  <si>
    <t>Salaries and Wages</t>
  </si>
  <si>
    <t>W/P - 3-1</t>
  </si>
  <si>
    <t>O&amp;M\[KAWC 2023 Rate Case - Labor and Labor Related Exhibit.xlsx]Labor Exhibit</t>
  </si>
  <si>
    <t>Pension</t>
  </si>
  <si>
    <t>W/P - 3-1c</t>
  </si>
  <si>
    <t>O&amp;M\[KAWC 2023 Rate Case - Labor and Labor Related Exhibit.xlsx]Pension Exhibit</t>
  </si>
  <si>
    <t>OPEB</t>
  </si>
  <si>
    <t>W/P - 3-1a</t>
  </si>
  <si>
    <t>O&amp;M\[KAWC 2023 Rate Case - Labor and Labor Related Exhibit.xlsx]Group Ins Exhibit</t>
  </si>
  <si>
    <t>Group Insurance</t>
  </si>
  <si>
    <t>Other Benefits</t>
  </si>
  <si>
    <t>W/P - 3-1b</t>
  </si>
  <si>
    <t>O&amp;M\[KAWC 2023 Rate Case - Labor and Labor Related Exhibit.xlsx]Other Benefits Exhibit</t>
  </si>
  <si>
    <t>Support Services</t>
  </si>
  <si>
    <t>W/P - 3-7</t>
  </si>
  <si>
    <t>O&amp;M\[KAWC 2023 Rate Case - Support Services Exhibit.xlsx]Exhibit</t>
  </si>
  <si>
    <t>Contract Services</t>
  </si>
  <si>
    <t>W/P - 3-18</t>
  </si>
  <si>
    <t>O&amp;M\[KAWC 2023 Rate Case - Contract Services Exhibit.xlsx]Exhibit</t>
  </si>
  <si>
    <t>Building Maintenance &amp; Services</t>
  </si>
  <si>
    <t>W/P - 3-12</t>
  </si>
  <si>
    <t>O&amp;M\[KAWC 2023 Rate Case - Building Maintenance &amp; Services Exhibit.xlsx]Exhibit</t>
  </si>
  <si>
    <t>Telecommunications</t>
  </si>
  <si>
    <t>W/P - 3-14</t>
  </si>
  <si>
    <t>O&amp;M\[KAWC 2023 Rate Case - Telecommunications Exhibit.xlsx]Exhibit</t>
  </si>
  <si>
    <t>Postage, Printing, &amp; Stationary</t>
  </si>
  <si>
    <t>W/P - 3-15</t>
  </si>
  <si>
    <t>O&amp;M\[KAWC 2023 Rate Case - Postage, Printing &amp; Stationary Exhibit.xlsx]Exhibit</t>
  </si>
  <si>
    <t>Office Supplies &amp; Services</t>
  </si>
  <si>
    <t>W/P - 3-16</t>
  </si>
  <si>
    <t>O&amp;M\[KAWC 2023 Rate Case - Office Supplies Exhibit.xlsx]Exhibit</t>
  </si>
  <si>
    <t>Advertising &amp; Marketing</t>
  </si>
  <si>
    <t>W/P - 3-17</t>
  </si>
  <si>
    <t>O&amp;M\Advertising &amp; Marketing\[KAWC 2023 Rate Case - Advertising &amp; Marketing Exhibit.xlsx]Exhibit</t>
  </si>
  <si>
    <t>Employee Related Expense</t>
  </si>
  <si>
    <t>W/P - 3-19</t>
  </si>
  <si>
    <t>O&amp;M\[KAWC 2023 Rate Case - Employee Related Expense Exhibit.xlsx]Exhibit</t>
  </si>
  <si>
    <t>Miscellaneous Expense</t>
  </si>
  <si>
    <t>W/P - 3-20</t>
  </si>
  <si>
    <t>O&amp;M\[KAWC 2023 Rate Case - Miscellaneous Expense Exhibit vRP.xlsx]Exhibit</t>
  </si>
  <si>
    <t>Rents</t>
  </si>
  <si>
    <t>W/P - 3-11</t>
  </si>
  <si>
    <t>O&amp;M\[KAWC 2023 Rate Case - Rents Exhibit.xlsx]Exhibit</t>
  </si>
  <si>
    <t>Transportation</t>
  </si>
  <si>
    <t>W/P - 3-21</t>
  </si>
  <si>
    <t>O&amp;M\[KAWC 2023 Rate Case - Transportation Exhibit.xlsx]Exhibit</t>
  </si>
  <si>
    <t>Uncollectible Accounts</t>
  </si>
  <si>
    <t>W/P - 3-10</t>
  </si>
  <si>
    <t>O&amp;M\[KAWC 2023 Rate Case - Uncollectibles Expense Exhibit.xlsx]Exhibit</t>
  </si>
  <si>
    <t>Other Customer Accounting</t>
  </si>
  <si>
    <t>W/P - 3-9</t>
  </si>
  <si>
    <t>O&amp;M\[KAWC 2023 Rate Case - Customer Accounting Exhibit.xlsx]Exhibit</t>
  </si>
  <si>
    <t>Regulatory Expense</t>
  </si>
  <si>
    <t>W/P - 3-6</t>
  </si>
  <si>
    <t>O&amp;M\[KAWC 2023 Rate Case - Regulatory Expense Exhibit.xlsx]Exhibit</t>
  </si>
  <si>
    <t>Insurance Other Than Group</t>
  </si>
  <si>
    <t>W/P - 3-8</t>
  </si>
  <si>
    <t>O&amp;M\[KAWC 2023 Rate Case - IOTG Exhibit.xlsx]Exhibit</t>
  </si>
  <si>
    <t>Maintenance Supplies &amp; Services</t>
  </si>
  <si>
    <t>W/P - 3-13</t>
  </si>
  <si>
    <t>O&amp;M\[KAWC 2023 Rate Case - Maintenance Supplies &amp; Services Exhibit.xlsx]Exhibit</t>
  </si>
  <si>
    <t>Total O&amp;M Expenses (Sum of Lines 9-32):</t>
  </si>
  <si>
    <t>Other Expenses</t>
  </si>
  <si>
    <t>Depreciation - Net of CIAC Amort</t>
  </si>
  <si>
    <t>W/P - 4-1</t>
  </si>
  <si>
    <t>W/P - 4-2</t>
  </si>
  <si>
    <t>Rate Base\[KAWC 2023 Rate Case - Amortization Expense.xlsx]Exhibit</t>
  </si>
  <si>
    <t>State Income Tax</t>
  </si>
  <si>
    <t>Current State Income Tax</t>
  </si>
  <si>
    <t>SCHEDULE E-1.4</t>
  </si>
  <si>
    <t>Taxes\[KAWC 2023 Rate Case - Income Tax Exhibit.xlsx]E-1.4 State Inc Tax Forecast</t>
  </si>
  <si>
    <t>Deferred State Income Tax</t>
  </si>
  <si>
    <t>Federal Tax</t>
  </si>
  <si>
    <t>Current Federal Income Tax</t>
  </si>
  <si>
    <t>SCHEDULE E-1.3</t>
  </si>
  <si>
    <t>Taxes\[KAWC 2023 Rate Case - Income Tax Exhibit.xlsx]E-1.3 Federal Inc Tax Forecast</t>
  </si>
  <si>
    <t>Deferred Federal Income Tax</t>
  </si>
  <si>
    <t>Taxes\[KAWC 2023 Rate Case - Income Tax Exhibi.xlsx]E-1.3 Federal Inc Tax Forecast</t>
  </si>
  <si>
    <t>General Taxes</t>
  </si>
  <si>
    <t>W/P - 5-1, 5-2, 5-3, 5-4</t>
  </si>
  <si>
    <t>O&amp;M\[KAWC 2023 Rate Case - Property Tax Exhibit.xlsx]Exhibit
O&amp;M\[KAWC 2023 Rate Case - PSC Fees Exhibit.xlsx]Exhibit
O&amp;M\[KAWC 2023 Rate Case - Labor and Labor Related Exhibit.xlsx]Payroll Tax Exhibit
O&amp;M\[KAWC 2023 Rate Case - Taxes &amp; Licenses Exhibit.xlsx]Exhibit</t>
  </si>
  <si>
    <t>Total Other Expense (Sum of Lines 36 -41)</t>
  </si>
  <si>
    <t>Total Expenses (Line 33 + Lines 42):</t>
  </si>
  <si>
    <t>Utility Operating Income (Line 5 - Line 44):</t>
  </si>
  <si>
    <t>Witness: G. VerDouw</t>
  </si>
  <si>
    <t>Computation of the Gross Revenue Conversion Factor for the Forecast Period</t>
  </si>
  <si>
    <t>Gross</t>
  </si>
  <si>
    <t>Revenue</t>
  </si>
  <si>
    <t>Percent of</t>
  </si>
  <si>
    <t>Conversion</t>
  </si>
  <si>
    <t>#</t>
  </si>
  <si>
    <t>Gross Revenue Conversion Factor Calculation</t>
  </si>
  <si>
    <t>Rate</t>
  </si>
  <si>
    <t>Factor %</t>
  </si>
  <si>
    <t>Conversion Factor</t>
  </si>
  <si>
    <t>Gross Income from Revenue</t>
  </si>
  <si>
    <t>Less:  Bad Debt Rate/ Uncollectible Expense</t>
  </si>
  <si>
    <t>Less: PSC / Utility Reg Assessment Fee</t>
  </si>
  <si>
    <t>W/P - 5-2</t>
  </si>
  <si>
    <t>O&amp;M\[KAWC 2023 Rate Case - PSC Fees Exhibit.xlsx]Exhibit</t>
  </si>
  <si>
    <t>Net Income After Uncollectibles &amp; Reg Assessment Fees</t>
  </si>
  <si>
    <t>Less:  State Income Tax @ 5.0%</t>
  </si>
  <si>
    <t>Net Income After Uncollectibles, Reg Assessment Fees &amp; State Tax</t>
  </si>
  <si>
    <t>Less: Federal income Tax @ 21%</t>
  </si>
  <si>
    <t>Net Income After Uncollectibles, Reg Assessment Fees, &amp; State &amp; Federal Income Taxes:</t>
  </si>
  <si>
    <t>Gross Revenue Conversion Factor (1 / Line 13)</t>
  </si>
  <si>
    <t>Cost of Capital Summary</t>
  </si>
  <si>
    <t>13-Month Average For Forecast Period Ending January 31, 2025</t>
  </si>
  <si>
    <t>Data:  ___ Base Period _X_ Forecasted Period</t>
  </si>
  <si>
    <t>Exhibit 37, Schedule J-1</t>
  </si>
  <si>
    <t>Type of Filing: _____ Original  __X__ Updated  _____ Revised</t>
  </si>
  <si>
    <t>13-Month</t>
  </si>
  <si>
    <t>Class of</t>
  </si>
  <si>
    <t>Average Net</t>
  </si>
  <si>
    <t>Adjusted</t>
  </si>
  <si>
    <t>Average</t>
  </si>
  <si>
    <t>Pre-Tax</t>
  </si>
  <si>
    <t>Capital</t>
  </si>
  <si>
    <t>Carrying Amount</t>
  </si>
  <si>
    <t>% of Total</t>
  </si>
  <si>
    <t>Add (1)</t>
  </si>
  <si>
    <t>Cost Rate</t>
  </si>
  <si>
    <t>Weighted Cost</t>
  </si>
  <si>
    <t>Short-Term Debt</t>
  </si>
  <si>
    <t>W/P - 7-3</t>
  </si>
  <si>
    <t>Long-Term Debt</t>
  </si>
  <si>
    <t>W/P - 7-4</t>
  </si>
  <si>
    <t>Preferred Stock</t>
  </si>
  <si>
    <t>W/P - 7-5</t>
  </si>
  <si>
    <t>Common Equity</t>
  </si>
  <si>
    <t>W/P - 7-6</t>
  </si>
  <si>
    <t xml:space="preserve">    Total Capital</t>
  </si>
  <si>
    <t xml:space="preserve"> </t>
  </si>
  <si>
    <t>(1) JDITC:</t>
  </si>
  <si>
    <t>W/P - 7-7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</si>
</sst>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_(&quot;$&quot;* #,##0.0000_);_(&quot;$&quot;* \(#,##0.0000\);_(&quot;$&quot;* &quot;-&quot;????_);_(@_)"/>
    <numFmt numFmtId="168" formatCode="0.000%"/>
    <numFmt numFmtId="169" formatCode="[$-409]mmmm\ d\,\ yyyy;@"/>
    <numFmt numFmtId="170" formatCode="mm/dd/yy"/>
    <numFmt numFmtId="171" formatCode="0.0%"/>
    <numFmt numFmtId="172" formatCode="&quot;$&quot;#,##0"/>
    <numFmt numFmtId="173" formatCode="&quot;$&quot;#,##0.00"/>
  </numFmts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2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indexed="8"/>
      <name val="Aptos Narrow"/>
      <family val="2"/>
      <scheme val="minor"/>
    </font>
    <font>
      <u/>
      <sz val="11"/>
      <color indexed="8"/>
      <name val="Calibri"/>
      <family val="2"/>
    </font>
    <font>
      <u/>
      <sz val="11"/>
      <name val="Aptos Narrow"/>
      <family val="2"/>
      <scheme val="minor"/>
    </font>
    <font>
      <b/>
      <u/>
      <sz val="11"/>
      <name val="Aptos Narrow"/>
      <family val="2"/>
      <scheme val="minor"/>
    </font>
    <font>
      <sz val="11"/>
      <name val="Arial"/>
      <family val="2"/>
    </font>
    <font>
      <b/>
      <sz val="11"/>
      <color indexed="8"/>
      <name val="Aptos Narrow"/>
      <family val="2"/>
      <scheme val="minor"/>
    </font>
    <font>
      <b/>
      <u/>
      <sz val="11"/>
      <color indexed="8"/>
      <name val="Aptos Narrow"/>
      <family val="2"/>
      <scheme val="minor"/>
    </font>
    <font>
      <sz val="11"/>
      <color indexed="12"/>
      <name val="Aptos Narrow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" fontId="7" fillId="0" borderId="0"/>
    <xf numFmtId="0" fontId="4" fillId="0" borderId="0"/>
    <xf numFmtId="9" fontId="4" fillId="0" borderId="0" applyFont="0" applyFill="0" applyBorder="0" applyAlignment="0" applyProtection="0"/>
    <xf numFmtId="0" fontId="17" fillId="0" borderId="0"/>
    <xf numFmtId="0" fontId="19" fillId="0" borderId="0"/>
  </cellStyleXfs>
  <cellXfs count="194">
    <xf numFmtId="0" fontId="0" fillId="0" borderId="0" xfId="0"/>
    <xf numFmtId="0" fontId="5" fillId="0" borderId="0" xfId="4" applyFont="1"/>
    <xf numFmtId="0" fontId="6" fillId="0" borderId="0" xfId="4" applyFont="1"/>
    <xf numFmtId="0" fontId="5" fillId="0" borderId="0" xfId="4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4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4" applyFont="1" applyAlignment="1">
      <alignment horizontal="center"/>
    </xf>
    <xf numFmtId="0" fontId="1" fillId="0" borderId="0" xfId="0" applyFont="1" applyAlignment="1">
      <alignment horizontal="right"/>
    </xf>
    <xf numFmtId="3" fontId="8" fillId="0" borderId="0" xfId="5" applyFont="1"/>
    <xf numFmtId="0" fontId="0" fillId="0" borderId="0" xfId="0" applyAlignment="1">
      <alignment horizontal="right"/>
    </xf>
    <xf numFmtId="3" fontId="6" fillId="0" borderId="0" xfId="0" applyNumberFormat="1" applyFont="1"/>
    <xf numFmtId="0" fontId="5" fillId="0" borderId="1" xfId="4" applyFont="1" applyBorder="1" applyAlignment="1">
      <alignment horizontal="center"/>
    </xf>
    <xf numFmtId="0" fontId="5" fillId="0" borderId="1" xfId="4" applyFont="1" applyBorder="1" applyAlignment="1">
      <alignment horizontal="left"/>
    </xf>
    <xf numFmtId="49" fontId="5" fillId="0" borderId="1" xfId="4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4" applyFont="1" applyAlignment="1">
      <alignment horizontal="center"/>
    </xf>
    <xf numFmtId="0" fontId="5" fillId="0" borderId="1" xfId="4" applyFont="1" applyBorder="1"/>
    <xf numFmtId="0" fontId="12" fillId="0" borderId="0" xfId="4" applyFont="1"/>
    <xf numFmtId="0" fontId="12" fillId="0" borderId="0" xfId="4" applyFont="1" applyAlignment="1">
      <alignment horizontal="center"/>
    </xf>
    <xf numFmtId="0" fontId="5" fillId="0" borderId="0" xfId="4" applyFont="1" applyAlignment="1">
      <alignment horizontal="left" indent="1"/>
    </xf>
    <xf numFmtId="5" fontId="6" fillId="0" borderId="2" xfId="4" applyNumberFormat="1" applyFont="1" applyBorder="1"/>
    <xf numFmtId="0" fontId="6" fillId="0" borderId="0" xfId="4" applyFont="1" applyAlignment="1">
      <alignment horizontal="left" indent="1"/>
    </xf>
    <xf numFmtId="5" fontId="6" fillId="0" borderId="0" xfId="4" applyNumberFormat="1" applyFont="1"/>
    <xf numFmtId="0" fontId="12" fillId="0" borderId="0" xfId="4" applyFont="1" applyAlignment="1">
      <alignment horizontal="left" indent="1"/>
    </xf>
    <xf numFmtId="0" fontId="11" fillId="0" borderId="0" xfId="4" applyFont="1" applyAlignment="1">
      <alignment horizontal="center"/>
    </xf>
    <xf numFmtId="164" fontId="6" fillId="0" borderId="0" xfId="4" applyNumberFormat="1" applyFont="1"/>
    <xf numFmtId="0" fontId="6" fillId="0" borderId="1" xfId="4" applyFont="1" applyBorder="1" applyAlignment="1">
      <alignment horizontal="left" indent="1"/>
    </xf>
    <xf numFmtId="5" fontId="6" fillId="0" borderId="3" xfId="4" applyNumberFormat="1" applyFont="1" applyBorder="1"/>
    <xf numFmtId="42" fontId="6" fillId="0" borderId="0" xfId="4" applyNumberFormat="1" applyFont="1"/>
    <xf numFmtId="39" fontId="1" fillId="0" borderId="0" xfId="0" applyNumberFormat="1" applyFont="1"/>
    <xf numFmtId="10" fontId="6" fillId="0" borderId="1" xfId="4" applyNumberFormat="1" applyFont="1" applyBorder="1"/>
    <xf numFmtId="3" fontId="1" fillId="0" borderId="0" xfId="0" applyNumberFormat="1" applyFont="1"/>
    <xf numFmtId="10" fontId="6" fillId="0" borderId="0" xfId="4" applyNumberFormat="1" applyFont="1"/>
    <xf numFmtId="5" fontId="1" fillId="0" borderId="0" xfId="0" applyNumberFormat="1" applyFont="1"/>
    <xf numFmtId="165" fontId="6" fillId="0" borderId="0" xfId="4" applyNumberFormat="1" applyFont="1"/>
    <xf numFmtId="0" fontId="6" fillId="0" borderId="0" xfId="4" applyFont="1" applyAlignment="1">
      <alignment horizontal="right"/>
    </xf>
    <xf numFmtId="5" fontId="6" fillId="0" borderId="1" xfId="4" applyNumberFormat="1" applyFont="1" applyBorder="1"/>
    <xf numFmtId="5" fontId="5" fillId="0" borderId="2" xfId="4" applyNumberFormat="1" applyFont="1" applyBorder="1"/>
    <xf numFmtId="41" fontId="6" fillId="0" borderId="0" xfId="4" applyNumberFormat="1" applyFont="1"/>
    <xf numFmtId="166" fontId="6" fillId="0" borderId="1" xfId="4" applyNumberFormat="1" applyFont="1" applyBorder="1"/>
    <xf numFmtId="0" fontId="1" fillId="0" borderId="0" xfId="0" applyFont="1" applyAlignment="1">
      <alignment horizontal="left" wrapText="1"/>
    </xf>
    <xf numFmtId="5" fontId="6" fillId="0" borderId="0" xfId="4" applyNumberFormat="1" applyFont="1" applyAlignment="1">
      <alignment horizontal="center"/>
    </xf>
    <xf numFmtId="167" fontId="1" fillId="0" borderId="0" xfId="0" applyNumberFormat="1" applyFont="1"/>
    <xf numFmtId="164" fontId="6" fillId="0" borderId="0" xfId="1" applyNumberFormat="1" applyFont="1" applyFill="1"/>
    <xf numFmtId="164" fontId="6" fillId="0" borderId="0" xfId="4" applyNumberFormat="1" applyFont="1" applyAlignment="1">
      <alignment horizontal="center"/>
    </xf>
    <xf numFmtId="0" fontId="5" fillId="0" borderId="0" xfId="4" applyFont="1" applyAlignment="1">
      <alignment horizontal="right" wrapText="1"/>
    </xf>
    <xf numFmtId="10" fontId="5" fillId="0" borderId="2" xfId="3" applyNumberFormat="1" applyFont="1" applyFill="1" applyBorder="1"/>
    <xf numFmtId="5" fontId="5" fillId="0" borderId="0" xfId="4" applyNumberFormat="1" applyFont="1"/>
    <xf numFmtId="14" fontId="6" fillId="0" borderId="0" xfId="4" applyNumberFormat="1" applyFont="1"/>
    <xf numFmtId="41" fontId="6" fillId="0" borderId="0" xfId="6" applyNumberFormat="1" applyFont="1"/>
    <xf numFmtId="0" fontId="6" fillId="0" borderId="0" xfId="6" applyFont="1" applyAlignment="1">
      <alignment horizontal="center"/>
    </xf>
    <xf numFmtId="166" fontId="6" fillId="0" borderId="0" xfId="7" applyNumberFormat="1" applyFont="1" applyFill="1" applyBorder="1"/>
    <xf numFmtId="166" fontId="6" fillId="0" borderId="2" xfId="7" applyNumberFormat="1" applyFont="1" applyFill="1" applyBorder="1"/>
    <xf numFmtId="10" fontId="6" fillId="0" borderId="0" xfId="3" applyNumberFormat="1" applyFont="1"/>
    <xf numFmtId="0" fontId="6" fillId="0" borderId="0" xfId="6" applyFont="1"/>
    <xf numFmtId="10" fontId="13" fillId="0" borderId="0" xfId="3" applyNumberFormat="1" applyFont="1"/>
    <xf numFmtId="0" fontId="13" fillId="0" borderId="0" xfId="6" applyFont="1"/>
    <xf numFmtId="0" fontId="6" fillId="0" borderId="0" xfId="6" applyFont="1" applyAlignment="1">
      <alignment horizontal="left" wrapText="1"/>
    </xf>
    <xf numFmtId="10" fontId="13" fillId="0" borderId="0" xfId="3" applyNumberFormat="1" applyFont="1" applyBorder="1"/>
    <xf numFmtId="166" fontId="6" fillId="0" borderId="1" xfId="7" applyNumberFormat="1" applyFont="1" applyFill="1" applyBorder="1"/>
    <xf numFmtId="10" fontId="6" fillId="0" borderId="1" xfId="3" applyNumberFormat="1" applyFont="1" applyBorder="1"/>
    <xf numFmtId="0" fontId="6" fillId="0" borderId="1" xfId="6" applyFont="1" applyBorder="1"/>
    <xf numFmtId="166" fontId="6" fillId="0" borderId="4" xfId="7" applyNumberFormat="1" applyFont="1" applyFill="1" applyBorder="1"/>
    <xf numFmtId="10" fontId="6" fillId="0" borderId="0" xfId="3" applyNumberFormat="1" applyFont="1" applyBorder="1"/>
    <xf numFmtId="166" fontId="6" fillId="0" borderId="0" xfId="7" applyNumberFormat="1" applyFont="1" applyFill="1"/>
    <xf numFmtId="10" fontId="6" fillId="0" borderId="1" xfId="3" applyNumberFormat="1" applyFont="1" applyFill="1" applyBorder="1"/>
    <xf numFmtId="166" fontId="6" fillId="0" borderId="0" xfId="6" applyNumberFormat="1" applyFont="1"/>
    <xf numFmtId="166" fontId="6" fillId="0" borderId="4" xfId="6" applyNumberFormat="1" applyFont="1" applyBorder="1"/>
    <xf numFmtId="10" fontId="6" fillId="0" borderId="0" xfId="3" applyNumberFormat="1" applyFont="1" applyFill="1" applyBorder="1"/>
    <xf numFmtId="166" fontId="6" fillId="0" borderId="0" xfId="7" applyNumberFormat="1" applyFont="1" applyFill="1" applyBorder="1" applyAlignment="1">
      <alignment horizontal="center"/>
    </xf>
    <xf numFmtId="166" fontId="6" fillId="0" borderId="1" xfId="3" applyNumberFormat="1" applyFont="1" applyFill="1" applyBorder="1"/>
    <xf numFmtId="166" fontId="6" fillId="0" borderId="0" xfId="3" applyNumberFormat="1" applyFont="1" applyFill="1"/>
    <xf numFmtId="0" fontId="5" fillId="0" borderId="0" xfId="6" applyFont="1" applyAlignment="1">
      <alignment horizontal="center"/>
    </xf>
    <xf numFmtId="0" fontId="5" fillId="0" borderId="1" xfId="6" applyFont="1" applyBorder="1" applyAlignment="1">
      <alignment horizontal="center"/>
    </xf>
    <xf numFmtId="0" fontId="6" fillId="0" borderId="0" xfId="6" applyFont="1" applyAlignment="1">
      <alignment horizontal="right"/>
    </xf>
    <xf numFmtId="0" fontId="5" fillId="0" borderId="0" xfId="6" applyFont="1"/>
    <xf numFmtId="0" fontId="2" fillId="0" borderId="0" xfId="6" applyFont="1" applyAlignment="1">
      <alignment horizontal="right"/>
    </xf>
    <xf numFmtId="0" fontId="5" fillId="0" borderId="0" xfId="6" applyFont="1" applyAlignment="1">
      <alignment horizontal="right"/>
    </xf>
    <xf numFmtId="0" fontId="5" fillId="0" borderId="0" xfId="6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3" fontId="14" fillId="0" borderId="0" xfId="5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2" fillId="0" borderId="0" xfId="5" applyFont="1" applyAlignment="1">
      <alignment horizontal="right"/>
    </xf>
    <xf numFmtId="0" fontId="3" fillId="0" borderId="0" xfId="0" applyFont="1" applyAlignment="1">
      <alignment horizontal="left"/>
    </xf>
    <xf numFmtId="3" fontId="14" fillId="0" borderId="0" xfId="5" applyFont="1" applyAlignment="1">
      <alignment horizontal="center"/>
    </xf>
    <xf numFmtId="168" fontId="6" fillId="0" borderId="0" xfId="3" applyNumberFormat="1" applyFont="1" applyFill="1"/>
    <xf numFmtId="10" fontId="6" fillId="0" borderId="0" xfId="3" applyNumberFormat="1" applyFont="1" applyFill="1"/>
    <xf numFmtId="3" fontId="14" fillId="0" borderId="0" xfId="5" applyFont="1"/>
    <xf numFmtId="3" fontId="8" fillId="0" borderId="0" xfId="5" applyFont="1" applyAlignment="1">
      <alignment horizontal="right"/>
    </xf>
    <xf numFmtId="3" fontId="14" fillId="0" borderId="0" xfId="5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169" fontId="14" fillId="0" borderId="0" xfId="5" applyNumberFormat="1" applyFont="1" applyAlignment="1">
      <alignment horizontal="center"/>
    </xf>
    <xf numFmtId="3" fontId="14" fillId="0" borderId="1" xfId="5" applyFont="1" applyBorder="1" applyAlignment="1">
      <alignment horizontal="center"/>
    </xf>
    <xf numFmtId="169" fontId="14" fillId="0" borderId="1" xfId="5" applyNumberFormat="1" applyFont="1" applyBorder="1" applyAlignment="1">
      <alignment horizontal="center"/>
    </xf>
    <xf numFmtId="170" fontId="14" fillId="0" borderId="1" xfId="5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9" fillId="0" borderId="0" xfId="5" applyFont="1" applyAlignment="1">
      <alignment horizontal="center"/>
    </xf>
    <xf numFmtId="3" fontId="15" fillId="0" borderId="0" xfId="5" applyFont="1" applyAlignment="1">
      <alignment horizontal="center"/>
    </xf>
    <xf numFmtId="3" fontId="9" fillId="0" borderId="0" xfId="5" applyFont="1"/>
    <xf numFmtId="3" fontId="8" fillId="0" borderId="0" xfId="5" applyFont="1" applyAlignment="1">
      <alignment horizontal="center"/>
    </xf>
    <xf numFmtId="3" fontId="15" fillId="0" borderId="0" xfId="5" applyFont="1"/>
    <xf numFmtId="165" fontId="6" fillId="0" borderId="0" xfId="2" applyNumberFormat="1" applyFont="1" applyBorder="1" applyAlignment="1" applyProtection="1">
      <protection locked="0"/>
    </xf>
    <xf numFmtId="165" fontId="5" fillId="0" borderId="0" xfId="2" applyNumberFormat="1" applyFont="1" applyBorder="1" applyAlignment="1" applyProtection="1">
      <protection locked="0"/>
    </xf>
    <xf numFmtId="3" fontId="8" fillId="0" borderId="0" xfId="5" applyFont="1" applyAlignment="1">
      <alignment horizontal="left" indent="1"/>
    </xf>
    <xf numFmtId="5" fontId="6" fillId="0" borderId="0" xfId="1" applyNumberFormat="1" applyFont="1" applyFill="1" applyBorder="1" applyAlignment="1" applyProtection="1">
      <protection locked="0"/>
    </xf>
    <xf numFmtId="3" fontId="8" fillId="0" borderId="0" xfId="5" applyFont="1" applyAlignment="1">
      <alignment horizontal="left"/>
    </xf>
    <xf numFmtId="37" fontId="8" fillId="0" borderId="0" xfId="1" applyNumberFormat="1" applyFont="1" applyFill="1" applyBorder="1" applyAlignment="1"/>
    <xf numFmtId="3" fontId="8" fillId="0" borderId="1" xfId="5" applyFont="1" applyBorder="1" applyAlignment="1">
      <alignment horizontal="left" indent="1"/>
    </xf>
    <xf numFmtId="37" fontId="8" fillId="0" borderId="1" xfId="1" applyNumberFormat="1" applyFont="1" applyFill="1" applyBorder="1" applyAlignment="1"/>
    <xf numFmtId="3" fontId="14" fillId="0" borderId="0" xfId="5" applyFont="1" applyAlignment="1">
      <alignment horizontal="left"/>
    </xf>
    <xf numFmtId="5" fontId="6" fillId="0" borderId="3" xfId="1" applyNumberFormat="1" applyFont="1" applyFill="1" applyBorder="1" applyAlignment="1" applyProtection="1">
      <protection locked="0"/>
    </xf>
    <xf numFmtId="37" fontId="8" fillId="0" borderId="5" xfId="1" applyNumberFormat="1" applyFont="1" applyFill="1" applyBorder="1"/>
    <xf numFmtId="3" fontId="6" fillId="0" borderId="0" xfId="0" applyNumberFormat="1" applyFont="1" applyAlignment="1">
      <alignment horizontal="left"/>
    </xf>
    <xf numFmtId="37" fontId="8" fillId="0" borderId="0" xfId="1" applyNumberFormat="1" applyFont="1" applyFill="1"/>
    <xf numFmtId="5" fontId="8" fillId="0" borderId="0" xfId="1" applyNumberFormat="1" applyFont="1" applyFill="1" applyBorder="1" applyAlignment="1"/>
    <xf numFmtId="43" fontId="6" fillId="0" borderId="0" xfId="1" applyFont="1" applyFill="1"/>
    <xf numFmtId="5" fontId="6" fillId="0" borderId="1" xfId="1" applyNumberFormat="1" applyFont="1" applyFill="1" applyBorder="1" applyAlignment="1" applyProtection="1">
      <protection locked="0"/>
    </xf>
    <xf numFmtId="37" fontId="6" fillId="0" borderId="0" xfId="1" applyNumberFormat="1" applyFont="1" applyFill="1" applyAlignment="1" applyProtection="1">
      <protection locked="0"/>
    </xf>
    <xf numFmtId="37" fontId="8" fillId="0" borderId="0" xfId="1" applyNumberFormat="1" applyFont="1" applyFill="1" applyAlignment="1"/>
    <xf numFmtId="0" fontId="8" fillId="0" borderId="0" xfId="5" applyNumberFormat="1" applyFont="1" applyAlignment="1">
      <alignment horizontal="left" indent="1"/>
    </xf>
    <xf numFmtId="3" fontId="9" fillId="0" borderId="0" xfId="5" applyFont="1" applyAlignment="1">
      <alignment horizontal="left" indent="1"/>
    </xf>
    <xf numFmtId="3" fontId="8" fillId="0" borderId="0" xfId="5" applyFont="1" applyAlignment="1">
      <alignment horizontal="left" indent="3"/>
    </xf>
    <xf numFmtId="3" fontId="6" fillId="0" borderId="0" xfId="0" applyNumberFormat="1" applyFont="1" applyAlignment="1">
      <alignment wrapText="1"/>
    </xf>
    <xf numFmtId="5" fontId="6" fillId="0" borderId="4" xfId="1" applyNumberFormat="1" applyFont="1" applyFill="1" applyBorder="1" applyAlignment="1" applyProtection="1">
      <protection locked="0"/>
    </xf>
    <xf numFmtId="37" fontId="6" fillId="0" borderId="0" xfId="1" applyNumberFormat="1" applyFont="1" applyFill="1" applyBorder="1" applyAlignment="1" applyProtection="1">
      <protection locked="0"/>
    </xf>
    <xf numFmtId="5" fontId="6" fillId="0" borderId="2" xfId="1" applyNumberFormat="1" applyFont="1" applyFill="1" applyBorder="1" applyAlignment="1" applyProtection="1">
      <protection locked="0"/>
    </xf>
    <xf numFmtId="168" fontId="6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43" fontId="6" fillId="0" borderId="0" xfId="1" applyFont="1" applyBorder="1" applyAlignment="1" applyProtection="1">
      <protection locked="0"/>
    </xf>
    <xf numFmtId="5" fontId="6" fillId="0" borderId="0" xfId="2" applyNumberFormat="1" applyFont="1" applyBorder="1" applyAlignment="1" applyProtection="1">
      <protection locked="0"/>
    </xf>
    <xf numFmtId="43" fontId="8" fillId="0" borderId="0" xfId="1" applyFont="1"/>
    <xf numFmtId="37" fontId="8" fillId="0" borderId="0" xfId="5" applyNumberFormat="1" applyFont="1"/>
    <xf numFmtId="37" fontId="8" fillId="0" borderId="0" xfId="5" applyNumberFormat="1" applyFont="1" applyAlignment="1">
      <alignment horizontal="center"/>
    </xf>
    <xf numFmtId="3" fontId="8" fillId="0" borderId="0" xfId="5" quotePrefix="1" applyFont="1" applyAlignment="1">
      <alignment horizontal="center"/>
    </xf>
    <xf numFmtId="171" fontId="8" fillId="0" borderId="0" xfId="3" applyNumberFormat="1" applyFont="1"/>
    <xf numFmtId="5" fontId="6" fillId="0" borderId="0" xfId="3" applyNumberFormat="1" applyFont="1" applyFill="1" applyBorder="1" applyAlignment="1" applyProtection="1">
      <protection locked="0"/>
    </xf>
    <xf numFmtId="37" fontId="6" fillId="0" borderId="0" xfId="5" applyNumberFormat="1" applyFont="1" applyProtection="1">
      <protection locked="0"/>
    </xf>
    <xf numFmtId="37" fontId="16" fillId="0" borderId="0" xfId="5" applyNumberFormat="1" applyFont="1" applyProtection="1">
      <protection locked="0"/>
    </xf>
    <xf numFmtId="0" fontId="17" fillId="0" borderId="0" xfId="8"/>
    <xf numFmtId="3" fontId="6" fillId="0" borderId="0" xfId="8" applyNumberFormat="1" applyFont="1" applyAlignment="1">
      <alignment horizontal="centerContinuous"/>
    </xf>
    <xf numFmtId="0" fontId="6" fillId="0" borderId="0" xfId="8" applyFont="1"/>
    <xf numFmtId="3" fontId="6" fillId="0" borderId="0" xfId="8" applyNumberFormat="1" applyFont="1" applyProtection="1">
      <protection locked="0"/>
    </xf>
    <xf numFmtId="3" fontId="6" fillId="0" borderId="0" xfId="8" applyNumberFormat="1" applyFont="1" applyAlignment="1">
      <alignment horizontal="right"/>
    </xf>
    <xf numFmtId="3" fontId="6" fillId="0" borderId="0" xfId="8" applyNumberFormat="1" applyFont="1"/>
    <xf numFmtId="0" fontId="1" fillId="0" borderId="0" xfId="8" applyFont="1" applyAlignment="1">
      <alignment horizontal="right"/>
    </xf>
    <xf numFmtId="3" fontId="6" fillId="0" borderId="0" xfId="8" applyNumberFormat="1" applyFont="1" applyAlignment="1">
      <alignment horizontal="center"/>
    </xf>
    <xf numFmtId="0" fontId="6" fillId="0" borderId="0" xfId="8" applyFont="1" applyAlignment="1">
      <alignment horizontal="center"/>
    </xf>
    <xf numFmtId="3" fontId="6" fillId="0" borderId="6" xfId="8" applyNumberFormat="1" applyFont="1" applyBorder="1" applyAlignment="1">
      <alignment horizontal="center"/>
    </xf>
    <xf numFmtId="172" fontId="6" fillId="0" borderId="0" xfId="8" applyNumberFormat="1" applyFont="1"/>
    <xf numFmtId="42" fontId="6" fillId="0" borderId="0" xfId="8" applyNumberFormat="1" applyFont="1"/>
    <xf numFmtId="10" fontId="6" fillId="0" borderId="0" xfId="8" applyNumberFormat="1" applyFont="1"/>
    <xf numFmtId="168" fontId="6" fillId="0" borderId="0" xfId="8" applyNumberFormat="1" applyFont="1"/>
    <xf numFmtId="0" fontId="13" fillId="0" borderId="0" xfId="8" applyFont="1"/>
    <xf numFmtId="37" fontId="6" fillId="0" borderId="0" xfId="8" applyNumberFormat="1" applyFont="1"/>
    <xf numFmtId="4" fontId="6" fillId="0" borderId="0" xfId="8" applyNumberFormat="1" applyFont="1"/>
    <xf numFmtId="10" fontId="6" fillId="0" borderId="0" xfId="7" applyNumberFormat="1" applyFont="1"/>
    <xf numFmtId="3" fontId="6" fillId="0" borderId="1" xfId="8" applyNumberFormat="1" applyFont="1" applyBorder="1"/>
    <xf numFmtId="10" fontId="6" fillId="0" borderId="1" xfId="8" applyNumberFormat="1" applyFont="1" applyBorder="1"/>
    <xf numFmtId="4" fontId="6" fillId="0" borderId="1" xfId="8" applyNumberFormat="1" applyFont="1" applyBorder="1"/>
    <xf numFmtId="168" fontId="6" fillId="0" borderId="1" xfId="8" applyNumberFormat="1" applyFont="1" applyBorder="1"/>
    <xf numFmtId="172" fontId="6" fillId="0" borderId="2" xfId="8" applyNumberFormat="1" applyFont="1" applyBorder="1"/>
    <xf numFmtId="168" fontId="6" fillId="0" borderId="2" xfId="8" applyNumberFormat="1" applyFont="1" applyBorder="1"/>
    <xf numFmtId="173" fontId="6" fillId="0" borderId="2" xfId="8" applyNumberFormat="1" applyFont="1" applyBorder="1"/>
    <xf numFmtId="5" fontId="6" fillId="0" borderId="0" xfId="8" applyNumberFormat="1" applyFont="1"/>
    <xf numFmtId="0" fontId="18" fillId="0" borderId="0" xfId="8" applyFont="1"/>
    <xf numFmtId="37" fontId="6" fillId="0" borderId="0" xfId="9" applyNumberFormat="1" applyFont="1"/>
    <xf numFmtId="37" fontId="6" fillId="0" borderId="0" xfId="9" applyNumberFormat="1" applyFont="1" applyAlignment="1">
      <alignment horizontal="centerContinuous"/>
    </xf>
    <xf numFmtId="37" fontId="6" fillId="0" borderId="1" xfId="9" applyNumberFormat="1" applyFont="1" applyBorder="1"/>
    <xf numFmtId="37" fontId="6" fillId="0" borderId="0" xfId="9" applyNumberFormat="1" applyFont="1" applyAlignment="1">
      <alignment horizontal="center"/>
    </xf>
    <xf numFmtId="5" fontId="6" fillId="0" borderId="0" xfId="9" applyNumberFormat="1" applyFont="1"/>
    <xf numFmtId="5" fontId="6" fillId="0" borderId="2" xfId="9" applyNumberFormat="1" applyFont="1" applyBorder="1"/>
    <xf numFmtId="37" fontId="6" fillId="0" borderId="0" xfId="9" applyNumberFormat="1" applyFont="1" applyAlignment="1">
      <alignment horizontal="right"/>
    </xf>
    <xf numFmtId="37" fontId="6" fillId="0" borderId="5" xfId="9" applyNumberFormat="1" applyFont="1" applyBorder="1"/>
    <xf numFmtId="37" fontId="6" fillId="0" borderId="0" xfId="9" applyNumberFormat="1" applyFont="1" applyProtection="1">
      <protection locked="0"/>
    </xf>
    <xf numFmtId="9" fontId="6" fillId="0" borderId="0" xfId="7" applyFont="1" applyFill="1"/>
    <xf numFmtId="172" fontId="6" fillId="0" borderId="0" xfId="9" applyNumberFormat="1" applyFont="1"/>
    <xf numFmtId="37" fontId="6" fillId="0" borderId="7" xfId="9" applyNumberFormat="1" applyFont="1" applyBorder="1"/>
    <xf numFmtId="37" fontId="6" fillId="0" borderId="7" xfId="9" applyNumberFormat="1" applyFont="1" applyBorder="1" applyAlignment="1">
      <alignment horizontal="center"/>
    </xf>
    <xf numFmtId="37" fontId="6" fillId="0" borderId="6" xfId="9" applyNumberFormat="1" applyFont="1" applyBorder="1" applyAlignment="1">
      <alignment horizontal="center"/>
    </xf>
    <xf numFmtId="37" fontId="6" fillId="0" borderId="6" xfId="9" applyNumberFormat="1" applyFont="1" applyBorder="1"/>
    <xf numFmtId="0" fontId="1" fillId="0" borderId="0" xfId="9" applyFont="1" applyAlignment="1">
      <alignment horizontal="right"/>
    </xf>
    <xf numFmtId="37" fontId="5" fillId="0" borderId="0" xfId="9" applyNumberFormat="1" applyFont="1"/>
    <xf numFmtId="37" fontId="5" fillId="0" borderId="0" xfId="9" applyNumberFormat="1" applyFont="1" applyAlignment="1">
      <alignment horizontal="centerContinuous"/>
    </xf>
    <xf numFmtId="0" fontId="0" fillId="0" borderId="0" xfId="8" applyFont="1" applyAlignment="1">
      <alignment horizontal="right"/>
    </xf>
    <xf numFmtId="0" fontId="5" fillId="0" borderId="0" xfId="4" applyFont="1" applyAlignment="1">
      <alignment horizontal="center"/>
    </xf>
    <xf numFmtId="37" fontId="5" fillId="0" borderId="0" xfId="9" applyNumberFormat="1" applyFont="1" applyAlignment="1">
      <alignment horizontal="center"/>
    </xf>
    <xf numFmtId="3" fontId="14" fillId="0" borderId="0" xfId="5" applyFont="1" applyAlignment="1">
      <alignment horizontal="center"/>
    </xf>
    <xf numFmtId="0" fontId="5" fillId="0" borderId="0" xfId="6" applyFont="1" applyAlignment="1">
      <alignment horizontal="center"/>
    </xf>
    <xf numFmtId="3" fontId="5" fillId="0" borderId="0" xfId="8" applyNumberFormat="1" applyFont="1" applyAlignment="1">
      <alignment horizontal="center"/>
    </xf>
    <xf numFmtId="169" fontId="5" fillId="0" borderId="0" xfId="8" applyNumberFormat="1" applyFont="1" applyAlignment="1">
      <alignment horizontal="center"/>
    </xf>
  </cellXfs>
  <cellStyles count="10">
    <cellStyle name="Comma" xfId="1" builtinId="3"/>
    <cellStyle name="Currency" xfId="2" builtinId="4"/>
    <cellStyle name="Normal" xfId="0" builtinId="0"/>
    <cellStyle name="Normal 2" xfId="6" xr:uid="{EDAD2B8D-3F6E-4CC7-8555-274EC016A498}"/>
    <cellStyle name="Normal 3" xfId="8" xr:uid="{730E76F7-D03F-45C2-B305-B7E155427B9F}"/>
    <cellStyle name="Normal 4" xfId="4" xr:uid="{3931A608-14C8-4B95-A73E-140571A8A125}"/>
    <cellStyle name="Normal 5" xfId="9" xr:uid="{4BD1AED3-CFEA-416B-A793-6914A822A901}"/>
    <cellStyle name="Normal_Exhibits" xfId="5" xr:uid="{C90A592F-369A-4CE4-8DB2-99637F524039}"/>
    <cellStyle name="Percent" xfId="3" builtinId="5"/>
    <cellStyle name="Percent 2" xfId="7" xr:uid="{B1B3561F-FE2A-49AC-9EBE-8938DD053A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0354-AB8E-44AB-B7A6-959FD8598CAD}">
  <sheetPr>
    <pageSetUpPr fitToPage="1"/>
  </sheetPr>
  <dimension ref="A1:P115"/>
  <sheetViews>
    <sheetView zoomScale="80" zoomScaleNormal="80" zoomScaleSheetLayoutView="50" workbookViewId="0"/>
  </sheetViews>
  <sheetFormatPr defaultColWidth="9.1328125" defaultRowHeight="14.25" x14ac:dyDescent="0.45"/>
  <cols>
    <col min="1" max="1" width="7.3984375" style="6" customWidth="1"/>
    <col min="2" max="2" width="59.265625" style="6" customWidth="1"/>
    <col min="3" max="3" width="30.265625" style="6" customWidth="1"/>
    <col min="4" max="4" width="25.1328125" style="4" bestFit="1" customWidth="1"/>
    <col min="5" max="5" width="110.1328125" style="6" bestFit="1" customWidth="1"/>
    <col min="6" max="6" width="9.1328125" style="6"/>
    <col min="7" max="7" width="14" style="6" customWidth="1"/>
    <col min="8" max="16384" width="9.1328125" style="6"/>
  </cols>
  <sheetData>
    <row r="1" spans="1:5" x14ac:dyDescent="0.45">
      <c r="A1" s="1"/>
      <c r="B1" s="2"/>
      <c r="C1" s="3"/>
      <c r="E1" s="5" t="s">
        <v>0</v>
      </c>
    </row>
    <row r="2" spans="1:5" hidden="1" x14ac:dyDescent="0.45">
      <c r="A2" s="1"/>
      <c r="B2" s="2"/>
      <c r="C2" s="7"/>
      <c r="E2" s="8" t="e">
        <f ca="1">RIGHT(CELL("filename",$A$1),LEN(CELL("filename",$A$1))-SEARCH("\Exhibits",CELL("filename",$A$1),1))</f>
        <v>#VALUE!</v>
      </c>
    </row>
    <row r="3" spans="1:5" hidden="1" x14ac:dyDescent="0.45">
      <c r="A3" s="2"/>
      <c r="B3" s="2"/>
      <c r="C3" s="3"/>
      <c r="E3" s="8" t="s">
        <v>1</v>
      </c>
    </row>
    <row r="4" spans="1:5" x14ac:dyDescent="0.45">
      <c r="E4" s="3"/>
    </row>
    <row r="5" spans="1:5" x14ac:dyDescent="0.45">
      <c r="A5" s="188" t="s">
        <v>2</v>
      </c>
      <c r="B5" s="188"/>
      <c r="C5" s="188"/>
      <c r="D5" s="188"/>
      <c r="E5" s="188"/>
    </row>
    <row r="6" spans="1:5" x14ac:dyDescent="0.45">
      <c r="A6" s="188" t="s">
        <v>3</v>
      </c>
      <c r="B6" s="188"/>
      <c r="C6" s="188"/>
      <c r="D6" s="188"/>
      <c r="E6" s="188"/>
    </row>
    <row r="7" spans="1:5" x14ac:dyDescent="0.45">
      <c r="A7" s="188" t="s">
        <v>4</v>
      </c>
      <c r="B7" s="188"/>
      <c r="C7" s="188"/>
      <c r="D7" s="188"/>
      <c r="E7" s="188"/>
    </row>
    <row r="8" spans="1:5" x14ac:dyDescent="0.45">
      <c r="A8" s="188"/>
      <c r="B8" s="188"/>
      <c r="C8" s="188"/>
      <c r="D8" s="188"/>
      <c r="E8" s="188"/>
    </row>
    <row r="9" spans="1:5" x14ac:dyDescent="0.45">
      <c r="A9" s="188"/>
      <c r="B9" s="188"/>
      <c r="C9" s="188"/>
      <c r="D9" s="188"/>
      <c r="E9" s="188"/>
    </row>
    <row r="10" spans="1:5" x14ac:dyDescent="0.45">
      <c r="A10" s="1"/>
      <c r="B10" s="1"/>
      <c r="C10" s="1"/>
      <c r="E10" s="10" t="s">
        <v>0</v>
      </c>
    </row>
    <row r="11" spans="1:5" x14ac:dyDescent="0.45">
      <c r="A11" s="11" t="s">
        <v>5</v>
      </c>
      <c r="B11" s="2"/>
      <c r="C11" s="1"/>
      <c r="E11" s="12" t="s">
        <v>6</v>
      </c>
    </row>
    <row r="12" spans="1:5" x14ac:dyDescent="0.45">
      <c r="A12" s="13" t="s">
        <v>7</v>
      </c>
      <c r="B12" s="2"/>
      <c r="C12" s="9"/>
      <c r="E12" s="12"/>
    </row>
    <row r="13" spans="1:5" x14ac:dyDescent="0.45">
      <c r="A13" s="9"/>
      <c r="B13" s="2"/>
      <c r="C13" s="9" t="s">
        <v>8</v>
      </c>
      <c r="D13" s="9" t="s">
        <v>9</v>
      </c>
    </row>
    <row r="14" spans="1:5" x14ac:dyDescent="0.45">
      <c r="A14" s="14" t="s">
        <v>10</v>
      </c>
      <c r="B14" s="15"/>
      <c r="C14" s="16" t="s">
        <v>11</v>
      </c>
      <c r="D14" s="14" t="s">
        <v>12</v>
      </c>
      <c r="E14" s="17" t="s">
        <v>13</v>
      </c>
    </row>
    <row r="15" spans="1:5" x14ac:dyDescent="0.45">
      <c r="A15" s="18">
        <v>1</v>
      </c>
      <c r="B15" s="9"/>
      <c r="C15" s="9"/>
    </row>
    <row r="16" spans="1:5" x14ac:dyDescent="0.45">
      <c r="A16" s="18">
        <v>2</v>
      </c>
      <c r="B16" s="19" t="s">
        <v>14</v>
      </c>
      <c r="C16" s="2"/>
    </row>
    <row r="17" spans="1:5" x14ac:dyDescent="0.45">
      <c r="A17" s="18">
        <v>3</v>
      </c>
      <c r="B17" s="20"/>
      <c r="C17" s="2"/>
      <c r="D17" s="21"/>
    </row>
    <row r="18" spans="1:5" ht="14.65" thickBot="1" x14ac:dyDescent="0.5">
      <c r="A18" s="18">
        <v>4</v>
      </c>
      <c r="B18" s="22" t="s">
        <v>15</v>
      </c>
      <c r="C18" s="23">
        <f>'Page 3'!I20</f>
        <v>104998230.80332667</v>
      </c>
      <c r="D18" s="18" t="s">
        <v>16</v>
      </c>
      <c r="E18" s="6" t="s">
        <v>17</v>
      </c>
    </row>
    <row r="19" spans="1:5" ht="14.65" thickTop="1" x14ac:dyDescent="0.45">
      <c r="A19" s="18">
        <v>5</v>
      </c>
      <c r="B19" s="24"/>
      <c r="C19" s="25"/>
      <c r="D19" s="18"/>
    </row>
    <row r="20" spans="1:5" x14ac:dyDescent="0.45">
      <c r="A20" s="18">
        <v>6</v>
      </c>
      <c r="B20" s="26" t="s">
        <v>18</v>
      </c>
      <c r="C20" s="25"/>
      <c r="D20" s="27"/>
    </row>
    <row r="21" spans="1:5" x14ac:dyDescent="0.45">
      <c r="A21" s="18">
        <v>7</v>
      </c>
      <c r="B21" s="24" t="s">
        <v>19</v>
      </c>
      <c r="C21" s="25">
        <f>'Page 3'!I49</f>
        <v>43447618</v>
      </c>
      <c r="D21" s="18" t="s">
        <v>16</v>
      </c>
      <c r="E21" s="6" t="s">
        <v>17</v>
      </c>
    </row>
    <row r="22" spans="1:5" x14ac:dyDescent="0.45">
      <c r="A22" s="18">
        <v>8</v>
      </c>
      <c r="B22" s="24" t="s">
        <v>20</v>
      </c>
      <c r="C22" s="28">
        <f>'Page 3'!I52</f>
        <v>27340708</v>
      </c>
      <c r="D22" s="18" t="s">
        <v>16</v>
      </c>
      <c r="E22" s="6" t="s">
        <v>17</v>
      </c>
    </row>
    <row r="23" spans="1:5" x14ac:dyDescent="0.45">
      <c r="A23" s="18">
        <v>9</v>
      </c>
      <c r="B23" s="24" t="s">
        <v>21</v>
      </c>
      <c r="C23" s="28">
        <f>'Page 3'!I53</f>
        <v>14722.97</v>
      </c>
      <c r="D23" s="18" t="s">
        <v>16</v>
      </c>
      <c r="E23" s="6" t="s">
        <v>17</v>
      </c>
    </row>
    <row r="24" spans="1:5" x14ac:dyDescent="0.45">
      <c r="A24" s="18">
        <v>10</v>
      </c>
      <c r="B24" s="24" t="s">
        <v>22</v>
      </c>
      <c r="C24" s="28">
        <f>'Page 3'!I54</f>
        <v>57080.039999999986</v>
      </c>
      <c r="D24" s="18" t="s">
        <v>16</v>
      </c>
      <c r="E24" s="6" t="s">
        <v>17</v>
      </c>
    </row>
    <row r="25" spans="1:5" x14ac:dyDescent="0.45">
      <c r="A25" s="18">
        <v>11</v>
      </c>
      <c r="B25" s="24" t="s">
        <v>23</v>
      </c>
      <c r="C25" s="28">
        <f>'Page 3'!I57+'Page 3'!I58</f>
        <v>697154.21989820374</v>
      </c>
      <c r="D25" s="18" t="s">
        <v>16</v>
      </c>
      <c r="E25" s="6" t="s">
        <v>17</v>
      </c>
    </row>
    <row r="26" spans="1:5" x14ac:dyDescent="0.45">
      <c r="A26" s="18">
        <v>12</v>
      </c>
      <c r="B26" s="24" t="s">
        <v>24</v>
      </c>
      <c r="C26" s="28">
        <f>'Page 3'!I60+'Page 3'!I61</f>
        <v>1831029.5916955438</v>
      </c>
      <c r="D26" s="18" t="s">
        <v>16</v>
      </c>
      <c r="E26" s="6" t="s">
        <v>17</v>
      </c>
    </row>
    <row r="27" spans="1:5" x14ac:dyDescent="0.45">
      <c r="A27" s="18">
        <v>13</v>
      </c>
      <c r="B27" s="24" t="s">
        <v>25</v>
      </c>
      <c r="C27" s="28">
        <f>'Page 3'!I62</f>
        <v>0</v>
      </c>
      <c r="D27" s="18" t="s">
        <v>16</v>
      </c>
      <c r="E27" s="6" t="s">
        <v>17</v>
      </c>
    </row>
    <row r="28" spans="1:5" x14ac:dyDescent="0.45">
      <c r="A28" s="18">
        <v>14</v>
      </c>
      <c r="B28" s="29" t="s">
        <v>26</v>
      </c>
      <c r="C28" s="28">
        <f>'Page 3'!I63</f>
        <v>9593515</v>
      </c>
      <c r="D28" s="18" t="s">
        <v>16</v>
      </c>
      <c r="E28" s="6" t="s">
        <v>17</v>
      </c>
    </row>
    <row r="29" spans="1:5" ht="14.65" thickBot="1" x14ac:dyDescent="0.5">
      <c r="A29" s="18">
        <v>15</v>
      </c>
      <c r="B29" s="3" t="s">
        <v>27</v>
      </c>
      <c r="C29" s="30">
        <f>SUM(C21:C28)</f>
        <v>82981827.821593761</v>
      </c>
      <c r="D29" s="18"/>
    </row>
    <row r="30" spans="1:5" ht="14.65" thickTop="1" x14ac:dyDescent="0.45">
      <c r="A30" s="18">
        <v>16</v>
      </c>
      <c r="B30" s="2"/>
      <c r="C30" s="25"/>
      <c r="D30" s="18"/>
    </row>
    <row r="31" spans="1:5" ht="14.65" thickBot="1" x14ac:dyDescent="0.5">
      <c r="A31" s="18">
        <v>17</v>
      </c>
      <c r="B31" s="3" t="s">
        <v>28</v>
      </c>
      <c r="C31" s="23">
        <f>C18-C29</f>
        <v>22016402.981732905</v>
      </c>
      <c r="D31" s="44"/>
    </row>
    <row r="32" spans="1:5" ht="14.65" thickTop="1" x14ac:dyDescent="0.45">
      <c r="A32" s="18">
        <v>18</v>
      </c>
      <c r="B32" s="3"/>
      <c r="C32" s="31"/>
      <c r="D32" s="9"/>
    </row>
    <row r="33" spans="1:7" x14ac:dyDescent="0.45">
      <c r="A33" s="18">
        <v>19</v>
      </c>
      <c r="B33" s="3"/>
      <c r="C33" s="9"/>
      <c r="D33" s="9"/>
    </row>
    <row r="34" spans="1:7" x14ac:dyDescent="0.45">
      <c r="A34" s="18">
        <v>20</v>
      </c>
      <c r="B34" s="9"/>
      <c r="C34" s="9" t="str">
        <f t="shared" ref="C34:C35" si="0">C13</f>
        <v>Forecast Period</v>
      </c>
      <c r="D34" s="9" t="s">
        <v>9</v>
      </c>
    </row>
    <row r="35" spans="1:7" x14ac:dyDescent="0.45">
      <c r="A35" s="18">
        <v>21</v>
      </c>
      <c r="B35" s="15" t="s">
        <v>29</v>
      </c>
      <c r="C35" s="16" t="str">
        <f t="shared" si="0"/>
        <v>Ending January 31, 2025</v>
      </c>
      <c r="D35" s="14" t="s">
        <v>12</v>
      </c>
      <c r="E35" s="17" t="s">
        <v>13</v>
      </c>
    </row>
    <row r="36" spans="1:7" x14ac:dyDescent="0.45">
      <c r="A36" s="18">
        <v>22</v>
      </c>
      <c r="B36" s="9"/>
      <c r="C36" s="9"/>
      <c r="D36" s="9"/>
    </row>
    <row r="37" spans="1:7" x14ac:dyDescent="0.45">
      <c r="A37" s="18">
        <v>23</v>
      </c>
      <c r="B37" s="24" t="s">
        <v>30</v>
      </c>
      <c r="C37" s="25">
        <f>'Page 2'!I57</f>
        <v>489426491.06757987</v>
      </c>
      <c r="D37" s="18" t="s">
        <v>31</v>
      </c>
      <c r="E37" s="32" t="s">
        <v>32</v>
      </c>
    </row>
    <row r="38" spans="1:7" x14ac:dyDescent="0.45">
      <c r="A38" s="18">
        <v>24</v>
      </c>
      <c r="B38" s="24" t="s">
        <v>33</v>
      </c>
      <c r="C38" s="33">
        <f>'Page 5'!Q26</f>
        <v>7.2599999999999998E-2</v>
      </c>
      <c r="D38" s="18" t="s">
        <v>34</v>
      </c>
      <c r="E38" s="34" t="s">
        <v>35</v>
      </c>
    </row>
    <row r="39" spans="1:7" x14ac:dyDescent="0.45">
      <c r="A39" s="18">
        <v>25</v>
      </c>
      <c r="B39" s="2"/>
      <c r="C39" s="35"/>
      <c r="D39" s="18"/>
    </row>
    <row r="40" spans="1:7" x14ac:dyDescent="0.45">
      <c r="A40" s="18">
        <v>26</v>
      </c>
      <c r="B40" s="3" t="s">
        <v>36</v>
      </c>
      <c r="C40" s="25">
        <f>C37*C38</f>
        <v>35532363.251506299</v>
      </c>
      <c r="D40" s="18"/>
      <c r="G40" s="36"/>
    </row>
    <row r="41" spans="1:7" x14ac:dyDescent="0.45">
      <c r="A41" s="18">
        <v>27</v>
      </c>
      <c r="B41" s="2"/>
      <c r="C41" s="37"/>
      <c r="D41" s="18"/>
    </row>
    <row r="42" spans="1:7" x14ac:dyDescent="0.45">
      <c r="A42" s="18">
        <v>28</v>
      </c>
      <c r="B42" s="38" t="s">
        <v>37</v>
      </c>
      <c r="C42" s="39">
        <f>C31</f>
        <v>22016402.981732905</v>
      </c>
      <c r="D42" s="18"/>
    </row>
    <row r="43" spans="1:7" x14ac:dyDescent="0.45">
      <c r="A43" s="18">
        <v>29</v>
      </c>
      <c r="B43" s="3"/>
      <c r="C43" s="31"/>
      <c r="D43" s="18"/>
    </row>
    <row r="44" spans="1:7" ht="14.65" thickBot="1" x14ac:dyDescent="0.5">
      <c r="A44" s="18">
        <v>30</v>
      </c>
      <c r="B44" s="3" t="s">
        <v>38</v>
      </c>
      <c r="C44" s="40">
        <f>C40-C42</f>
        <v>13515960.269773394</v>
      </c>
      <c r="D44" s="18"/>
    </row>
    <row r="45" spans="1:7" ht="14.65" thickTop="1" x14ac:dyDescent="0.45">
      <c r="A45" s="18">
        <v>31</v>
      </c>
      <c r="B45" s="2"/>
      <c r="C45" s="41"/>
      <c r="D45" s="18"/>
    </row>
    <row r="46" spans="1:7" x14ac:dyDescent="0.45">
      <c r="A46" s="18">
        <v>32</v>
      </c>
      <c r="B46" s="3" t="s">
        <v>39</v>
      </c>
      <c r="C46" s="42">
        <f>'Page 4'!D31</f>
        <v>1.3423001903342031</v>
      </c>
      <c r="D46" s="18" t="s">
        <v>40</v>
      </c>
      <c r="E46" s="43" t="s">
        <v>41</v>
      </c>
    </row>
    <row r="47" spans="1:7" x14ac:dyDescent="0.45">
      <c r="A47" s="18">
        <v>33</v>
      </c>
      <c r="B47" s="2"/>
      <c r="C47" s="2"/>
    </row>
    <row r="48" spans="1:7" ht="14.65" thickBot="1" x14ac:dyDescent="0.5">
      <c r="A48" s="18">
        <v>34</v>
      </c>
      <c r="B48" s="3" t="s">
        <v>42</v>
      </c>
      <c r="C48" s="40">
        <f>C44*C46</f>
        <v>18142476.042666353</v>
      </c>
      <c r="D48" s="44"/>
      <c r="E48" s="45"/>
    </row>
    <row r="49" spans="1:16" ht="14.65" thickTop="1" x14ac:dyDescent="0.45">
      <c r="A49" s="18">
        <v>35</v>
      </c>
      <c r="B49" s="2"/>
      <c r="C49" s="46"/>
      <c r="D49" s="47"/>
      <c r="E49" s="2"/>
      <c r="F49" s="31"/>
    </row>
    <row r="50" spans="1:16" ht="28.9" thickBot="1" x14ac:dyDescent="0.5">
      <c r="A50" s="18">
        <v>36</v>
      </c>
      <c r="B50" s="48" t="s">
        <v>43</v>
      </c>
      <c r="C50" s="49">
        <f>((C48+C18)/C18)-1</f>
        <v>0.1727883975173754</v>
      </c>
      <c r="D50" s="18"/>
      <c r="E50" s="2"/>
      <c r="F50" s="2"/>
    </row>
    <row r="51" spans="1:16" ht="14.65" thickTop="1" x14ac:dyDescent="0.45">
      <c r="A51" s="18">
        <v>37</v>
      </c>
      <c r="B51" s="1"/>
      <c r="C51" s="31"/>
      <c r="D51" s="18"/>
      <c r="F51" s="2"/>
    </row>
    <row r="52" spans="1:16" ht="14.65" thickBot="1" x14ac:dyDescent="0.5">
      <c r="A52" s="18">
        <v>38</v>
      </c>
      <c r="B52" s="3" t="s">
        <v>44</v>
      </c>
      <c r="C52" s="40">
        <f>C18+C48</f>
        <v>123140706.84599301</v>
      </c>
      <c r="D52" s="44"/>
      <c r="F52" s="2"/>
      <c r="P52" s="36"/>
    </row>
    <row r="53" spans="1:16" ht="14.65" thickTop="1" x14ac:dyDescent="0.45">
      <c r="A53" s="18"/>
      <c r="B53" s="2"/>
      <c r="C53" s="35"/>
      <c r="D53" s="50"/>
      <c r="F53" s="2"/>
      <c r="P53" s="36"/>
    </row>
    <row r="54" spans="1:16" x14ac:dyDescent="0.45">
      <c r="A54" s="18"/>
      <c r="D54" s="50"/>
      <c r="E54" s="36"/>
      <c r="P54" s="36"/>
    </row>
    <row r="55" spans="1:16" x14ac:dyDescent="0.45">
      <c r="A55" s="18"/>
      <c r="B55" s="2"/>
      <c r="C55" s="2"/>
      <c r="D55" s="50"/>
      <c r="E55" s="51"/>
      <c r="F55" s="2"/>
      <c r="G55"/>
      <c r="P55" s="36"/>
    </row>
    <row r="56" spans="1:16" x14ac:dyDescent="0.45">
      <c r="A56" s="18"/>
      <c r="B56" s="2"/>
      <c r="C56" s="25"/>
      <c r="D56" s="50"/>
      <c r="E56" s="25"/>
      <c r="F56" s="2"/>
      <c r="G56"/>
      <c r="P56" s="36"/>
    </row>
    <row r="57" spans="1:16" x14ac:dyDescent="0.45">
      <c r="E57" s="25"/>
      <c r="G57"/>
      <c r="P57" s="36"/>
    </row>
    <row r="58" spans="1:16" x14ac:dyDescent="0.45">
      <c r="D58" s="50"/>
      <c r="E58" s="36"/>
      <c r="G58"/>
      <c r="P58" s="36"/>
    </row>
    <row r="59" spans="1:16" x14ac:dyDescent="0.45">
      <c r="E59" s="36"/>
      <c r="G59"/>
      <c r="P59" s="36"/>
    </row>
    <row r="60" spans="1:16" x14ac:dyDescent="0.45">
      <c r="D60" s="50"/>
      <c r="E60" s="36"/>
      <c r="G60"/>
      <c r="P60" s="36"/>
    </row>
    <row r="61" spans="1:16" x14ac:dyDescent="0.45">
      <c r="D61" s="50"/>
      <c r="E61" s="36"/>
      <c r="G61"/>
      <c r="P61" s="36"/>
    </row>
    <row r="62" spans="1:16" x14ac:dyDescent="0.45">
      <c r="D62" s="50"/>
      <c r="E62" s="36"/>
      <c r="G62"/>
      <c r="P62" s="36"/>
    </row>
    <row r="63" spans="1:16" x14ac:dyDescent="0.45">
      <c r="D63" s="50"/>
      <c r="E63" s="36"/>
      <c r="G63"/>
      <c r="P63" s="36"/>
    </row>
    <row r="64" spans="1:16" x14ac:dyDescent="0.45">
      <c r="D64" s="50"/>
      <c r="E64" s="36"/>
      <c r="G64"/>
      <c r="P64" s="36"/>
    </row>
    <row r="65" spans="3:16" x14ac:dyDescent="0.45">
      <c r="P65" s="36"/>
    </row>
    <row r="66" spans="3:16" x14ac:dyDescent="0.45">
      <c r="P66" s="36"/>
    </row>
    <row r="67" spans="3:16" x14ac:dyDescent="0.45">
      <c r="C67" s="36"/>
    </row>
    <row r="115" spans="8:8" x14ac:dyDescent="0.45">
      <c r="H115" s="41"/>
    </row>
  </sheetData>
  <mergeCells count="5">
    <mergeCell ref="A5:E5"/>
    <mergeCell ref="A6:E6"/>
    <mergeCell ref="A7:E7"/>
    <mergeCell ref="A8:E8"/>
    <mergeCell ref="A9:E9"/>
  </mergeCells>
  <pageMargins left="0.22" right="0.23" top="0.37" bottom="0.4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E2F3-6DC4-4C4A-9362-2A60CA2818BD}">
  <sheetPr>
    <pageSetUpPr fitToPage="1"/>
  </sheetPr>
  <dimension ref="A1:K58"/>
  <sheetViews>
    <sheetView zoomScale="80" zoomScaleNormal="80" zoomScaleSheetLayoutView="50" workbookViewId="0">
      <selection sqref="A1:K1"/>
    </sheetView>
  </sheetViews>
  <sheetFormatPr defaultRowHeight="14.25" x14ac:dyDescent="0.45"/>
  <cols>
    <col min="1" max="1" width="14" customWidth="1"/>
    <col min="4" max="4" width="33.59765625" bestFit="1" customWidth="1"/>
    <col min="7" max="7" width="14" bestFit="1" customWidth="1"/>
    <col min="9" max="9" width="14.1328125" bestFit="1" customWidth="1"/>
    <col min="11" max="11" width="23.73046875" bestFit="1" customWidth="1"/>
  </cols>
  <sheetData>
    <row r="1" spans="1:11" x14ac:dyDescent="0.45">
      <c r="A1" s="189" t="s">
        <v>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x14ac:dyDescent="0.45">
      <c r="A2" s="186" t="s">
        <v>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x14ac:dyDescent="0.45">
      <c r="A3" s="186" t="s">
        <v>46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x14ac:dyDescent="0.45">
      <c r="A4" s="186" t="s">
        <v>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x14ac:dyDescent="0.4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75" t="s">
        <v>48</v>
      </c>
    </row>
    <row r="6" spans="1:11" x14ac:dyDescent="0.45">
      <c r="A6" s="185"/>
      <c r="B6" s="169"/>
      <c r="C6" s="169"/>
      <c r="D6" s="169"/>
      <c r="E6" s="169"/>
      <c r="F6" s="169"/>
      <c r="G6" s="169"/>
      <c r="H6" s="169"/>
      <c r="I6" s="169"/>
      <c r="J6" s="169"/>
      <c r="K6" s="184"/>
    </row>
    <row r="7" spans="1:11" x14ac:dyDescent="0.45">
      <c r="A7" s="177" t="s">
        <v>49</v>
      </c>
      <c r="B7" s="169"/>
      <c r="C7" s="169"/>
      <c r="D7" s="169"/>
      <c r="E7" s="169"/>
      <c r="F7" s="169"/>
      <c r="G7" s="169"/>
      <c r="H7" s="169"/>
      <c r="I7" s="169"/>
      <c r="J7" s="169"/>
      <c r="K7" s="175"/>
    </row>
    <row r="8" spans="1:11" x14ac:dyDescent="0.45">
      <c r="A8" s="169" t="s">
        <v>50</v>
      </c>
      <c r="B8" s="169"/>
      <c r="C8" s="169"/>
      <c r="D8" s="169"/>
      <c r="E8" s="169"/>
      <c r="F8" s="169"/>
      <c r="G8" s="169"/>
      <c r="H8" s="169"/>
      <c r="I8" s="169"/>
      <c r="J8" s="169"/>
      <c r="K8" s="175"/>
    </row>
    <row r="9" spans="1:11" ht="14.65" thickBot="1" x14ac:dyDescent="0.5">
      <c r="A9" s="169"/>
      <c r="B9" s="169"/>
      <c r="C9" s="169"/>
      <c r="D9" s="169"/>
      <c r="E9" s="169"/>
      <c r="F9" s="183"/>
      <c r="G9" s="169"/>
      <c r="H9" s="183"/>
      <c r="I9" s="183"/>
      <c r="J9" s="183"/>
      <c r="K9" s="183"/>
    </row>
    <row r="10" spans="1:11" x14ac:dyDescent="0.45">
      <c r="A10" s="180"/>
      <c r="B10" s="180"/>
      <c r="C10" s="180"/>
      <c r="D10" s="180"/>
      <c r="E10" s="180"/>
      <c r="F10" s="169"/>
      <c r="G10" s="181" t="s">
        <v>51</v>
      </c>
      <c r="H10" s="172"/>
      <c r="I10" s="181" t="s">
        <v>52</v>
      </c>
      <c r="J10" s="169"/>
      <c r="K10" s="169"/>
    </row>
    <row r="11" spans="1:11" x14ac:dyDescent="0.45">
      <c r="A11" s="172" t="s">
        <v>53</v>
      </c>
      <c r="B11" s="169"/>
      <c r="C11" s="169"/>
      <c r="D11" s="169"/>
      <c r="E11" s="169"/>
      <c r="F11" s="169"/>
      <c r="G11" s="172" t="s">
        <v>54</v>
      </c>
      <c r="H11" s="169"/>
      <c r="I11" s="172" t="s">
        <v>55</v>
      </c>
      <c r="J11" s="169"/>
      <c r="K11" s="170"/>
    </row>
    <row r="12" spans="1:11" ht="14.65" thickBot="1" x14ac:dyDescent="0.5">
      <c r="A12" s="172" t="s">
        <v>56</v>
      </c>
      <c r="B12" s="169"/>
      <c r="C12" s="169"/>
      <c r="D12" s="169" t="s">
        <v>57</v>
      </c>
      <c r="E12" s="169"/>
      <c r="F12" s="183"/>
      <c r="G12" s="182" t="s">
        <v>12</v>
      </c>
      <c r="H12" s="182"/>
      <c r="I12" s="182" t="s">
        <v>58</v>
      </c>
      <c r="J12" s="182"/>
      <c r="K12" s="182"/>
    </row>
    <row r="13" spans="1:11" x14ac:dyDescent="0.45">
      <c r="A13" s="181">
        <v>1</v>
      </c>
      <c r="B13" s="180"/>
      <c r="C13" s="180"/>
      <c r="D13" s="180"/>
      <c r="E13" s="180"/>
      <c r="F13" s="169"/>
      <c r="G13" s="169"/>
      <c r="H13" s="169"/>
      <c r="I13" s="169"/>
      <c r="J13" s="169"/>
      <c r="K13" s="169"/>
    </row>
    <row r="14" spans="1:11" x14ac:dyDescent="0.45">
      <c r="A14" s="172">
        <v>2</v>
      </c>
      <c r="B14" s="169"/>
      <c r="C14" s="169"/>
      <c r="D14" s="169" t="s">
        <v>59</v>
      </c>
      <c r="E14" s="169"/>
      <c r="F14" s="169"/>
      <c r="G14" s="172" t="s">
        <v>60</v>
      </c>
      <c r="H14" s="179"/>
      <c r="I14" s="179">
        <v>911780037.32735431</v>
      </c>
      <c r="J14" s="179"/>
      <c r="K14" s="169"/>
    </row>
    <row r="15" spans="1:11" x14ac:dyDescent="0.45">
      <c r="A15" s="172">
        <v>3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</row>
    <row r="16" spans="1:11" x14ac:dyDescent="0.45">
      <c r="A16" s="172">
        <v>4</v>
      </c>
      <c r="B16" s="169"/>
      <c r="C16" s="169"/>
      <c r="D16" s="169" t="s">
        <v>61</v>
      </c>
      <c r="E16" s="169"/>
      <c r="F16" s="169"/>
      <c r="G16" s="172" t="s">
        <v>62</v>
      </c>
      <c r="H16" s="169"/>
      <c r="I16" s="177">
        <v>0</v>
      </c>
      <c r="J16" s="169"/>
      <c r="K16" s="169"/>
    </row>
    <row r="17" spans="1:11" x14ac:dyDescent="0.45">
      <c r="A17" s="172">
        <v>5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</row>
    <row r="18" spans="1:11" x14ac:dyDescent="0.45">
      <c r="A18" s="172">
        <v>6</v>
      </c>
      <c r="B18" s="169"/>
      <c r="C18" s="169"/>
      <c r="D18" s="169" t="s">
        <v>63</v>
      </c>
      <c r="E18" s="169"/>
      <c r="F18" s="169"/>
      <c r="G18" s="172" t="s">
        <v>64</v>
      </c>
      <c r="H18" s="169"/>
      <c r="I18" s="169">
        <v>72387.459333333332</v>
      </c>
      <c r="J18" s="169"/>
      <c r="K18" s="169"/>
    </row>
    <row r="19" spans="1:11" x14ac:dyDescent="0.45">
      <c r="A19" s="172">
        <v>7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</row>
    <row r="20" spans="1:11" x14ac:dyDescent="0.45">
      <c r="A20" s="172">
        <v>8</v>
      </c>
      <c r="B20" s="169"/>
      <c r="C20" s="169"/>
      <c r="D20" s="169" t="s">
        <v>65</v>
      </c>
      <c r="E20" s="169"/>
      <c r="F20" s="169"/>
      <c r="G20" s="172" t="s">
        <v>66</v>
      </c>
      <c r="H20" s="169"/>
      <c r="I20" s="169">
        <v>-246429780.1216028</v>
      </c>
      <c r="J20" s="169"/>
      <c r="K20" s="178"/>
    </row>
    <row r="21" spans="1:11" x14ac:dyDescent="0.45">
      <c r="A21" s="172">
        <v>9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</row>
    <row r="22" spans="1:11" x14ac:dyDescent="0.45">
      <c r="A22" s="172">
        <v>10</v>
      </c>
      <c r="B22" s="169"/>
      <c r="C22" s="169"/>
      <c r="D22" s="169"/>
      <c r="E22" s="169"/>
      <c r="F22" s="169"/>
      <c r="G22" s="172"/>
      <c r="H22" s="169"/>
      <c r="I22" s="177"/>
      <c r="J22" s="169"/>
      <c r="K22" s="169"/>
    </row>
    <row r="23" spans="1:11" x14ac:dyDescent="0.45">
      <c r="A23" s="172">
        <v>11</v>
      </c>
      <c r="B23" s="169"/>
      <c r="C23" s="169"/>
      <c r="D23" s="169"/>
      <c r="E23" s="169"/>
      <c r="F23" s="169"/>
      <c r="G23" s="169"/>
      <c r="H23" s="169"/>
      <c r="I23" s="176"/>
      <c r="J23" s="169"/>
      <c r="K23" s="169"/>
    </row>
    <row r="24" spans="1:11" x14ac:dyDescent="0.45">
      <c r="A24" s="172">
        <v>12</v>
      </c>
      <c r="B24" s="169"/>
      <c r="C24" s="169"/>
      <c r="D24" s="169" t="s">
        <v>67</v>
      </c>
      <c r="E24" s="169"/>
      <c r="F24" s="169"/>
      <c r="G24" s="169"/>
      <c r="H24" s="169"/>
      <c r="I24" s="169">
        <f>ROUND(SUM(I14:I22),0)</f>
        <v>665422645</v>
      </c>
      <c r="J24" s="169"/>
      <c r="K24" s="169"/>
    </row>
    <row r="25" spans="1:11" x14ac:dyDescent="0.45">
      <c r="A25" s="172">
        <v>13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</row>
    <row r="26" spans="1:11" x14ac:dyDescent="0.45">
      <c r="A26" s="172">
        <v>14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</row>
    <row r="27" spans="1:11" x14ac:dyDescent="0.45">
      <c r="A27" s="172">
        <v>15</v>
      </c>
      <c r="B27" s="169"/>
      <c r="C27" s="169"/>
      <c r="D27" s="169" t="s">
        <v>68</v>
      </c>
      <c r="E27" s="169"/>
      <c r="F27" s="169"/>
      <c r="G27" s="172" t="s">
        <v>69</v>
      </c>
      <c r="H27" s="169"/>
      <c r="I27" s="169">
        <v>0</v>
      </c>
      <c r="J27" s="169"/>
      <c r="K27" s="169"/>
    </row>
    <row r="28" spans="1:11" x14ac:dyDescent="0.45">
      <c r="A28" s="172">
        <v>16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</row>
    <row r="29" spans="1:11" x14ac:dyDescent="0.45">
      <c r="A29" s="172">
        <v>17</v>
      </c>
      <c r="B29" s="169"/>
      <c r="C29" s="169"/>
      <c r="D29" s="169" t="s">
        <v>70</v>
      </c>
      <c r="E29" s="169"/>
      <c r="F29" s="169"/>
      <c r="G29" s="172" t="s">
        <v>71</v>
      </c>
      <c r="H29" s="169"/>
      <c r="I29" s="169">
        <v>-4961885</v>
      </c>
      <c r="J29" s="169"/>
      <c r="K29" s="169"/>
    </row>
    <row r="30" spans="1:11" x14ac:dyDescent="0.45">
      <c r="A30" s="172">
        <v>18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</row>
    <row r="31" spans="1:11" x14ac:dyDescent="0.45">
      <c r="A31" s="172">
        <v>19</v>
      </c>
      <c r="B31" s="169"/>
      <c r="C31" s="169"/>
      <c r="D31" s="169" t="s">
        <v>72</v>
      </c>
      <c r="E31" s="169"/>
      <c r="F31" s="169"/>
      <c r="G31" s="172" t="s">
        <v>73</v>
      </c>
      <c r="H31" s="169"/>
      <c r="I31" s="169">
        <v>5058174</v>
      </c>
      <c r="J31" s="169"/>
      <c r="K31" s="169"/>
    </row>
    <row r="32" spans="1:11" x14ac:dyDescent="0.45">
      <c r="A32" s="172">
        <v>20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</row>
    <row r="33" spans="1:11" x14ac:dyDescent="0.45">
      <c r="A33" s="172">
        <v>21</v>
      </c>
      <c r="B33" s="169"/>
      <c r="C33" s="169"/>
      <c r="D33" s="169" t="s">
        <v>74</v>
      </c>
      <c r="E33" s="169"/>
      <c r="F33" s="169"/>
      <c r="G33" s="172" t="s">
        <v>75</v>
      </c>
      <c r="H33" s="169"/>
      <c r="I33" s="169">
        <v>-79333094.110065788</v>
      </c>
      <c r="J33" s="169"/>
      <c r="K33" s="169"/>
    </row>
    <row r="34" spans="1:11" x14ac:dyDescent="0.45">
      <c r="A34" s="172">
        <v>22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1" x14ac:dyDescent="0.45">
      <c r="A35" s="172">
        <v>23</v>
      </c>
      <c r="B35" s="169"/>
      <c r="C35" s="169"/>
      <c r="D35" s="169" t="s">
        <v>76</v>
      </c>
      <c r="E35" s="169"/>
      <c r="F35" s="169"/>
      <c r="G35" s="172" t="s">
        <v>75</v>
      </c>
      <c r="H35" s="169"/>
      <c r="I35" s="169">
        <v>-15444245.984270491</v>
      </c>
      <c r="J35" s="169"/>
      <c r="K35" s="169"/>
    </row>
    <row r="36" spans="1:11" x14ac:dyDescent="0.45">
      <c r="A36" s="172">
        <v>24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</row>
    <row r="37" spans="1:11" x14ac:dyDescent="0.45">
      <c r="A37" s="172">
        <v>25</v>
      </c>
      <c r="B37" s="169"/>
      <c r="C37" s="169"/>
      <c r="D37" s="169" t="s">
        <v>77</v>
      </c>
      <c r="E37" s="169"/>
      <c r="F37" s="169"/>
      <c r="G37" s="172" t="s">
        <v>75</v>
      </c>
      <c r="H37" s="169"/>
      <c r="I37" s="169">
        <v>-93939629.312699273</v>
      </c>
      <c r="J37" s="169"/>
      <c r="K37" s="169"/>
    </row>
    <row r="38" spans="1:11" x14ac:dyDescent="0.45">
      <c r="A38" s="172">
        <v>26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</row>
    <row r="39" spans="1:11" x14ac:dyDescent="0.45">
      <c r="A39" s="172">
        <v>27</v>
      </c>
      <c r="B39" s="169"/>
      <c r="C39" s="169"/>
      <c r="D39" s="169" t="s">
        <v>78</v>
      </c>
      <c r="E39" s="169"/>
      <c r="F39" s="169"/>
      <c r="G39" s="172" t="s">
        <v>75</v>
      </c>
      <c r="H39" s="169"/>
      <c r="I39" s="169">
        <v>-2</v>
      </c>
      <c r="J39" s="169"/>
      <c r="K39" s="169"/>
    </row>
    <row r="40" spans="1:11" x14ac:dyDescent="0.45">
      <c r="A40" s="172">
        <v>28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</row>
    <row r="41" spans="1:11" x14ac:dyDescent="0.45">
      <c r="A41" s="172">
        <v>29</v>
      </c>
      <c r="B41" s="169"/>
      <c r="C41" s="169"/>
      <c r="D41" s="169" t="s">
        <v>79</v>
      </c>
      <c r="E41" s="169"/>
      <c r="F41" s="169"/>
      <c r="G41" s="172" t="s">
        <v>80</v>
      </c>
      <c r="H41" s="169"/>
      <c r="I41" s="169">
        <v>11733076</v>
      </c>
      <c r="J41" s="169"/>
      <c r="K41" s="169"/>
    </row>
    <row r="42" spans="1:11" x14ac:dyDescent="0.45">
      <c r="A42" s="172">
        <v>30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</row>
    <row r="43" spans="1:11" x14ac:dyDescent="0.45">
      <c r="A43" s="172">
        <v>31</v>
      </c>
      <c r="B43" s="169"/>
      <c r="C43" s="169"/>
      <c r="D43" s="169" t="s">
        <v>81</v>
      </c>
      <c r="E43" s="169"/>
      <c r="F43" s="169"/>
      <c r="G43" s="172" t="s">
        <v>82</v>
      </c>
      <c r="H43" s="169"/>
      <c r="I43" s="169">
        <v>937064</v>
      </c>
      <c r="J43" s="169"/>
      <c r="K43" s="169"/>
    </row>
    <row r="44" spans="1:11" x14ac:dyDescent="0.45">
      <c r="A44" s="172">
        <v>32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</row>
    <row r="45" spans="1:11" x14ac:dyDescent="0.45">
      <c r="A45" s="172">
        <v>33</v>
      </c>
      <c r="B45" s="169"/>
      <c r="C45" s="169"/>
      <c r="D45" s="169" t="s">
        <v>83</v>
      </c>
      <c r="E45" s="169"/>
      <c r="F45" s="169"/>
      <c r="G45" s="172" t="s">
        <v>84</v>
      </c>
      <c r="H45" s="175"/>
      <c r="I45" s="169">
        <v>-45611.525384615401</v>
      </c>
      <c r="J45" s="169"/>
      <c r="K45" s="169"/>
    </row>
    <row r="46" spans="1:11" x14ac:dyDescent="0.45">
      <c r="A46" s="172">
        <v>34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</row>
    <row r="47" spans="1:11" x14ac:dyDescent="0.45">
      <c r="A47" s="172">
        <v>35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</row>
    <row r="48" spans="1:11" x14ac:dyDescent="0.45">
      <c r="A48" s="172">
        <v>36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</row>
    <row r="49" spans="1:11" x14ac:dyDescent="0.45">
      <c r="A49" s="172">
        <v>37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</row>
    <row r="50" spans="1:11" x14ac:dyDescent="0.45">
      <c r="A50" s="172">
        <v>38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</row>
    <row r="51" spans="1:11" x14ac:dyDescent="0.45">
      <c r="A51" s="172">
        <v>39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</row>
    <row r="52" spans="1:11" x14ac:dyDescent="0.45">
      <c r="A52" s="172">
        <v>40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x14ac:dyDescent="0.45">
      <c r="A53" s="172">
        <v>41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1" x14ac:dyDescent="0.45">
      <c r="A54" s="172">
        <v>42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</row>
    <row r="55" spans="1:11" x14ac:dyDescent="0.45">
      <c r="A55" s="172">
        <v>43</v>
      </c>
      <c r="B55" s="169"/>
      <c r="C55" s="169"/>
      <c r="D55" s="169"/>
      <c r="E55" s="169"/>
      <c r="F55" s="169"/>
      <c r="G55" s="169"/>
      <c r="H55" s="169"/>
      <c r="I55" s="171"/>
      <c r="J55" s="169"/>
      <c r="K55" s="169"/>
    </row>
    <row r="56" spans="1:11" x14ac:dyDescent="0.45">
      <c r="A56" s="172">
        <v>44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</row>
    <row r="57" spans="1:11" ht="14.65" thickBot="1" x14ac:dyDescent="0.5">
      <c r="A57" s="172">
        <v>45</v>
      </c>
      <c r="B57" s="169"/>
      <c r="C57" s="169"/>
      <c r="D57" s="169" t="s">
        <v>85</v>
      </c>
      <c r="E57" s="169"/>
      <c r="F57" s="173"/>
      <c r="G57" s="173"/>
      <c r="H57" s="173"/>
      <c r="I57" s="174">
        <f>SUM(I24:I55)</f>
        <v>489426491.06757987</v>
      </c>
      <c r="J57" s="173"/>
      <c r="K57" s="173"/>
    </row>
    <row r="58" spans="1:11" ht="14.65" thickTop="1" x14ac:dyDescent="0.45"/>
  </sheetData>
  <mergeCells count="1">
    <mergeCell ref="A1:K1"/>
  </mergeCells>
  <printOptions horizontalCentered="1"/>
  <pageMargins left="0.25" right="0.25" top="0.25" bottom="0.25" header="0.3" footer="0.3"/>
  <pageSetup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9D04-9E11-476E-B515-0D5D3DB5543D}">
  <sheetPr>
    <pageSetUpPr fitToPage="1"/>
  </sheetPr>
  <dimension ref="A1:R299"/>
  <sheetViews>
    <sheetView tabSelected="1" zoomScale="80" zoomScaleNormal="80" zoomScaleSheetLayoutView="50" workbookViewId="0">
      <pane xSplit="1" ySplit="14" topLeftCell="B15" activePane="bottomRight" state="frozen"/>
      <selection pane="topRight" activeCell="U6" sqref="U6"/>
      <selection pane="bottomLeft" activeCell="U6" sqref="U6"/>
      <selection pane="bottomRight" activeCell="H17" sqref="H17"/>
    </sheetView>
  </sheetViews>
  <sheetFormatPr defaultColWidth="9.1328125" defaultRowHeight="14.25" x14ac:dyDescent="0.45"/>
  <cols>
    <col min="1" max="1" width="4" style="13" customWidth="1"/>
    <col min="2" max="2" width="7.1328125" style="83" customWidth="1"/>
    <col min="3" max="3" width="33.59765625" style="13" customWidth="1"/>
    <col min="4" max="4" width="11.1328125" style="13" customWidth="1"/>
    <col min="5" max="5" width="19.265625" style="13" bestFit="1" customWidth="1"/>
    <col min="6" max="6" width="15.1328125" style="13" bestFit="1" customWidth="1"/>
    <col min="7" max="7" width="15.59765625" style="13" customWidth="1"/>
    <col min="8" max="8" width="17.73046875" style="13" bestFit="1" customWidth="1"/>
    <col min="9" max="9" width="19.3984375" style="83" customWidth="1"/>
    <col min="10" max="10" width="13" style="13" customWidth="1"/>
    <col min="11" max="11" width="16" style="83" bestFit="1" customWidth="1"/>
    <col min="12" max="12" width="22.59765625" style="85" customWidth="1"/>
    <col min="13" max="13" width="79.59765625" style="85" bestFit="1" customWidth="1"/>
    <col min="14" max="15" width="9.1328125" style="13"/>
    <col min="16" max="16" width="13.86328125" style="13" bestFit="1" customWidth="1"/>
    <col min="17" max="17" width="10.59765625" style="13" bestFit="1" customWidth="1"/>
    <col min="18" max="18" width="10.265625" style="13" bestFit="1" customWidth="1"/>
    <col min="19" max="16384" width="9.1328125" style="13"/>
  </cols>
  <sheetData>
    <row r="1" spans="1:18" x14ac:dyDescent="0.45">
      <c r="A1" s="82"/>
      <c r="K1" s="84"/>
      <c r="M1" s="86" t="s">
        <v>86</v>
      </c>
    </row>
    <row r="2" spans="1:18" x14ac:dyDescent="0.45">
      <c r="A2" s="87"/>
      <c r="K2" s="84"/>
      <c r="M2" s="8"/>
    </row>
    <row r="3" spans="1:18" x14ac:dyDescent="0.45">
      <c r="A3" s="190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Q3" s="89"/>
      <c r="R3" s="90"/>
    </row>
    <row r="4" spans="1:18" x14ac:dyDescent="0.45">
      <c r="A4" s="190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8" x14ac:dyDescent="0.45">
      <c r="A5" s="190" t="s">
        <v>87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</row>
    <row r="6" spans="1:18" x14ac:dyDescent="0.45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8" x14ac:dyDescent="0.4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8" x14ac:dyDescent="0.4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8" x14ac:dyDescent="0.45">
      <c r="A9" s="11" t="s">
        <v>88</v>
      </c>
      <c r="B9" s="91"/>
      <c r="M9" s="92" t="s">
        <v>86</v>
      </c>
    </row>
    <row r="10" spans="1:18" x14ac:dyDescent="0.45">
      <c r="A10" s="13" t="s">
        <v>7</v>
      </c>
      <c r="E10" s="93"/>
      <c r="F10" s="94"/>
      <c r="G10" s="91"/>
      <c r="H10" s="91"/>
      <c r="I10" s="91"/>
      <c r="J10" s="190"/>
      <c r="K10" s="190"/>
      <c r="M10" s="12" t="s">
        <v>17</v>
      </c>
    </row>
    <row r="11" spans="1:18" x14ac:dyDescent="0.45">
      <c r="A11" s="83"/>
      <c r="B11" s="91"/>
      <c r="C11" s="91"/>
      <c r="D11" s="88"/>
      <c r="E11" s="94" t="s">
        <v>89</v>
      </c>
      <c r="F11" s="94"/>
      <c r="G11" s="94" t="s">
        <v>90</v>
      </c>
      <c r="H11" s="94" t="s">
        <v>91</v>
      </c>
      <c r="I11" s="94" t="s">
        <v>92</v>
      </c>
      <c r="J11" s="94" t="s">
        <v>93</v>
      </c>
      <c r="K11" s="94" t="s">
        <v>94</v>
      </c>
      <c r="L11" s="88"/>
      <c r="M11" s="88"/>
    </row>
    <row r="12" spans="1:18" s="83" customFormat="1" x14ac:dyDescent="0.45">
      <c r="B12" s="94" t="s">
        <v>95</v>
      </c>
      <c r="D12" s="88" t="s">
        <v>51</v>
      </c>
      <c r="E12" s="88" t="s">
        <v>96</v>
      </c>
      <c r="F12" s="88"/>
      <c r="G12" s="88" t="s">
        <v>97</v>
      </c>
      <c r="H12" s="88" t="s">
        <v>98</v>
      </c>
      <c r="I12" s="95">
        <v>45688</v>
      </c>
      <c r="J12" s="88" t="s">
        <v>99</v>
      </c>
      <c r="K12" s="88" t="s">
        <v>100</v>
      </c>
      <c r="L12" s="94" t="s">
        <v>101</v>
      </c>
      <c r="M12" s="94" t="s">
        <v>94</v>
      </c>
    </row>
    <row r="13" spans="1:18" s="83" customFormat="1" x14ac:dyDescent="0.45">
      <c r="A13" s="88" t="s">
        <v>53</v>
      </c>
      <c r="B13" s="88" t="s">
        <v>102</v>
      </c>
      <c r="D13" s="88" t="s">
        <v>54</v>
      </c>
      <c r="E13" s="88" t="s">
        <v>103</v>
      </c>
      <c r="F13" s="94" t="s">
        <v>104</v>
      </c>
      <c r="G13" s="88" t="s">
        <v>105</v>
      </c>
      <c r="H13" s="88" t="s">
        <v>106</v>
      </c>
      <c r="I13" s="88" t="s">
        <v>107</v>
      </c>
      <c r="J13" s="88" t="s">
        <v>108</v>
      </c>
      <c r="K13" s="88" t="s">
        <v>108</v>
      </c>
      <c r="L13" s="94" t="s">
        <v>93</v>
      </c>
      <c r="M13" s="88" t="s">
        <v>93</v>
      </c>
    </row>
    <row r="14" spans="1:18" s="83" customFormat="1" x14ac:dyDescent="0.45">
      <c r="A14" s="96" t="s">
        <v>56</v>
      </c>
      <c r="B14" s="96" t="s">
        <v>109</v>
      </c>
      <c r="C14" s="96" t="s">
        <v>110</v>
      </c>
      <c r="D14" s="96" t="s">
        <v>12</v>
      </c>
      <c r="E14" s="97">
        <v>45199</v>
      </c>
      <c r="F14" s="94" t="s">
        <v>97</v>
      </c>
      <c r="G14" s="96" t="s">
        <v>111</v>
      </c>
      <c r="H14" s="96" t="s">
        <v>112</v>
      </c>
      <c r="I14" s="96" t="s">
        <v>113</v>
      </c>
      <c r="J14" s="96" t="s">
        <v>113</v>
      </c>
      <c r="K14" s="98" t="s">
        <v>113</v>
      </c>
      <c r="L14" s="96" t="s">
        <v>114</v>
      </c>
      <c r="M14" s="99" t="s">
        <v>115</v>
      </c>
    </row>
    <row r="15" spans="1:18" x14ac:dyDescent="0.45">
      <c r="A15" s="100"/>
      <c r="B15" s="101"/>
      <c r="C15" s="102"/>
      <c r="D15" s="100"/>
      <c r="E15" s="100"/>
      <c r="F15" s="100"/>
      <c r="G15" s="100"/>
      <c r="H15" s="100"/>
      <c r="I15" s="101"/>
      <c r="J15" s="100"/>
      <c r="K15" s="101"/>
    </row>
    <row r="16" spans="1:18" x14ac:dyDescent="0.45">
      <c r="A16" s="103">
        <v>1</v>
      </c>
      <c r="B16" s="88"/>
      <c r="C16" s="104" t="s">
        <v>116</v>
      </c>
      <c r="D16" s="103"/>
      <c r="E16" s="105"/>
      <c r="F16" s="105"/>
      <c r="G16" s="105"/>
      <c r="H16" s="105"/>
      <c r="I16" s="106"/>
      <c r="J16" s="105"/>
      <c r="K16" s="106"/>
      <c r="L16" s="103"/>
      <c r="M16" s="103"/>
    </row>
    <row r="17" spans="1:17" x14ac:dyDescent="0.45">
      <c r="A17" s="103">
        <v>2</v>
      </c>
      <c r="B17" s="103">
        <v>400</v>
      </c>
      <c r="C17" s="107" t="s">
        <v>117</v>
      </c>
      <c r="D17" s="103" t="s">
        <v>118</v>
      </c>
      <c r="E17" s="108">
        <v>110021445.26532254</v>
      </c>
      <c r="F17" s="108">
        <v>2014209</v>
      </c>
      <c r="G17" s="108">
        <v>308297</v>
      </c>
      <c r="H17" s="108">
        <v>-9851113.0899999999</v>
      </c>
      <c r="I17" s="108">
        <f>E17+F17+G17+H17</f>
        <v>102492838.17532253</v>
      </c>
      <c r="J17" s="108">
        <v>18142475.807438675</v>
      </c>
      <c r="K17" s="108">
        <f>I17+J17</f>
        <v>120635313.9827612</v>
      </c>
      <c r="L17" s="103" t="s">
        <v>119</v>
      </c>
      <c r="M17" s="109" t="s">
        <v>120</v>
      </c>
    </row>
    <row r="18" spans="1:17" x14ac:dyDescent="0.45">
      <c r="A18" s="103">
        <v>3</v>
      </c>
      <c r="B18" s="103">
        <v>400</v>
      </c>
      <c r="C18" s="107" t="s">
        <v>121</v>
      </c>
      <c r="D18" s="103" t="s">
        <v>118</v>
      </c>
      <c r="E18" s="110">
        <v>2455327.6280041323</v>
      </c>
      <c r="F18" s="110">
        <v>50065</v>
      </c>
      <c r="G18" s="110">
        <v>0</v>
      </c>
      <c r="H18" s="110">
        <v>0</v>
      </c>
      <c r="I18" s="110">
        <f>E18+F18+G18+H18</f>
        <v>2505392.6280041323</v>
      </c>
      <c r="J18" s="110">
        <v>0</v>
      </c>
      <c r="K18" s="110">
        <f>I18+J18</f>
        <v>2505392.6280041323</v>
      </c>
      <c r="L18" s="103" t="s">
        <v>119</v>
      </c>
      <c r="M18" s="109" t="s">
        <v>120</v>
      </c>
    </row>
    <row r="19" spans="1:17" x14ac:dyDescent="0.45">
      <c r="A19" s="103">
        <v>4</v>
      </c>
      <c r="B19" s="103">
        <v>420</v>
      </c>
      <c r="C19" s="111" t="s">
        <v>122</v>
      </c>
      <c r="D19" s="103" t="s">
        <v>123</v>
      </c>
      <c r="E19" s="112">
        <v>0</v>
      </c>
      <c r="F19" s="112">
        <v>1672091</v>
      </c>
      <c r="G19" s="112">
        <f>-F19</f>
        <v>-1672091</v>
      </c>
      <c r="H19" s="112">
        <v>0</v>
      </c>
      <c r="I19" s="112">
        <v>0</v>
      </c>
      <c r="J19" s="112"/>
      <c r="K19" s="112">
        <f>I19+J19</f>
        <v>0</v>
      </c>
      <c r="L19" s="103" t="s">
        <v>124</v>
      </c>
      <c r="M19" s="109" t="s">
        <v>125</v>
      </c>
    </row>
    <row r="20" spans="1:17" ht="14.65" thickBot="1" x14ac:dyDescent="0.5">
      <c r="A20" s="103">
        <v>5</v>
      </c>
      <c r="B20" s="88" t="s">
        <v>126</v>
      </c>
      <c r="C20" s="113" t="s">
        <v>127</v>
      </c>
      <c r="D20" s="103"/>
      <c r="E20" s="114">
        <f t="shared" ref="E20:K20" si="0">SUM(E17:E19)</f>
        <v>112476772.89332667</v>
      </c>
      <c r="F20" s="114">
        <f t="shared" si="0"/>
        <v>3736365</v>
      </c>
      <c r="G20" s="114">
        <f t="shared" si="0"/>
        <v>-1363794</v>
      </c>
      <c r="H20" s="114">
        <f t="shared" si="0"/>
        <v>-9851113.0899999999</v>
      </c>
      <c r="I20" s="114">
        <f t="shared" si="0"/>
        <v>104998230.80332667</v>
      </c>
      <c r="J20" s="114">
        <f t="shared" si="0"/>
        <v>18142475.807438675</v>
      </c>
      <c r="K20" s="114">
        <f t="shared" si="0"/>
        <v>123140706.61076534</v>
      </c>
      <c r="L20" s="103"/>
      <c r="M20" s="109"/>
    </row>
    <row r="21" spans="1:17" ht="14.65" thickTop="1" x14ac:dyDescent="0.45">
      <c r="A21" s="103">
        <v>6</v>
      </c>
      <c r="B21" s="88"/>
      <c r="E21" s="115"/>
      <c r="F21" s="115"/>
      <c r="G21" s="115"/>
      <c r="H21" s="115"/>
      <c r="I21" s="115"/>
      <c r="J21" s="115"/>
      <c r="K21" s="115"/>
      <c r="L21" s="103"/>
      <c r="M21" s="116"/>
    </row>
    <row r="22" spans="1:17" x14ac:dyDescent="0.45">
      <c r="A22" s="103">
        <v>7</v>
      </c>
      <c r="B22" s="88">
        <v>401</v>
      </c>
      <c r="C22" s="104" t="s">
        <v>128</v>
      </c>
      <c r="D22" s="103"/>
      <c r="E22" s="117"/>
      <c r="F22" s="117"/>
      <c r="G22" s="117"/>
      <c r="H22" s="117"/>
      <c r="I22" s="117"/>
      <c r="J22" s="117"/>
      <c r="K22" s="117"/>
      <c r="L22" s="103"/>
      <c r="M22" s="109"/>
    </row>
    <row r="23" spans="1:17" x14ac:dyDescent="0.45">
      <c r="A23" s="103">
        <v>8</v>
      </c>
      <c r="B23" s="88"/>
      <c r="C23" s="91" t="s">
        <v>129</v>
      </c>
      <c r="D23" s="103"/>
      <c r="E23" s="117"/>
      <c r="F23" s="117"/>
      <c r="G23" s="117"/>
      <c r="H23" s="117"/>
      <c r="I23" s="117"/>
      <c r="J23" s="117"/>
      <c r="K23" s="117"/>
      <c r="L23" s="103"/>
      <c r="M23" s="109"/>
    </row>
    <row r="24" spans="1:17" x14ac:dyDescent="0.45">
      <c r="A24" s="103">
        <v>9</v>
      </c>
      <c r="B24" s="88"/>
      <c r="C24" s="107" t="s">
        <v>130</v>
      </c>
      <c r="D24" s="103" t="s">
        <v>118</v>
      </c>
      <c r="E24" s="118">
        <v>379970</v>
      </c>
      <c r="F24" s="118">
        <v>-10996</v>
      </c>
      <c r="G24" s="118">
        <v>-20572.5</v>
      </c>
      <c r="H24" s="118">
        <v>0</v>
      </c>
      <c r="I24" s="118">
        <f>ROUND(E24+F24+G24+H24,0)</f>
        <v>348402</v>
      </c>
      <c r="J24" s="118">
        <v>0</v>
      </c>
      <c r="K24" s="118">
        <f t="shared" ref="K24:K48" si="1">I24+J24</f>
        <v>348402</v>
      </c>
      <c r="L24" s="103" t="s">
        <v>131</v>
      </c>
      <c r="M24" s="116" t="s">
        <v>132</v>
      </c>
    </row>
    <row r="25" spans="1:17" x14ac:dyDescent="0.45">
      <c r="A25" s="103">
        <v>10</v>
      </c>
      <c r="B25" s="88"/>
      <c r="C25" s="107" t="s">
        <v>133</v>
      </c>
      <c r="D25" s="103" t="s">
        <v>118</v>
      </c>
      <c r="E25" s="110">
        <v>5363786</v>
      </c>
      <c r="F25" s="110">
        <v>300828</v>
      </c>
      <c r="G25" s="110">
        <v>-786604</v>
      </c>
      <c r="H25" s="110">
        <v>0</v>
      </c>
      <c r="I25" s="110">
        <f>ROUND(E25+F25+G25+H25,0)</f>
        <v>4878010</v>
      </c>
      <c r="J25" s="110">
        <v>0</v>
      </c>
      <c r="K25" s="110">
        <f t="shared" si="1"/>
        <v>4878010</v>
      </c>
      <c r="L25" s="103" t="s">
        <v>134</v>
      </c>
      <c r="M25" s="116" t="s">
        <v>135</v>
      </c>
    </row>
    <row r="26" spans="1:17" x14ac:dyDescent="0.45">
      <c r="A26" s="103">
        <v>11</v>
      </c>
      <c r="B26" s="88"/>
      <c r="C26" s="107" t="s">
        <v>136</v>
      </c>
      <c r="D26" s="103" t="s">
        <v>118</v>
      </c>
      <c r="E26" s="110">
        <v>4498283</v>
      </c>
      <c r="F26" s="110">
        <v>1126309</v>
      </c>
      <c r="G26" s="110">
        <v>-313653</v>
      </c>
      <c r="H26" s="110">
        <v>0</v>
      </c>
      <c r="I26" s="110">
        <f t="shared" ref="I26:I48" si="2">ROUND(E26+F26+G26+H26,0)</f>
        <v>5310939</v>
      </c>
      <c r="J26" s="110">
        <v>0</v>
      </c>
      <c r="K26" s="110">
        <f>I26+J26</f>
        <v>5310939</v>
      </c>
      <c r="L26" s="103" t="s">
        <v>137</v>
      </c>
      <c r="M26" s="116" t="s">
        <v>138</v>
      </c>
      <c r="P26" s="119"/>
      <c r="Q26" s="46"/>
    </row>
    <row r="27" spans="1:17" x14ac:dyDescent="0.45">
      <c r="A27" s="103">
        <v>12</v>
      </c>
      <c r="B27" s="88"/>
      <c r="C27" s="107" t="s">
        <v>139</v>
      </c>
      <c r="D27" s="103" t="s">
        <v>118</v>
      </c>
      <c r="E27" s="110">
        <v>459292</v>
      </c>
      <c r="F27" s="110">
        <v>220112.15788900002</v>
      </c>
      <c r="G27" s="110">
        <v>-37888</v>
      </c>
      <c r="H27" s="110">
        <v>0</v>
      </c>
      <c r="I27" s="110">
        <f t="shared" si="2"/>
        <v>641516</v>
      </c>
      <c r="J27" s="110">
        <v>0</v>
      </c>
      <c r="K27" s="110">
        <f t="shared" si="1"/>
        <v>641516</v>
      </c>
      <c r="L27" s="103" t="s">
        <v>140</v>
      </c>
      <c r="M27" s="116" t="s">
        <v>141</v>
      </c>
    </row>
    <row r="28" spans="1:17" x14ac:dyDescent="0.45">
      <c r="A28" s="103">
        <v>13</v>
      </c>
      <c r="B28" s="88"/>
      <c r="C28" s="107" t="s">
        <v>142</v>
      </c>
      <c r="D28" s="103" t="s">
        <v>118</v>
      </c>
      <c r="E28" s="110">
        <v>8933355.9740750007</v>
      </c>
      <c r="F28" s="110">
        <v>34265</v>
      </c>
      <c r="G28" s="110">
        <v>-403637</v>
      </c>
      <c r="H28" s="110">
        <v>0</v>
      </c>
      <c r="I28" s="110">
        <f t="shared" si="2"/>
        <v>8563984</v>
      </c>
      <c r="J28" s="110">
        <v>0</v>
      </c>
      <c r="K28" s="110">
        <f t="shared" si="1"/>
        <v>8563984</v>
      </c>
      <c r="L28" s="103" t="s">
        <v>143</v>
      </c>
      <c r="M28" s="116" t="s">
        <v>144</v>
      </c>
    </row>
    <row r="29" spans="1:17" x14ac:dyDescent="0.45">
      <c r="A29" s="103">
        <v>14</v>
      </c>
      <c r="B29" s="88"/>
      <c r="C29" s="107" t="s">
        <v>145</v>
      </c>
      <c r="D29" s="103" t="s">
        <v>118</v>
      </c>
      <c r="E29" s="110">
        <v>30660.780000000006</v>
      </c>
      <c r="F29" s="110">
        <v>106242.22</v>
      </c>
      <c r="G29" s="110">
        <v>0</v>
      </c>
      <c r="H29" s="110">
        <v>0</v>
      </c>
      <c r="I29" s="110">
        <f t="shared" si="2"/>
        <v>136903</v>
      </c>
      <c r="J29" s="110">
        <v>0</v>
      </c>
      <c r="K29" s="110">
        <f t="shared" si="1"/>
        <v>136903</v>
      </c>
      <c r="L29" s="103" t="s">
        <v>146</v>
      </c>
      <c r="M29" s="116" t="s">
        <v>147</v>
      </c>
    </row>
    <row r="30" spans="1:17" x14ac:dyDescent="0.45">
      <c r="A30" s="103">
        <v>15</v>
      </c>
      <c r="B30" s="88"/>
      <c r="C30" s="107" t="s">
        <v>148</v>
      </c>
      <c r="D30" s="103" t="s">
        <v>118</v>
      </c>
      <c r="E30" s="110">
        <v>-698945.26</v>
      </c>
      <c r="F30" s="110">
        <v>98630.260000000009</v>
      </c>
      <c r="G30" s="110">
        <v>0</v>
      </c>
      <c r="H30" s="110">
        <v>0</v>
      </c>
      <c r="I30" s="110">
        <f t="shared" si="2"/>
        <v>-600315</v>
      </c>
      <c r="J30" s="110">
        <v>0</v>
      </c>
      <c r="K30" s="110">
        <f t="shared" si="1"/>
        <v>-600315</v>
      </c>
      <c r="L30" s="103" t="s">
        <v>149</v>
      </c>
      <c r="M30" s="116" t="s">
        <v>150</v>
      </c>
    </row>
    <row r="31" spans="1:17" x14ac:dyDescent="0.45">
      <c r="A31" s="103">
        <v>16</v>
      </c>
      <c r="B31" s="88"/>
      <c r="C31" s="107" t="s">
        <v>151</v>
      </c>
      <c r="D31" s="103" t="s">
        <v>118</v>
      </c>
      <c r="E31" s="110">
        <v>1412762.0700000003</v>
      </c>
      <c r="F31" s="110">
        <v>159911.9299999997</v>
      </c>
      <c r="G31" s="110">
        <v>0</v>
      </c>
      <c r="H31" s="110">
        <v>0</v>
      </c>
      <c r="I31" s="110">
        <f t="shared" si="2"/>
        <v>1572674</v>
      </c>
      <c r="J31" s="110">
        <v>0</v>
      </c>
      <c r="K31" s="110">
        <f t="shared" si="1"/>
        <v>1572674</v>
      </c>
      <c r="L31" s="103" t="s">
        <v>149</v>
      </c>
      <c r="M31" s="116" t="s">
        <v>150</v>
      </c>
    </row>
    <row r="32" spans="1:17" x14ac:dyDescent="0.45">
      <c r="A32" s="103">
        <v>17</v>
      </c>
      <c r="B32" s="88"/>
      <c r="C32" s="107" t="s">
        <v>152</v>
      </c>
      <c r="D32" s="103" t="s">
        <v>118</v>
      </c>
      <c r="E32" s="110">
        <v>733653.2100000002</v>
      </c>
      <c r="F32" s="110">
        <v>42254</v>
      </c>
      <c r="G32" s="110">
        <v>0</v>
      </c>
      <c r="H32" s="110">
        <v>0</v>
      </c>
      <c r="I32" s="110">
        <f>ROUNDUP(E32+F32+G32+H32,0)</f>
        <v>775908</v>
      </c>
      <c r="J32" s="110">
        <v>0</v>
      </c>
      <c r="K32" s="110">
        <f t="shared" si="1"/>
        <v>775908</v>
      </c>
      <c r="L32" s="103" t="s">
        <v>153</v>
      </c>
      <c r="M32" s="116" t="s">
        <v>154</v>
      </c>
    </row>
    <row r="33" spans="1:13" x14ac:dyDescent="0.45">
      <c r="A33" s="103">
        <v>18</v>
      </c>
      <c r="B33" s="88"/>
      <c r="C33" s="107" t="s">
        <v>155</v>
      </c>
      <c r="D33" s="103" t="s">
        <v>118</v>
      </c>
      <c r="E33" s="110">
        <v>11996359.000000002</v>
      </c>
      <c r="F33" s="110">
        <v>523069.15284389636</v>
      </c>
      <c r="G33" s="110">
        <v>-245688</v>
      </c>
      <c r="H33" s="110">
        <v>0</v>
      </c>
      <c r="I33" s="110">
        <f t="shared" si="2"/>
        <v>12273740</v>
      </c>
      <c r="J33" s="110">
        <v>0</v>
      </c>
      <c r="K33" s="110">
        <f t="shared" si="1"/>
        <v>12273740</v>
      </c>
      <c r="L33" s="103" t="s">
        <v>156</v>
      </c>
      <c r="M33" s="116" t="s">
        <v>157</v>
      </c>
    </row>
    <row r="34" spans="1:13" x14ac:dyDescent="0.45">
      <c r="A34" s="103">
        <v>19</v>
      </c>
      <c r="B34" s="88"/>
      <c r="C34" s="107" t="s">
        <v>158</v>
      </c>
      <c r="D34" s="103" t="s">
        <v>118</v>
      </c>
      <c r="E34" s="110">
        <v>1226753.51</v>
      </c>
      <c r="F34" s="110">
        <v>210930</v>
      </c>
      <c r="G34" s="110">
        <v>-122601.51</v>
      </c>
      <c r="H34" s="110">
        <v>0</v>
      </c>
      <c r="I34" s="110">
        <f t="shared" si="2"/>
        <v>1315082</v>
      </c>
      <c r="J34" s="110">
        <v>0</v>
      </c>
      <c r="K34" s="110">
        <f t="shared" si="1"/>
        <v>1315082</v>
      </c>
      <c r="L34" s="103" t="s">
        <v>159</v>
      </c>
      <c r="M34" s="116" t="s">
        <v>160</v>
      </c>
    </row>
    <row r="35" spans="1:13" x14ac:dyDescent="0.45">
      <c r="A35" s="103">
        <v>20</v>
      </c>
      <c r="B35" s="88"/>
      <c r="C35" s="107" t="s">
        <v>161</v>
      </c>
      <c r="D35" s="103" t="s">
        <v>118</v>
      </c>
      <c r="E35" s="110">
        <v>844101.03674166871</v>
      </c>
      <c r="F35" s="110">
        <v>67736</v>
      </c>
      <c r="G35" s="110">
        <v>-67735.509999999995</v>
      </c>
      <c r="H35" s="110">
        <v>0</v>
      </c>
      <c r="I35" s="110">
        <f t="shared" si="2"/>
        <v>844102</v>
      </c>
      <c r="J35" s="110">
        <v>0</v>
      </c>
      <c r="K35" s="110">
        <f t="shared" si="1"/>
        <v>844102</v>
      </c>
      <c r="L35" s="103" t="s">
        <v>162</v>
      </c>
      <c r="M35" s="116" t="s">
        <v>163</v>
      </c>
    </row>
    <row r="36" spans="1:13" x14ac:dyDescent="0.45">
      <c r="A36" s="103">
        <v>21</v>
      </c>
      <c r="B36" s="88"/>
      <c r="C36" s="107" t="s">
        <v>164</v>
      </c>
      <c r="D36" s="103" t="s">
        <v>118</v>
      </c>
      <c r="E36" s="110">
        <v>217280</v>
      </c>
      <c r="F36" s="110">
        <v>57768.639999999999</v>
      </c>
      <c r="G36" s="110">
        <v>0</v>
      </c>
      <c r="H36" s="110">
        <v>0</v>
      </c>
      <c r="I36" s="110">
        <f t="shared" si="2"/>
        <v>275049</v>
      </c>
      <c r="J36" s="110">
        <v>0</v>
      </c>
      <c r="K36" s="110">
        <f t="shared" si="1"/>
        <v>275049</v>
      </c>
      <c r="L36" s="103" t="s">
        <v>165</v>
      </c>
      <c r="M36" s="116" t="s">
        <v>166</v>
      </c>
    </row>
    <row r="37" spans="1:13" x14ac:dyDescent="0.45">
      <c r="A37" s="103">
        <v>22</v>
      </c>
      <c r="B37" s="88"/>
      <c r="C37" s="107" t="s">
        <v>167</v>
      </c>
      <c r="D37" s="103" t="s">
        <v>118</v>
      </c>
      <c r="E37" s="110">
        <v>14086.839999999998</v>
      </c>
      <c r="F37" s="110">
        <v>-1999.7499999999998</v>
      </c>
      <c r="G37" s="110">
        <v>0</v>
      </c>
      <c r="H37" s="110">
        <v>0</v>
      </c>
      <c r="I37" s="110">
        <f t="shared" si="2"/>
        <v>12087</v>
      </c>
      <c r="J37" s="110">
        <v>0</v>
      </c>
      <c r="K37" s="110">
        <f t="shared" si="1"/>
        <v>12087</v>
      </c>
      <c r="L37" s="103" t="s">
        <v>168</v>
      </c>
      <c r="M37" s="116" t="s">
        <v>169</v>
      </c>
    </row>
    <row r="38" spans="1:13" x14ac:dyDescent="0.45">
      <c r="A38" s="103">
        <v>23</v>
      </c>
      <c r="B38" s="88"/>
      <c r="C38" s="107" t="s">
        <v>170</v>
      </c>
      <c r="D38" s="103" t="s">
        <v>118</v>
      </c>
      <c r="E38" s="110">
        <v>283848.03022220265</v>
      </c>
      <c r="F38" s="110">
        <v>-44436.917129345238</v>
      </c>
      <c r="G38" s="110">
        <v>-30089.842870654771</v>
      </c>
      <c r="H38" s="110">
        <v>0</v>
      </c>
      <c r="I38" s="110">
        <f t="shared" si="2"/>
        <v>209321</v>
      </c>
      <c r="J38" s="110">
        <v>0</v>
      </c>
      <c r="K38" s="110">
        <f t="shared" si="1"/>
        <v>209321</v>
      </c>
      <c r="L38" s="103" t="s">
        <v>171</v>
      </c>
      <c r="M38" s="116" t="s">
        <v>172</v>
      </c>
    </row>
    <row r="39" spans="1:13" x14ac:dyDescent="0.45">
      <c r="A39" s="103">
        <v>24</v>
      </c>
      <c r="B39" s="88"/>
      <c r="C39" s="107" t="s">
        <v>173</v>
      </c>
      <c r="D39" s="103" t="s">
        <v>118</v>
      </c>
      <c r="E39" s="110">
        <v>0</v>
      </c>
      <c r="F39" s="110">
        <v>0</v>
      </c>
      <c r="G39" s="110">
        <v>0</v>
      </c>
      <c r="H39" s="110">
        <v>0</v>
      </c>
      <c r="I39" s="110">
        <f t="shared" si="2"/>
        <v>0</v>
      </c>
      <c r="J39" s="110">
        <v>0</v>
      </c>
      <c r="K39" s="110">
        <f t="shared" si="1"/>
        <v>0</v>
      </c>
      <c r="L39" s="103" t="s">
        <v>174</v>
      </c>
      <c r="M39" s="116" t="s">
        <v>175</v>
      </c>
    </row>
    <row r="40" spans="1:13" x14ac:dyDescent="0.45">
      <c r="A40" s="103">
        <v>25</v>
      </c>
      <c r="B40" s="88"/>
      <c r="C40" s="107" t="s">
        <v>176</v>
      </c>
      <c r="D40" s="103" t="s">
        <v>118</v>
      </c>
      <c r="E40" s="110">
        <v>160214</v>
      </c>
      <c r="F40" s="110">
        <v>16550</v>
      </c>
      <c r="G40" s="110">
        <v>-19777</v>
      </c>
      <c r="H40" s="110">
        <v>0</v>
      </c>
      <c r="I40" s="110">
        <f t="shared" si="2"/>
        <v>156987</v>
      </c>
      <c r="J40" s="110">
        <v>0</v>
      </c>
      <c r="K40" s="110">
        <f t="shared" si="1"/>
        <v>156987</v>
      </c>
      <c r="L40" s="103" t="s">
        <v>177</v>
      </c>
      <c r="M40" s="116" t="s">
        <v>178</v>
      </c>
    </row>
    <row r="41" spans="1:13" x14ac:dyDescent="0.45">
      <c r="A41" s="103">
        <v>26</v>
      </c>
      <c r="B41" s="88"/>
      <c r="C41" s="107" t="s">
        <v>179</v>
      </c>
      <c r="D41" s="103" t="s">
        <v>118</v>
      </c>
      <c r="E41" s="110">
        <v>708688</v>
      </c>
      <c r="F41" s="110">
        <v>98625.749782813597</v>
      </c>
      <c r="G41" s="110">
        <v>-98273</v>
      </c>
      <c r="H41" s="110">
        <v>0</v>
      </c>
      <c r="I41" s="110">
        <f t="shared" si="2"/>
        <v>709041</v>
      </c>
      <c r="J41" s="110">
        <v>0</v>
      </c>
      <c r="K41" s="110">
        <f t="shared" si="1"/>
        <v>709041</v>
      </c>
      <c r="L41" s="103" t="s">
        <v>180</v>
      </c>
      <c r="M41" s="116" t="s">
        <v>181</v>
      </c>
    </row>
    <row r="42" spans="1:13" x14ac:dyDescent="0.45">
      <c r="A42" s="103">
        <v>27</v>
      </c>
      <c r="B42" s="88"/>
      <c r="C42" s="107" t="s">
        <v>182</v>
      </c>
      <c r="D42" s="103" t="s">
        <v>118</v>
      </c>
      <c r="E42" s="110">
        <v>37581.080742733378</v>
      </c>
      <c r="F42" s="110">
        <v>9598</v>
      </c>
      <c r="G42" s="110">
        <v>-9598</v>
      </c>
      <c r="H42" s="110">
        <v>0</v>
      </c>
      <c r="I42" s="110">
        <f t="shared" si="2"/>
        <v>37581</v>
      </c>
      <c r="J42" s="110">
        <v>0</v>
      </c>
      <c r="K42" s="110">
        <f t="shared" si="1"/>
        <v>37581</v>
      </c>
      <c r="L42" s="103" t="s">
        <v>183</v>
      </c>
      <c r="M42" s="116" t="s">
        <v>184</v>
      </c>
    </row>
    <row r="43" spans="1:13" x14ac:dyDescent="0.45">
      <c r="A43" s="103">
        <v>28</v>
      </c>
      <c r="B43" s="88"/>
      <c r="C43" s="107" t="s">
        <v>185</v>
      </c>
      <c r="D43" s="103" t="s">
        <v>118</v>
      </c>
      <c r="E43" s="110">
        <v>603279</v>
      </c>
      <c r="F43" s="110">
        <v>51018.700000000012</v>
      </c>
      <c r="G43" s="110">
        <v>0</v>
      </c>
      <c r="H43" s="110">
        <v>0</v>
      </c>
      <c r="I43" s="110">
        <f t="shared" si="2"/>
        <v>654298</v>
      </c>
      <c r="J43" s="110">
        <v>0</v>
      </c>
      <c r="K43" s="110">
        <f t="shared" si="1"/>
        <v>654298</v>
      </c>
      <c r="L43" s="103" t="s">
        <v>186</v>
      </c>
      <c r="M43" s="116" t="s">
        <v>187</v>
      </c>
    </row>
    <row r="44" spans="1:13" x14ac:dyDescent="0.45">
      <c r="A44" s="103">
        <v>29</v>
      </c>
      <c r="B44" s="88"/>
      <c r="C44" s="107" t="s">
        <v>188</v>
      </c>
      <c r="D44" s="103" t="s">
        <v>118</v>
      </c>
      <c r="E44" s="110">
        <v>488418</v>
      </c>
      <c r="F44" s="110">
        <v>188275.56</v>
      </c>
      <c r="G44" s="110">
        <v>-40758</v>
      </c>
      <c r="H44" s="110">
        <v>-16879.559999999998</v>
      </c>
      <c r="I44" s="110">
        <f t="shared" si="2"/>
        <v>619056</v>
      </c>
      <c r="J44" s="110">
        <f>J20*'Page 4'!C19</f>
        <v>109580.36078280541</v>
      </c>
      <c r="K44" s="110">
        <f t="shared" si="1"/>
        <v>728636.36078280536</v>
      </c>
      <c r="L44" s="103" t="s">
        <v>189</v>
      </c>
      <c r="M44" s="116" t="s">
        <v>190</v>
      </c>
    </row>
    <row r="45" spans="1:13" x14ac:dyDescent="0.45">
      <c r="A45" s="103">
        <v>30</v>
      </c>
      <c r="B45" s="88"/>
      <c r="C45" s="107" t="s">
        <v>191</v>
      </c>
      <c r="D45" s="103" t="s">
        <v>118</v>
      </c>
      <c r="E45" s="110">
        <v>126997.98000000001</v>
      </c>
      <c r="F45" s="110">
        <v>351974.00000000006</v>
      </c>
      <c r="G45" s="110">
        <v>-352529</v>
      </c>
      <c r="H45" s="110">
        <v>0</v>
      </c>
      <c r="I45" s="110">
        <f t="shared" si="2"/>
        <v>126443</v>
      </c>
      <c r="J45" s="110">
        <v>0</v>
      </c>
      <c r="K45" s="110">
        <f t="shared" si="1"/>
        <v>126443</v>
      </c>
      <c r="L45" s="103" t="s">
        <v>192</v>
      </c>
      <c r="M45" s="116" t="s">
        <v>193</v>
      </c>
    </row>
    <row r="46" spans="1:13" x14ac:dyDescent="0.45">
      <c r="A46" s="103">
        <v>31</v>
      </c>
      <c r="B46" s="88"/>
      <c r="C46" s="107" t="s">
        <v>194</v>
      </c>
      <c r="D46" s="103" t="s">
        <v>118</v>
      </c>
      <c r="E46" s="110">
        <v>224</v>
      </c>
      <c r="F46" s="110">
        <v>660295</v>
      </c>
      <c r="G46" s="110">
        <v>-328272</v>
      </c>
      <c r="H46" s="110">
        <v>0</v>
      </c>
      <c r="I46" s="110">
        <f>ROUNDDOWN(E46+F46+G46+H46,0)</f>
        <v>332247</v>
      </c>
      <c r="J46" s="110">
        <v>0</v>
      </c>
      <c r="K46" s="110">
        <f t="shared" si="1"/>
        <v>332247</v>
      </c>
      <c r="L46" s="103" t="s">
        <v>195</v>
      </c>
      <c r="M46" s="116" t="s">
        <v>196</v>
      </c>
    </row>
    <row r="47" spans="1:13" x14ac:dyDescent="0.45">
      <c r="A47" s="103">
        <v>32</v>
      </c>
      <c r="B47" s="88"/>
      <c r="C47" s="107" t="s">
        <v>197</v>
      </c>
      <c r="D47" s="103" t="s">
        <v>118</v>
      </c>
      <c r="E47" s="110">
        <v>1416883</v>
      </c>
      <c r="F47" s="110">
        <v>236421</v>
      </c>
      <c r="G47" s="110">
        <v>0</v>
      </c>
      <c r="H47" s="110">
        <v>0</v>
      </c>
      <c r="I47" s="110">
        <f t="shared" si="2"/>
        <v>1653304</v>
      </c>
      <c r="J47" s="110">
        <v>0</v>
      </c>
      <c r="K47" s="110">
        <f t="shared" si="1"/>
        <v>1653304</v>
      </c>
      <c r="L47" s="103" t="s">
        <v>198</v>
      </c>
      <c r="M47" s="116" t="s">
        <v>199</v>
      </c>
    </row>
    <row r="48" spans="1:13" x14ac:dyDescent="0.45">
      <c r="A48" s="103">
        <v>33</v>
      </c>
      <c r="B48" s="88"/>
      <c r="C48" s="111" t="s">
        <v>200</v>
      </c>
      <c r="D48" s="103" t="s">
        <v>118</v>
      </c>
      <c r="E48" s="112">
        <v>2410967</v>
      </c>
      <c r="F48" s="112">
        <v>314254.15244444442</v>
      </c>
      <c r="G48" s="112">
        <v>-123962</v>
      </c>
      <c r="H48" s="112">
        <v>0</v>
      </c>
      <c r="I48" s="112">
        <f t="shared" si="2"/>
        <v>2601259</v>
      </c>
      <c r="J48" s="112">
        <v>0</v>
      </c>
      <c r="K48" s="112">
        <f t="shared" si="1"/>
        <v>2601259</v>
      </c>
      <c r="L48" s="103" t="s">
        <v>201</v>
      </c>
      <c r="M48" s="116" t="s">
        <v>202</v>
      </c>
    </row>
    <row r="49" spans="1:13" x14ac:dyDescent="0.45">
      <c r="A49" s="103">
        <v>34</v>
      </c>
      <c r="B49" s="88" t="s">
        <v>126</v>
      </c>
      <c r="C49" s="113" t="s">
        <v>203</v>
      </c>
      <c r="D49" s="103"/>
      <c r="E49" s="120">
        <f>ROUNDUP(SUM(E24:E48),0)</f>
        <v>41648499</v>
      </c>
      <c r="F49" s="120">
        <f>SUM(F24:F48)</f>
        <v>4817635.8558308091</v>
      </c>
      <c r="G49" s="120">
        <f>SUM(G24:G48)-0.13</f>
        <v>-3001638.4928706549</v>
      </c>
      <c r="H49" s="120">
        <f>SUM(H24:H48)</f>
        <v>-16879.559999999998</v>
      </c>
      <c r="I49" s="120">
        <f>SUM(I24:I48)</f>
        <v>43447618</v>
      </c>
      <c r="J49" s="120">
        <f>SUM(J24:J48)</f>
        <v>109580.36078280541</v>
      </c>
      <c r="K49" s="120">
        <f>SUM(K24:K48)</f>
        <v>43557198.360782802</v>
      </c>
      <c r="L49" s="103"/>
      <c r="M49" s="116"/>
    </row>
    <row r="50" spans="1:13" x14ac:dyDescent="0.45">
      <c r="A50" s="103">
        <v>35</v>
      </c>
      <c r="B50" s="88"/>
      <c r="C50" s="11"/>
      <c r="D50" s="103"/>
      <c r="E50" s="121"/>
      <c r="F50" s="121"/>
      <c r="G50" s="121"/>
      <c r="H50" s="121"/>
      <c r="I50" s="121"/>
      <c r="J50" s="121"/>
      <c r="K50" s="121"/>
      <c r="L50" s="103"/>
      <c r="M50" s="116"/>
    </row>
    <row r="51" spans="1:13" x14ac:dyDescent="0.45">
      <c r="A51" s="103">
        <v>36</v>
      </c>
      <c r="B51" s="88"/>
      <c r="C51" s="104" t="s">
        <v>204</v>
      </c>
      <c r="D51" s="103"/>
      <c r="E51" s="122"/>
      <c r="F51" s="122"/>
      <c r="G51" s="122"/>
      <c r="H51" s="122"/>
      <c r="I51" s="122"/>
      <c r="J51" s="122"/>
      <c r="K51" s="122"/>
      <c r="L51" s="103"/>
      <c r="M51" s="116"/>
    </row>
    <row r="52" spans="1:13" x14ac:dyDescent="0.45">
      <c r="A52" s="103">
        <v>37</v>
      </c>
      <c r="B52" s="88">
        <v>403</v>
      </c>
      <c r="C52" s="123" t="s">
        <v>205</v>
      </c>
      <c r="D52" s="103" t="s">
        <v>118</v>
      </c>
      <c r="E52" s="118">
        <v>21356110.518590875</v>
      </c>
      <c r="F52" s="118">
        <v>7384225.5028402293</v>
      </c>
      <c r="G52" s="118">
        <v>-1399628</v>
      </c>
      <c r="H52" s="118">
        <v>0</v>
      </c>
      <c r="I52" s="118">
        <f t="shared" ref="I52" si="3">ROUND(E52+F52+G52+H52,0)</f>
        <v>27340708</v>
      </c>
      <c r="J52" s="118">
        <v>0</v>
      </c>
      <c r="K52" s="118">
        <f>I52+J52</f>
        <v>27340708</v>
      </c>
      <c r="L52" s="103" t="s">
        <v>206</v>
      </c>
      <c r="M52" s="116" t="s">
        <v>125</v>
      </c>
    </row>
    <row r="53" spans="1:13" x14ac:dyDescent="0.45">
      <c r="A53" s="103">
        <v>38</v>
      </c>
      <c r="B53" s="88">
        <v>406</v>
      </c>
      <c r="C53" s="107" t="s">
        <v>21</v>
      </c>
      <c r="D53" s="103" t="s">
        <v>118</v>
      </c>
      <c r="E53" s="110">
        <v>23283.599999999999</v>
      </c>
      <c r="F53" s="110">
        <v>-8560.6299999999992</v>
      </c>
      <c r="G53" s="110">
        <v>0</v>
      </c>
      <c r="H53" s="110">
        <v>0</v>
      </c>
      <c r="I53" s="110">
        <f>E53+F53</f>
        <v>14722.97</v>
      </c>
      <c r="J53" s="110">
        <v>0</v>
      </c>
      <c r="K53" s="110">
        <f>I53+J53</f>
        <v>14722.97</v>
      </c>
      <c r="L53" s="103" t="s">
        <v>207</v>
      </c>
      <c r="M53" s="116" t="s">
        <v>208</v>
      </c>
    </row>
    <row r="54" spans="1:13" x14ac:dyDescent="0.45">
      <c r="A54" s="103">
        <v>39</v>
      </c>
      <c r="B54" s="88">
        <v>407</v>
      </c>
      <c r="C54" s="107" t="s">
        <v>22</v>
      </c>
      <c r="D54" s="103" t="s">
        <v>118</v>
      </c>
      <c r="E54" s="110">
        <v>63980.039999999986</v>
      </c>
      <c r="F54" s="110">
        <v>-6900</v>
      </c>
      <c r="G54" s="110">
        <v>0</v>
      </c>
      <c r="H54" s="110">
        <v>0</v>
      </c>
      <c r="I54" s="110">
        <f>E54+F54</f>
        <v>57080.039999999986</v>
      </c>
      <c r="J54" s="110"/>
      <c r="K54" s="110">
        <f>I54+J54</f>
        <v>57080.039999999986</v>
      </c>
      <c r="L54" s="103" t="s">
        <v>207</v>
      </c>
      <c r="M54" s="116" t="s">
        <v>208</v>
      </c>
    </row>
    <row r="55" spans="1:13" hidden="1" x14ac:dyDescent="0.45">
      <c r="A55" s="103">
        <v>40</v>
      </c>
      <c r="B55" s="88"/>
      <c r="C55" s="107"/>
      <c r="D55" s="103"/>
      <c r="E55" s="110"/>
      <c r="F55" s="110"/>
      <c r="G55" s="110"/>
      <c r="H55" s="110"/>
      <c r="I55" s="110"/>
      <c r="J55" s="110"/>
      <c r="K55" s="110"/>
      <c r="L55" s="103"/>
      <c r="M55" s="116"/>
    </row>
    <row r="56" spans="1:13" x14ac:dyDescent="0.45">
      <c r="A56" s="103">
        <v>41</v>
      </c>
      <c r="B56" s="88"/>
      <c r="C56" s="124" t="s">
        <v>209</v>
      </c>
      <c r="D56" s="103" t="s">
        <v>118</v>
      </c>
      <c r="E56" s="110"/>
      <c r="F56" s="110"/>
      <c r="G56" s="110"/>
      <c r="H56" s="110"/>
      <c r="I56" s="110"/>
      <c r="J56" s="110"/>
      <c r="K56" s="110"/>
      <c r="L56" s="103"/>
      <c r="M56" s="116"/>
    </row>
    <row r="57" spans="1:13" x14ac:dyDescent="0.45">
      <c r="A57" s="103">
        <v>42</v>
      </c>
      <c r="B57" s="88">
        <v>409</v>
      </c>
      <c r="C57" s="125" t="s">
        <v>210</v>
      </c>
      <c r="D57" s="103" t="s">
        <v>118</v>
      </c>
      <c r="E57" s="110">
        <v>-15043.547441567855</v>
      </c>
      <c r="F57" s="110">
        <v>-131966.73495350964</v>
      </c>
      <c r="G57" s="110">
        <f>-565343*($F57/SUM($F$57:$F$58))+0.49</f>
        <v>-135850.12928259114</v>
      </c>
      <c r="H57" s="110">
        <f>I57-(SUM(E57:G57))</f>
        <v>-35077.487477572577</v>
      </c>
      <c r="I57" s="110">
        <v>-317937.8991552412</v>
      </c>
      <c r="J57" s="110">
        <f>(J20-J49-J63)*'Page 4'!C24</f>
        <v>900463.69717063056</v>
      </c>
      <c r="K57" s="110">
        <f>I57+J57</f>
        <v>582525.79801538936</v>
      </c>
      <c r="L57" s="103" t="s">
        <v>211</v>
      </c>
      <c r="M57" s="116" t="s">
        <v>212</v>
      </c>
    </row>
    <row r="58" spans="1:13" x14ac:dyDescent="0.45">
      <c r="A58" s="103">
        <v>43</v>
      </c>
      <c r="B58" s="88">
        <v>410</v>
      </c>
      <c r="C58" s="125" t="s">
        <v>213</v>
      </c>
      <c r="D58" s="103" t="s">
        <v>118</v>
      </c>
      <c r="E58" s="110">
        <v>1432305.5809426787</v>
      </c>
      <c r="F58" s="110">
        <v>-417213.46188923379</v>
      </c>
      <c r="G58" s="110">
        <f>-565343*($F58/SUM($F$57:$F$58))</f>
        <v>-429492.3807174089</v>
      </c>
      <c r="H58" s="110">
        <f>I58-(SUM(E58:G58))</f>
        <v>429492.38071740896</v>
      </c>
      <c r="I58" s="110">
        <v>1015092.1190534449</v>
      </c>
      <c r="J58" s="110">
        <v>0</v>
      </c>
      <c r="K58" s="110">
        <f>I58+J58</f>
        <v>1015092.1190534449</v>
      </c>
      <c r="L58" s="103" t="s">
        <v>211</v>
      </c>
      <c r="M58" s="116" t="s">
        <v>212</v>
      </c>
    </row>
    <row r="59" spans="1:13" x14ac:dyDescent="0.45">
      <c r="A59" s="103">
        <v>44</v>
      </c>
      <c r="B59" s="88"/>
      <c r="C59" s="124" t="s">
        <v>214</v>
      </c>
      <c r="D59" s="103" t="s">
        <v>118</v>
      </c>
      <c r="E59" s="110"/>
      <c r="F59" s="110"/>
      <c r="G59" s="110"/>
      <c r="H59" s="110"/>
      <c r="I59" s="110"/>
      <c r="J59" s="110"/>
      <c r="K59" s="110"/>
      <c r="L59" s="103"/>
      <c r="M59" s="116"/>
    </row>
    <row r="60" spans="1:13" x14ac:dyDescent="0.45">
      <c r="A60" s="103">
        <v>45</v>
      </c>
      <c r="B60" s="88">
        <v>409</v>
      </c>
      <c r="C60" s="125" t="s">
        <v>215</v>
      </c>
      <c r="D60" s="103" t="s">
        <v>118</v>
      </c>
      <c r="E60" s="110">
        <v>564537.71138314693</v>
      </c>
      <c r="F60" s="110">
        <v>-521616.89508950524</v>
      </c>
      <c r="G60" s="110">
        <f>-2255717*($F60/SUM($F$60:$F$61))+0.49</f>
        <v>-501439.38472870039</v>
      </c>
      <c r="H60" s="110">
        <f t="shared" ref="H60" si="4">I60-(SUM(E60:G60))</f>
        <v>-180561.80614435242</v>
      </c>
      <c r="I60" s="110">
        <v>-639080.37457941112</v>
      </c>
      <c r="J60" s="110">
        <f>(J20-J49-J63-J57)*'Page 4'!C27</f>
        <v>3592850.1517108157</v>
      </c>
      <c r="K60" s="110">
        <f>I60+J60</f>
        <v>2953769.7771314047</v>
      </c>
      <c r="L60" s="103" t="s">
        <v>216</v>
      </c>
      <c r="M60" s="116" t="s">
        <v>217</v>
      </c>
    </row>
    <row r="61" spans="1:13" x14ac:dyDescent="0.45">
      <c r="A61" s="103">
        <v>46</v>
      </c>
      <c r="B61" s="88">
        <v>410</v>
      </c>
      <c r="C61" s="125" t="s">
        <v>218</v>
      </c>
      <c r="D61" s="103" t="s">
        <v>118</v>
      </c>
      <c r="E61" s="110">
        <v>4294975.9837723542</v>
      </c>
      <c r="F61" s="110">
        <v>-1824866.0174973994</v>
      </c>
      <c r="G61" s="110">
        <f>-2255717*($F61/SUM($F$60:$F$61))</f>
        <v>-1754277.1252712994</v>
      </c>
      <c r="H61" s="110">
        <f>I61-(SUM(E61:G61))</f>
        <v>1754277.1252712994</v>
      </c>
      <c r="I61" s="110">
        <v>2470109.9662749548</v>
      </c>
      <c r="J61" s="110">
        <v>0</v>
      </c>
      <c r="K61" s="110">
        <f>I61+J61</f>
        <v>2470109.9662749548</v>
      </c>
      <c r="L61" s="103" t="s">
        <v>216</v>
      </c>
      <c r="M61" s="116" t="s">
        <v>217</v>
      </c>
    </row>
    <row r="62" spans="1:13" ht="18.75" customHeight="1" x14ac:dyDescent="0.45">
      <c r="A62" s="103">
        <v>47</v>
      </c>
      <c r="B62" s="88">
        <v>412</v>
      </c>
      <c r="C62" s="107" t="s">
        <v>25</v>
      </c>
      <c r="D62" s="103" t="s">
        <v>118</v>
      </c>
      <c r="E62" s="110">
        <v>-11832.7575</v>
      </c>
      <c r="F62" s="110">
        <v>11832.7575</v>
      </c>
      <c r="G62" s="110">
        <v>0</v>
      </c>
      <c r="H62" s="110">
        <v>0</v>
      </c>
      <c r="I62" s="110">
        <f>E62+F62</f>
        <v>0</v>
      </c>
      <c r="J62" s="110">
        <v>0</v>
      </c>
      <c r="K62" s="110">
        <f>I62+J62</f>
        <v>0</v>
      </c>
      <c r="L62" s="103" t="s">
        <v>216</v>
      </c>
      <c r="M62" s="116" t="s">
        <v>219</v>
      </c>
    </row>
    <row r="63" spans="1:13" ht="18.75" customHeight="1" x14ac:dyDescent="0.45">
      <c r="A63" s="103">
        <v>48</v>
      </c>
      <c r="B63" s="88">
        <v>408</v>
      </c>
      <c r="C63" s="111" t="s">
        <v>220</v>
      </c>
      <c r="D63" s="103" t="s">
        <v>118</v>
      </c>
      <c r="E63" s="110">
        <v>8817187.1899999995</v>
      </c>
      <c r="F63" s="110">
        <v>1834407.3499999996</v>
      </c>
      <c r="G63" s="110">
        <v>-1023778</v>
      </c>
      <c r="H63" s="110">
        <v>-34302</v>
      </c>
      <c r="I63" s="110">
        <f t="shared" ref="I63" si="5">ROUND(E63+F63+G63+H63,0)</f>
        <v>9593515</v>
      </c>
      <c r="J63" s="110">
        <f>J20*'Page 4'!C20</f>
        <v>23621.503243258736</v>
      </c>
      <c r="K63" s="110">
        <f>I63+J63</f>
        <v>9617136.5032432582</v>
      </c>
      <c r="L63" s="103" t="s">
        <v>221</v>
      </c>
      <c r="M63" s="126" t="s">
        <v>222</v>
      </c>
    </row>
    <row r="64" spans="1:13" x14ac:dyDescent="0.45">
      <c r="A64" s="103">
        <v>49</v>
      </c>
      <c r="B64" s="88"/>
      <c r="C64" s="113" t="s">
        <v>223</v>
      </c>
      <c r="D64" s="103"/>
      <c r="E64" s="127">
        <f>ROUNDUP(SUM(E52:E63),0)</f>
        <v>36525505</v>
      </c>
      <c r="F64" s="127">
        <f t="shared" ref="F64:K64" si="6">SUM(F52:F63)</f>
        <v>6319341.8709105812</v>
      </c>
      <c r="G64" s="127">
        <f t="shared" si="6"/>
        <v>-5244465.0199999996</v>
      </c>
      <c r="H64" s="127">
        <f t="shared" si="6"/>
        <v>1933828.2123667833</v>
      </c>
      <c r="I64" s="127">
        <f t="shared" si="6"/>
        <v>39534209.821593747</v>
      </c>
      <c r="J64" s="127">
        <f t="shared" si="6"/>
        <v>4516935.352124705</v>
      </c>
      <c r="K64" s="127">
        <f t="shared" si="6"/>
        <v>44051145.173718452</v>
      </c>
      <c r="L64" s="103"/>
      <c r="M64" s="116"/>
    </row>
    <row r="65" spans="1:13" x14ac:dyDescent="0.45">
      <c r="A65" s="103">
        <v>50</v>
      </c>
      <c r="B65" s="88"/>
      <c r="C65" s="11"/>
      <c r="D65" s="103"/>
      <c r="E65" s="128"/>
      <c r="F65" s="128"/>
      <c r="G65" s="128"/>
      <c r="H65" s="128"/>
      <c r="I65" s="128"/>
      <c r="J65" s="128"/>
      <c r="K65" s="128"/>
      <c r="L65" s="103"/>
      <c r="M65" s="116"/>
    </row>
    <row r="66" spans="1:13" ht="14.65" thickBot="1" x14ac:dyDescent="0.5">
      <c r="A66" s="103">
        <v>51</v>
      </c>
      <c r="B66" s="88"/>
      <c r="C66" s="113" t="s">
        <v>224</v>
      </c>
      <c r="D66" s="103"/>
      <c r="E66" s="129">
        <f t="shared" ref="E66:K66" si="7">E49+E64</f>
        <v>78174004</v>
      </c>
      <c r="F66" s="129">
        <f t="shared" si="7"/>
        <v>11136977.72674139</v>
      </c>
      <c r="G66" s="129">
        <f t="shared" si="7"/>
        <v>-8246103.5128706545</v>
      </c>
      <c r="H66" s="129">
        <f t="shared" si="7"/>
        <v>1916948.6523667832</v>
      </c>
      <c r="I66" s="129">
        <f t="shared" si="7"/>
        <v>82981827.821593747</v>
      </c>
      <c r="J66" s="129">
        <f t="shared" si="7"/>
        <v>4626515.7129075108</v>
      </c>
      <c r="K66" s="129">
        <f t="shared" si="7"/>
        <v>87608343.534501255</v>
      </c>
      <c r="L66" s="103"/>
      <c r="M66" s="130"/>
    </row>
    <row r="67" spans="1:13" ht="14.65" thickTop="1" x14ac:dyDescent="0.45">
      <c r="A67" s="103">
        <v>52</v>
      </c>
      <c r="B67" s="88"/>
      <c r="C67" s="11"/>
      <c r="D67" s="103"/>
      <c r="E67" s="110"/>
      <c r="F67" s="110"/>
      <c r="G67" s="110"/>
      <c r="H67" s="110"/>
      <c r="I67" s="110"/>
      <c r="J67" s="110"/>
      <c r="K67" s="110"/>
      <c r="L67" s="131"/>
      <c r="M67" s="13"/>
    </row>
    <row r="68" spans="1:13" ht="14.65" thickBot="1" x14ac:dyDescent="0.5">
      <c r="A68" s="103">
        <v>53</v>
      </c>
      <c r="B68" s="88"/>
      <c r="C68" s="91" t="s">
        <v>225</v>
      </c>
      <c r="D68" s="103"/>
      <c r="E68" s="129">
        <f>E20-E66</f>
        <v>34302768.89332667</v>
      </c>
      <c r="F68" s="129">
        <f>F20-F66</f>
        <v>-7400612.7267413903</v>
      </c>
      <c r="G68" s="129">
        <f>ROUNDDOWN(G20-G66,0)</f>
        <v>6882309</v>
      </c>
      <c r="H68" s="129">
        <f>H20-H66</f>
        <v>-11768061.742366783</v>
      </c>
      <c r="I68" s="129">
        <f>I20-I66</f>
        <v>22016402.98173292</v>
      </c>
      <c r="J68" s="129">
        <f>J20-J66</f>
        <v>13515960.094531164</v>
      </c>
      <c r="K68" s="129">
        <f>K20-K66</f>
        <v>35532363.076264083</v>
      </c>
      <c r="M68" s="13"/>
    </row>
    <row r="69" spans="1:13" ht="14.65" thickTop="1" x14ac:dyDescent="0.45">
      <c r="A69" s="103"/>
      <c r="B69" s="88"/>
      <c r="C69" s="91"/>
      <c r="D69" s="103"/>
      <c r="E69" s="132"/>
      <c r="F69" s="132"/>
      <c r="G69" s="132"/>
      <c r="H69" s="133"/>
      <c r="I69" s="133"/>
      <c r="J69" s="133"/>
      <c r="K69" s="133"/>
      <c r="M69" s="13"/>
    </row>
    <row r="70" spans="1:13" x14ac:dyDescent="0.45">
      <c r="A70" s="103"/>
      <c r="B70" s="88"/>
      <c r="C70" s="11"/>
      <c r="D70" s="103"/>
      <c r="E70" s="134"/>
      <c r="F70" s="134"/>
      <c r="G70" s="134"/>
      <c r="H70" s="135"/>
      <c r="I70" s="135"/>
      <c r="J70" s="135"/>
      <c r="K70" s="135"/>
      <c r="L70" s="136"/>
      <c r="M70" s="13"/>
    </row>
    <row r="71" spans="1:13" x14ac:dyDescent="0.45">
      <c r="A71" s="103"/>
      <c r="B71" s="88"/>
      <c r="D71" s="103"/>
      <c r="E71" s="134"/>
      <c r="F71" s="134"/>
      <c r="G71" s="134"/>
      <c r="H71" s="135"/>
      <c r="I71" s="135"/>
      <c r="J71" s="135"/>
      <c r="K71" s="135"/>
      <c r="M71" s="13"/>
    </row>
    <row r="72" spans="1:13" x14ac:dyDescent="0.45">
      <c r="A72" s="103"/>
      <c r="B72" s="88"/>
      <c r="C72" s="11"/>
      <c r="D72" s="137"/>
      <c r="E72" s="135"/>
      <c r="F72" s="135"/>
      <c r="G72" s="135"/>
      <c r="H72" s="135"/>
      <c r="I72" s="138"/>
      <c r="J72" s="135"/>
      <c r="K72" s="138"/>
      <c r="M72" s="13"/>
    </row>
    <row r="73" spans="1:13" x14ac:dyDescent="0.45">
      <c r="A73" s="103"/>
      <c r="B73" s="88"/>
      <c r="C73" s="11"/>
      <c r="D73" s="103"/>
      <c r="E73" s="139"/>
      <c r="F73" s="139"/>
      <c r="G73" s="139"/>
      <c r="H73" s="139"/>
      <c r="I73" s="139"/>
      <c r="J73" s="139"/>
      <c r="K73" s="139"/>
      <c r="L73" s="103"/>
      <c r="M73" s="13"/>
    </row>
    <row r="74" spans="1:13" x14ac:dyDescent="0.45">
      <c r="A74" s="103"/>
      <c r="B74" s="88"/>
      <c r="C74" s="11"/>
      <c r="D74" s="103"/>
      <c r="E74" s="140"/>
      <c r="F74" s="141"/>
      <c r="G74" s="141"/>
      <c r="H74" s="141"/>
      <c r="I74" s="135"/>
      <c r="J74" s="141"/>
      <c r="K74" s="135"/>
      <c r="M74" s="13"/>
    </row>
    <row r="75" spans="1:13" x14ac:dyDescent="0.45">
      <c r="A75" s="103"/>
      <c r="B75" s="88"/>
      <c r="C75" s="11"/>
      <c r="D75" s="103"/>
      <c r="E75" s="140"/>
      <c r="F75" s="135"/>
      <c r="G75" s="135"/>
      <c r="H75" s="135"/>
      <c r="I75" s="135"/>
      <c r="J75" s="141"/>
      <c r="K75" s="135"/>
      <c r="M75" s="13"/>
    </row>
    <row r="76" spans="1:13" x14ac:dyDescent="0.45">
      <c r="A76" s="103"/>
      <c r="B76" s="88"/>
      <c r="C76" s="11"/>
      <c r="D76" s="103"/>
      <c r="E76" s="140"/>
      <c r="F76" s="141"/>
      <c r="G76" s="141"/>
      <c r="H76" s="141"/>
      <c r="I76" s="135"/>
      <c r="J76" s="141"/>
      <c r="K76" s="135"/>
      <c r="M76" s="13"/>
    </row>
    <row r="77" spans="1:13" x14ac:dyDescent="0.45">
      <c r="A77" s="103"/>
      <c r="B77" s="88"/>
      <c r="C77" s="11"/>
      <c r="D77" s="103"/>
      <c r="E77" s="140"/>
      <c r="F77" s="141"/>
      <c r="G77" s="141"/>
      <c r="H77" s="141"/>
      <c r="I77" s="135"/>
      <c r="J77" s="141"/>
      <c r="K77" s="135"/>
      <c r="M77" s="13"/>
    </row>
    <row r="78" spans="1:13" x14ac:dyDescent="0.45">
      <c r="A78" s="103"/>
      <c r="B78" s="88"/>
      <c r="C78" s="11"/>
      <c r="D78" s="103"/>
      <c r="E78" s="140"/>
      <c r="F78" s="141"/>
      <c r="G78" s="141"/>
      <c r="H78" s="141"/>
      <c r="I78" s="135"/>
      <c r="J78" s="141"/>
      <c r="K78" s="135"/>
      <c r="M78" s="13"/>
    </row>
    <row r="79" spans="1:13" x14ac:dyDescent="0.45">
      <c r="A79" s="103"/>
      <c r="B79" s="88"/>
      <c r="C79" s="11"/>
      <c r="D79" s="103"/>
      <c r="E79" s="135"/>
      <c r="F79" s="135"/>
      <c r="G79" s="135"/>
      <c r="H79" s="135"/>
      <c r="I79" s="135"/>
      <c r="J79" s="135"/>
      <c r="K79" s="135"/>
      <c r="L79" s="136"/>
      <c r="M79" s="13"/>
    </row>
    <row r="80" spans="1:13" x14ac:dyDescent="0.45">
      <c r="A80" s="103"/>
      <c r="B80" s="88"/>
      <c r="D80" s="103"/>
      <c r="E80" s="135"/>
      <c r="F80" s="135"/>
      <c r="G80" s="135"/>
      <c r="H80" s="135"/>
      <c r="I80" s="135"/>
      <c r="J80" s="135"/>
      <c r="K80" s="135"/>
      <c r="L80" s="136"/>
      <c r="M80" s="13"/>
    </row>
    <row r="81" spans="1:13" x14ac:dyDescent="0.45">
      <c r="A81" s="103"/>
      <c r="B81" s="88"/>
      <c r="C81" s="11"/>
      <c r="D81" s="103"/>
      <c r="E81" s="135"/>
      <c r="F81" s="135"/>
      <c r="G81" s="135"/>
      <c r="H81" s="135"/>
      <c r="I81" s="135"/>
      <c r="J81" s="135"/>
      <c r="K81" s="135"/>
      <c r="L81" s="136"/>
      <c r="M81" s="13"/>
    </row>
    <row r="82" spans="1:13" x14ac:dyDescent="0.45">
      <c r="A82" s="103"/>
      <c r="B82" s="88"/>
      <c r="D82" s="103"/>
      <c r="E82" s="11"/>
      <c r="F82" s="11"/>
      <c r="G82" s="11"/>
      <c r="H82" s="11"/>
      <c r="I82" s="11"/>
      <c r="J82" s="11"/>
      <c r="K82" s="11"/>
      <c r="M82" s="13"/>
    </row>
    <row r="83" spans="1:13" x14ac:dyDescent="0.45">
      <c r="A83" s="103"/>
      <c r="B83" s="13"/>
      <c r="D83" s="103"/>
      <c r="I83" s="13"/>
      <c r="K83" s="13"/>
      <c r="L83" s="13"/>
      <c r="M83" s="13"/>
    </row>
    <row r="84" spans="1:13" x14ac:dyDescent="0.45">
      <c r="B84" s="13"/>
      <c r="D84" s="103"/>
      <c r="E84" s="11"/>
      <c r="I84" s="13"/>
      <c r="K84" s="13"/>
      <c r="L84" s="13"/>
      <c r="M84" s="13"/>
    </row>
    <row r="85" spans="1:13" x14ac:dyDescent="0.45">
      <c r="B85" s="13"/>
      <c r="D85" s="103"/>
      <c r="E85" s="11"/>
      <c r="I85" s="13"/>
      <c r="K85" s="13"/>
      <c r="L85" s="13"/>
      <c r="M85" s="13"/>
    </row>
    <row r="86" spans="1:13" x14ac:dyDescent="0.45">
      <c r="B86" s="13"/>
      <c r="D86" s="103"/>
      <c r="I86" s="13"/>
      <c r="K86" s="13"/>
      <c r="L86" s="13"/>
      <c r="M86" s="13"/>
    </row>
    <row r="87" spans="1:13" x14ac:dyDescent="0.45">
      <c r="B87" s="13"/>
      <c r="D87" s="103"/>
      <c r="I87" s="13"/>
      <c r="K87" s="13"/>
      <c r="L87" s="13"/>
      <c r="M87" s="13"/>
    </row>
    <row r="88" spans="1:13" x14ac:dyDescent="0.45">
      <c r="B88" s="13"/>
      <c r="D88" s="103"/>
      <c r="I88" s="13"/>
      <c r="K88" s="13"/>
      <c r="L88" s="13"/>
      <c r="M88" s="13"/>
    </row>
    <row r="89" spans="1:13" x14ac:dyDescent="0.45">
      <c r="B89" s="13"/>
      <c r="I89" s="13"/>
      <c r="K89" s="13"/>
      <c r="L89" s="13"/>
      <c r="M89" s="13"/>
    </row>
    <row r="90" spans="1:13" x14ac:dyDescent="0.45">
      <c r="B90" s="13"/>
      <c r="I90" s="13"/>
      <c r="K90" s="13"/>
      <c r="L90" s="13"/>
      <c r="M90" s="13"/>
    </row>
    <row r="91" spans="1:13" x14ac:dyDescent="0.45">
      <c r="B91" s="13"/>
      <c r="I91" s="13"/>
      <c r="K91" s="13"/>
      <c r="L91" s="13"/>
      <c r="M91" s="13"/>
    </row>
    <row r="92" spans="1:13" x14ac:dyDescent="0.45">
      <c r="B92" s="13"/>
      <c r="I92" s="13"/>
      <c r="K92" s="13"/>
      <c r="L92" s="13"/>
      <c r="M92" s="13"/>
    </row>
    <row r="93" spans="1:13" x14ac:dyDescent="0.45">
      <c r="B93" s="13"/>
      <c r="I93" s="13"/>
      <c r="K93" s="13"/>
      <c r="L93" s="13"/>
      <c r="M93" s="13"/>
    </row>
    <row r="94" spans="1:13" x14ac:dyDescent="0.45">
      <c r="B94" s="13"/>
      <c r="I94" s="13"/>
      <c r="K94" s="13"/>
      <c r="L94" s="13"/>
      <c r="M94" s="13"/>
    </row>
    <row r="95" spans="1:13" x14ac:dyDescent="0.45">
      <c r="B95" s="13"/>
      <c r="I95" s="13"/>
      <c r="K95" s="13"/>
      <c r="L95" s="13"/>
      <c r="M95" s="13"/>
    </row>
    <row r="96" spans="1:13" x14ac:dyDescent="0.45">
      <c r="B96" s="13"/>
      <c r="I96" s="13"/>
      <c r="K96" s="13"/>
      <c r="L96" s="13"/>
      <c r="M96" s="13"/>
    </row>
    <row r="97" s="13" customFormat="1" x14ac:dyDescent="0.45"/>
    <row r="98" s="13" customFormat="1" x14ac:dyDescent="0.45"/>
    <row r="99" s="13" customFormat="1" x14ac:dyDescent="0.45"/>
    <row r="100" s="13" customFormat="1" x14ac:dyDescent="0.45"/>
    <row r="101" s="13" customFormat="1" x14ac:dyDescent="0.45"/>
    <row r="102" s="13" customFormat="1" x14ac:dyDescent="0.45"/>
    <row r="103" s="13" customFormat="1" x14ac:dyDescent="0.45"/>
    <row r="104" s="13" customFormat="1" x14ac:dyDescent="0.45"/>
    <row r="105" s="13" customFormat="1" x14ac:dyDescent="0.45"/>
    <row r="106" s="13" customFormat="1" x14ac:dyDescent="0.45"/>
    <row r="107" s="13" customFormat="1" x14ac:dyDescent="0.45"/>
    <row r="108" s="13" customFormat="1" x14ac:dyDescent="0.45"/>
    <row r="109" s="13" customFormat="1" x14ac:dyDescent="0.45"/>
    <row r="110" s="13" customFormat="1" x14ac:dyDescent="0.45"/>
    <row r="111" s="13" customFormat="1" x14ac:dyDescent="0.45"/>
    <row r="112" s="13" customFormat="1" x14ac:dyDescent="0.45"/>
    <row r="113" s="13" customFormat="1" x14ac:dyDescent="0.45"/>
    <row r="114" s="13" customFormat="1" x14ac:dyDescent="0.45"/>
    <row r="115" s="13" customFormat="1" x14ac:dyDescent="0.45"/>
    <row r="116" s="13" customFormat="1" x14ac:dyDescent="0.45"/>
    <row r="117" s="13" customFormat="1" x14ac:dyDescent="0.45"/>
    <row r="118" s="13" customFormat="1" x14ac:dyDescent="0.45"/>
    <row r="119" s="13" customFormat="1" x14ac:dyDescent="0.45"/>
    <row r="120" s="13" customFormat="1" x14ac:dyDescent="0.45"/>
    <row r="121" s="13" customFormat="1" x14ac:dyDescent="0.45"/>
    <row r="122" s="13" customFormat="1" x14ac:dyDescent="0.45"/>
    <row r="123" s="13" customFormat="1" x14ac:dyDescent="0.45"/>
    <row r="124" s="13" customFormat="1" x14ac:dyDescent="0.45"/>
    <row r="125" s="13" customFormat="1" x14ac:dyDescent="0.45"/>
    <row r="126" s="13" customFormat="1" x14ac:dyDescent="0.45"/>
    <row r="127" s="13" customFormat="1" x14ac:dyDescent="0.45"/>
    <row r="128" s="13" customFormat="1" x14ac:dyDescent="0.45"/>
    <row r="129" spans="11:11" s="13" customFormat="1" x14ac:dyDescent="0.45"/>
    <row r="130" spans="11:11" s="13" customFormat="1" x14ac:dyDescent="0.45"/>
    <row r="131" spans="11:11" s="13" customFormat="1" x14ac:dyDescent="0.45"/>
    <row r="132" spans="11:11" s="13" customFormat="1" x14ac:dyDescent="0.45"/>
    <row r="133" spans="11:11" s="13" customFormat="1" x14ac:dyDescent="0.45"/>
    <row r="134" spans="11:11" s="13" customFormat="1" x14ac:dyDescent="0.45"/>
    <row r="135" spans="11:11" s="13" customFormat="1" x14ac:dyDescent="0.45"/>
    <row r="136" spans="11:11" s="13" customFormat="1" x14ac:dyDescent="0.45"/>
    <row r="137" spans="11:11" s="13" customFormat="1" x14ac:dyDescent="0.45">
      <c r="K137" s="83"/>
    </row>
    <row r="138" spans="11:11" s="13" customFormat="1" x14ac:dyDescent="0.45">
      <c r="K138" s="83"/>
    </row>
    <row r="139" spans="11:11" s="13" customFormat="1" x14ac:dyDescent="0.45">
      <c r="K139" s="83"/>
    </row>
    <row r="140" spans="11:11" s="13" customFormat="1" x14ac:dyDescent="0.45">
      <c r="K140" s="83"/>
    </row>
    <row r="141" spans="11:11" s="13" customFormat="1" x14ac:dyDescent="0.45">
      <c r="K141" s="83"/>
    </row>
    <row r="142" spans="11:11" s="13" customFormat="1" x14ac:dyDescent="0.45">
      <c r="K142" s="83"/>
    </row>
    <row r="143" spans="11:11" s="13" customFormat="1" x14ac:dyDescent="0.45">
      <c r="K143" s="83"/>
    </row>
    <row r="144" spans="11:11" s="13" customFormat="1" x14ac:dyDescent="0.45">
      <c r="K144" s="83"/>
    </row>
    <row r="145" spans="11:11" s="13" customFormat="1" x14ac:dyDescent="0.45">
      <c r="K145" s="83"/>
    </row>
    <row r="146" spans="11:11" s="13" customFormat="1" x14ac:dyDescent="0.45">
      <c r="K146" s="83"/>
    </row>
    <row r="147" spans="11:11" s="13" customFormat="1" x14ac:dyDescent="0.45"/>
    <row r="148" spans="11:11" s="13" customFormat="1" x14ac:dyDescent="0.45"/>
    <row r="149" spans="11:11" s="13" customFormat="1" x14ac:dyDescent="0.45"/>
    <row r="150" spans="11:11" s="13" customFormat="1" x14ac:dyDescent="0.45"/>
    <row r="151" spans="11:11" s="13" customFormat="1" x14ac:dyDescent="0.45"/>
    <row r="152" spans="11:11" s="13" customFormat="1" x14ac:dyDescent="0.45"/>
    <row r="153" spans="11:11" s="13" customFormat="1" x14ac:dyDescent="0.45"/>
    <row r="154" spans="11:11" s="13" customFormat="1" x14ac:dyDescent="0.45"/>
    <row r="155" spans="11:11" s="13" customFormat="1" x14ac:dyDescent="0.45"/>
    <row r="156" spans="11:11" s="13" customFormat="1" x14ac:dyDescent="0.45"/>
    <row r="157" spans="11:11" s="13" customFormat="1" x14ac:dyDescent="0.45"/>
    <row r="158" spans="11:11" s="13" customFormat="1" x14ac:dyDescent="0.45"/>
    <row r="159" spans="11:11" s="13" customFormat="1" x14ac:dyDescent="0.45"/>
    <row r="160" spans="11:11" s="13" customFormat="1" x14ac:dyDescent="0.45"/>
    <row r="298" spans="12:12" s="13" customFormat="1" x14ac:dyDescent="0.45">
      <c r="L298" s="103"/>
    </row>
    <row r="299" spans="12:12" s="13" customFormat="1" x14ac:dyDescent="0.45">
      <c r="L299" s="103"/>
    </row>
  </sheetData>
  <mergeCells count="6">
    <mergeCell ref="J10:K10"/>
    <mergeCell ref="A3:M3"/>
    <mergeCell ref="A4:M4"/>
    <mergeCell ref="A5:M5"/>
    <mergeCell ref="A6:M6"/>
    <mergeCell ref="A7:K7"/>
  </mergeCells>
  <pageMargins left="0.18" right="0.2" top="0.75" bottom="0.56999999999999995" header="0.3" footer="0.3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1F488-853B-4FDC-979E-F0DB4E705504}">
  <sheetPr>
    <pageSetUpPr fitToPage="1"/>
  </sheetPr>
  <dimension ref="A1:I133"/>
  <sheetViews>
    <sheetView zoomScale="80" zoomScaleNormal="80" zoomScaleSheetLayoutView="50" workbookViewId="0"/>
  </sheetViews>
  <sheetFormatPr defaultColWidth="8.86328125" defaultRowHeight="14.25" x14ac:dyDescent="0.45"/>
  <cols>
    <col min="1" max="1" width="5.59765625" style="6" customWidth="1"/>
    <col min="2" max="2" width="57.3984375" style="6" customWidth="1"/>
    <col min="3" max="3" width="9.73046875" style="6" bestFit="1" customWidth="1"/>
    <col min="4" max="4" width="12.1328125" style="6" customWidth="1"/>
    <col min="5" max="5" width="17.1328125" style="6" customWidth="1"/>
    <col min="6" max="6" width="10.86328125" style="6" customWidth="1"/>
    <col min="7" max="7" width="66" style="6" customWidth="1"/>
    <col min="8" max="16384" width="8.86328125" style="6"/>
  </cols>
  <sheetData>
    <row r="1" spans="1:7" x14ac:dyDescent="0.45">
      <c r="A1" s="81"/>
      <c r="B1" s="75"/>
      <c r="C1" s="75"/>
      <c r="D1" s="75"/>
      <c r="E1" s="75"/>
      <c r="F1" s="80"/>
      <c r="G1" s="79" t="s">
        <v>40</v>
      </c>
    </row>
    <row r="2" spans="1:7" x14ac:dyDescent="0.45">
      <c r="A2" s="81"/>
      <c r="B2" s="75"/>
      <c r="C2" s="75"/>
      <c r="D2" s="75"/>
      <c r="E2" s="7"/>
      <c r="F2" s="80"/>
      <c r="G2" s="79"/>
    </row>
    <row r="3" spans="1:7" x14ac:dyDescent="0.45">
      <c r="A3" s="59"/>
      <c r="B3" s="59"/>
      <c r="C3" s="59"/>
      <c r="D3" s="59"/>
      <c r="E3" s="80"/>
      <c r="F3" s="80"/>
      <c r="G3" s="79" t="s">
        <v>226</v>
      </c>
    </row>
    <row r="6" spans="1:7" x14ac:dyDescent="0.45">
      <c r="A6" s="191" t="s">
        <v>2</v>
      </c>
      <c r="B6" s="191"/>
      <c r="C6" s="191"/>
      <c r="D6" s="191"/>
      <c r="E6" s="191"/>
      <c r="F6" s="191"/>
      <c r="G6" s="191"/>
    </row>
    <row r="7" spans="1:7" x14ac:dyDescent="0.45">
      <c r="A7" s="191" t="s">
        <v>3</v>
      </c>
      <c r="B7" s="191"/>
      <c r="C7" s="191"/>
      <c r="D7" s="191"/>
      <c r="E7" s="191"/>
      <c r="F7" s="191"/>
      <c r="G7" s="191"/>
    </row>
    <row r="8" spans="1:7" x14ac:dyDescent="0.45">
      <c r="A8" s="191" t="s">
        <v>227</v>
      </c>
      <c r="B8" s="191"/>
      <c r="C8" s="191"/>
      <c r="D8" s="191"/>
      <c r="E8" s="191"/>
      <c r="F8" s="191"/>
      <c r="G8" s="191"/>
    </row>
    <row r="9" spans="1:7" x14ac:dyDescent="0.45">
      <c r="A9" s="78"/>
      <c r="B9" s="78"/>
      <c r="C9" s="78"/>
      <c r="D9" s="78"/>
      <c r="E9" s="78"/>
    </row>
    <row r="10" spans="1:7" x14ac:dyDescent="0.45">
      <c r="A10" s="78"/>
      <c r="B10" s="78"/>
      <c r="C10" s="78"/>
      <c r="D10" s="78"/>
      <c r="E10" s="78"/>
      <c r="G10" s="77" t="s">
        <v>40</v>
      </c>
    </row>
    <row r="11" spans="1:7" x14ac:dyDescent="0.45">
      <c r="A11" s="11" t="s">
        <v>5</v>
      </c>
      <c r="B11" s="78"/>
      <c r="C11" s="78"/>
      <c r="D11" s="78"/>
      <c r="E11" s="78"/>
      <c r="G11" s="77" t="s">
        <v>41</v>
      </c>
    </row>
    <row r="12" spans="1:7" x14ac:dyDescent="0.45">
      <c r="A12" s="13" t="s">
        <v>7</v>
      </c>
      <c r="B12" s="78"/>
      <c r="C12" s="78"/>
      <c r="D12" s="75"/>
      <c r="E12" s="78"/>
      <c r="G12" s="10"/>
    </row>
    <row r="13" spans="1:7" x14ac:dyDescent="0.45">
      <c r="A13" s="13"/>
      <c r="B13" s="78"/>
      <c r="C13" s="78"/>
      <c r="D13" s="75" t="s">
        <v>228</v>
      </c>
      <c r="E13" s="78"/>
      <c r="G13" s="10"/>
    </row>
    <row r="14" spans="1:7" x14ac:dyDescent="0.45">
      <c r="A14" s="59"/>
      <c r="B14" s="59"/>
      <c r="C14" s="59"/>
      <c r="D14" s="75" t="s">
        <v>229</v>
      </c>
      <c r="E14" s="75" t="s">
        <v>230</v>
      </c>
      <c r="G14" s="77"/>
    </row>
    <row r="15" spans="1:7" x14ac:dyDescent="0.45">
      <c r="A15" s="75" t="s">
        <v>53</v>
      </c>
      <c r="B15" s="59"/>
      <c r="C15" s="75" t="s">
        <v>126</v>
      </c>
      <c r="D15" s="75" t="s">
        <v>231</v>
      </c>
      <c r="E15" s="75" t="s">
        <v>126</v>
      </c>
      <c r="F15" s="75" t="s">
        <v>114</v>
      </c>
    </row>
    <row r="16" spans="1:7" x14ac:dyDescent="0.45">
      <c r="A16" s="76" t="s">
        <v>232</v>
      </c>
      <c r="B16" s="76" t="s">
        <v>233</v>
      </c>
      <c r="C16" s="76" t="s">
        <v>234</v>
      </c>
      <c r="D16" s="76" t="s">
        <v>235</v>
      </c>
      <c r="E16" s="76" t="s">
        <v>236</v>
      </c>
      <c r="F16" s="76" t="s">
        <v>12</v>
      </c>
      <c r="G16" s="76" t="s">
        <v>13</v>
      </c>
    </row>
    <row r="17" spans="1:7" x14ac:dyDescent="0.45">
      <c r="A17" s="75"/>
      <c r="B17" s="75"/>
      <c r="C17" s="75"/>
      <c r="D17" s="75"/>
      <c r="E17" s="75"/>
    </row>
    <row r="18" spans="1:7" x14ac:dyDescent="0.45">
      <c r="A18" s="53">
        <v>1</v>
      </c>
      <c r="B18" s="57" t="s">
        <v>237</v>
      </c>
      <c r="C18" s="56"/>
      <c r="D18" s="67">
        <v>1</v>
      </c>
      <c r="E18" s="67"/>
    </row>
    <row r="19" spans="1:7" x14ac:dyDescent="0.45">
      <c r="A19" s="53">
        <v>2</v>
      </c>
      <c r="B19" s="57" t="s">
        <v>238</v>
      </c>
      <c r="C19" s="74">
        <v>6.0399893567930725E-3</v>
      </c>
      <c r="D19" s="67">
        <f>C19</f>
        <v>6.0399893567930725E-3</v>
      </c>
      <c r="E19" s="54">
        <f>ROUND(D19/(D$18-D$29),8)</f>
        <v>2.3685290000000001E-2</v>
      </c>
      <c r="F19" s="72" t="s">
        <v>189</v>
      </c>
      <c r="G19" s="6" t="s">
        <v>190</v>
      </c>
    </row>
    <row r="20" spans="1:7" x14ac:dyDescent="0.45">
      <c r="A20" s="53">
        <v>3</v>
      </c>
      <c r="B20" s="64" t="s">
        <v>239</v>
      </c>
      <c r="C20" s="73">
        <v>1.3019999857777724E-3</v>
      </c>
      <c r="D20" s="67">
        <f>C20</f>
        <v>1.3019999857777724E-3</v>
      </c>
      <c r="E20" s="54">
        <f>ROUND(D20/(D$18-D$29),8)</f>
        <v>5.1056799999999996E-3</v>
      </c>
      <c r="F20" s="72" t="s">
        <v>240</v>
      </c>
      <c r="G20" s="6" t="s">
        <v>241</v>
      </c>
    </row>
    <row r="21" spans="1:7" x14ac:dyDescent="0.45">
      <c r="A21" s="53">
        <v>4</v>
      </c>
      <c r="B21" s="57" t="s">
        <v>242</v>
      </c>
      <c r="C21" s="71"/>
      <c r="D21" s="70">
        <f>D18-D19-D20</f>
        <v>0.9926580106574292</v>
      </c>
      <c r="E21" s="69"/>
    </row>
    <row r="22" spans="1:7" x14ac:dyDescent="0.45">
      <c r="A22" s="53">
        <v>5</v>
      </c>
      <c r="B22" s="59"/>
      <c r="C22" s="61"/>
      <c r="D22" s="69"/>
      <c r="E22" s="69"/>
    </row>
    <row r="23" spans="1:7" x14ac:dyDescent="0.45">
      <c r="A23" s="53">
        <v>6</v>
      </c>
      <c r="B23" s="59"/>
      <c r="C23" s="61"/>
      <c r="D23" s="59"/>
      <c r="E23" s="54"/>
    </row>
    <row r="24" spans="1:7" x14ac:dyDescent="0.45">
      <c r="A24" s="53">
        <v>7</v>
      </c>
      <c r="B24" s="64" t="s">
        <v>243</v>
      </c>
      <c r="C24" s="68">
        <v>0.05</v>
      </c>
      <c r="D24" s="67">
        <f>C24*D21</f>
        <v>4.9632900532871463E-2</v>
      </c>
      <c r="E24" s="54">
        <f>ROUND(D24/(D$18-D$29),8)</f>
        <v>0.19463106999999999</v>
      </c>
    </row>
    <row r="25" spans="1:7" x14ac:dyDescent="0.45">
      <c r="A25" s="53">
        <v>9</v>
      </c>
      <c r="B25" s="57" t="s">
        <v>244</v>
      </c>
      <c r="C25" s="66"/>
      <c r="D25" s="65">
        <f>D21-D24</f>
        <v>0.9430251101245577</v>
      </c>
      <c r="E25" s="54"/>
    </row>
    <row r="26" spans="1:7" x14ac:dyDescent="0.45">
      <c r="A26" s="53">
        <v>10</v>
      </c>
      <c r="B26" s="59"/>
      <c r="C26" s="61"/>
      <c r="D26" s="54"/>
      <c r="E26" s="54"/>
    </row>
    <row r="27" spans="1:7" x14ac:dyDescent="0.45">
      <c r="A27" s="53">
        <v>11</v>
      </c>
      <c r="B27" s="64" t="s">
        <v>245</v>
      </c>
      <c r="C27" s="63">
        <v>0.21</v>
      </c>
      <c r="D27" s="62">
        <f>C27*D25</f>
        <v>0.1980352731261571</v>
      </c>
      <c r="E27" s="62">
        <f>ROUND(D27/(D$18-D$29),8)</f>
        <v>0.77657796000000001</v>
      </c>
    </row>
    <row r="28" spans="1:7" x14ac:dyDescent="0.45">
      <c r="A28" s="53">
        <v>12</v>
      </c>
      <c r="B28" s="59"/>
      <c r="C28" s="61"/>
      <c r="D28" s="54"/>
      <c r="E28" s="54"/>
    </row>
    <row r="29" spans="1:7" ht="28.9" thickBot="1" x14ac:dyDescent="0.5">
      <c r="A29" s="53">
        <v>13</v>
      </c>
      <c r="B29" s="60" t="s">
        <v>246</v>
      </c>
      <c r="C29" s="56"/>
      <c r="D29" s="55">
        <f>D25-D27</f>
        <v>0.7449898369984006</v>
      </c>
      <c r="E29" s="55">
        <f>SUM(E19:E20,E24,E27)</f>
        <v>1</v>
      </c>
    </row>
    <row r="30" spans="1:7" ht="14.65" thickTop="1" x14ac:dyDescent="0.45">
      <c r="A30" s="53">
        <v>14</v>
      </c>
      <c r="B30" s="59"/>
      <c r="C30" s="58"/>
      <c r="D30" s="54"/>
      <c r="E30" s="54"/>
    </row>
    <row r="31" spans="1:7" ht="14.65" thickBot="1" x14ac:dyDescent="0.5">
      <c r="A31" s="53">
        <v>15</v>
      </c>
      <c r="B31" s="57" t="s">
        <v>247</v>
      </c>
      <c r="C31" s="56"/>
      <c r="D31" s="55">
        <f>1/D29</f>
        <v>1.3423001903342031</v>
      </c>
      <c r="E31" s="54"/>
    </row>
    <row r="32" spans="1:7" ht="14.65" thickTop="1" x14ac:dyDescent="0.45">
      <c r="A32" s="53">
        <v>16</v>
      </c>
    </row>
    <row r="133" spans="9:9" x14ac:dyDescent="0.45">
      <c r="I133" s="52"/>
    </row>
  </sheetData>
  <mergeCells count="3">
    <mergeCell ref="A6:G6"/>
    <mergeCell ref="A7:G7"/>
    <mergeCell ref="A8:G8"/>
  </mergeCells>
  <pageMargins left="0.32" right="0.28999999999999998" top="0.75" bottom="0.75" header="0.3" footer="0.3"/>
  <pageSetup scale="74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25CF-6A63-4EEC-9F61-11A6C5B2519E}">
  <dimension ref="A1:Y55"/>
  <sheetViews>
    <sheetView zoomScale="80" zoomScaleNormal="80" zoomScaleSheetLayoutView="50" workbookViewId="0">
      <selection sqref="A1:Q1"/>
    </sheetView>
  </sheetViews>
  <sheetFormatPr defaultColWidth="9.1328125" defaultRowHeight="12.75" x14ac:dyDescent="0.35"/>
  <cols>
    <col min="1" max="1" width="4.73046875" style="142" customWidth="1"/>
    <col min="2" max="2" width="1.73046875" style="142" customWidth="1"/>
    <col min="3" max="3" width="16.86328125" style="142" customWidth="1"/>
    <col min="4" max="4" width="1.73046875" style="142" customWidth="1"/>
    <col min="5" max="5" width="15.73046875" style="142" customWidth="1"/>
    <col min="6" max="6" width="1.73046875" style="142" customWidth="1"/>
    <col min="7" max="7" width="18.3984375" style="142" bestFit="1" customWidth="1"/>
    <col min="8" max="8" width="1.73046875" style="142" customWidth="1"/>
    <col min="9" max="9" width="13.73046875" style="142" customWidth="1"/>
    <col min="10" max="10" width="1.73046875" style="142" customWidth="1"/>
    <col min="11" max="11" width="13.73046875" style="142" customWidth="1"/>
    <col min="12" max="12" width="1.73046875" style="142" customWidth="1"/>
    <col min="13" max="13" width="16.265625" style="142" customWidth="1"/>
    <col min="14" max="14" width="1.73046875" style="142" customWidth="1"/>
    <col min="15" max="15" width="8.59765625" style="142" customWidth="1"/>
    <col min="16" max="16" width="1.73046875" style="142" customWidth="1"/>
    <col min="17" max="17" width="15.73046875" style="142" customWidth="1"/>
    <col min="18" max="18" width="1.73046875" style="142" customWidth="1"/>
    <col min="19" max="19" width="11" style="142" bestFit="1" customWidth="1"/>
    <col min="20" max="20" width="1.73046875" style="142" customWidth="1"/>
    <col min="21" max="21" width="13.73046875" style="142" customWidth="1"/>
    <col min="22" max="22" width="9.1328125" style="142"/>
    <col min="23" max="23" width="21.3984375" style="142" customWidth="1"/>
    <col min="24" max="24" width="4.59765625" style="142" customWidth="1"/>
    <col min="25" max="25" width="6.59765625" style="142" bestFit="1" customWidth="1"/>
    <col min="26" max="27" width="9.1328125" style="142"/>
    <col min="28" max="28" width="2" style="142" customWidth="1"/>
    <col min="29" max="31" width="9.1328125" style="142"/>
    <col min="32" max="32" width="2" style="142" customWidth="1"/>
    <col min="33" max="33" width="16" style="142" bestFit="1" customWidth="1"/>
    <col min="34" max="34" width="2" style="142" customWidth="1"/>
    <col min="35" max="35" width="9.1328125" style="142"/>
    <col min="36" max="36" width="2" style="142" customWidth="1"/>
    <col min="37" max="37" width="9.1328125" style="142"/>
    <col min="38" max="38" width="2" style="142" customWidth="1"/>
    <col min="39" max="39" width="12.1328125" style="142" bestFit="1" customWidth="1"/>
    <col min="40" max="40" width="2" style="142" customWidth="1"/>
    <col min="41" max="41" width="9.1328125" style="142"/>
    <col min="42" max="42" width="2" style="142" customWidth="1"/>
    <col min="43" max="51" width="9.1328125" style="142"/>
    <col min="52" max="52" width="2" style="142" customWidth="1"/>
    <col min="53" max="55" width="9.1328125" style="142"/>
    <col min="56" max="56" width="2" style="142" customWidth="1"/>
    <col min="57" max="57" width="16" style="142" bestFit="1" customWidth="1"/>
    <col min="58" max="58" width="2" style="142" customWidth="1"/>
    <col min="59" max="59" width="9.1328125" style="142"/>
    <col min="60" max="60" width="2" style="142" customWidth="1"/>
    <col min="61" max="61" width="9.1328125" style="142"/>
    <col min="62" max="62" width="2" style="142" customWidth="1"/>
    <col min="63" max="63" width="12.1328125" style="142" bestFit="1" customWidth="1"/>
    <col min="64" max="64" width="2" style="142" customWidth="1"/>
    <col min="65" max="65" width="9.1328125" style="142"/>
    <col min="66" max="66" width="2" style="142" customWidth="1"/>
    <col min="67" max="16384" width="9.1328125" style="142"/>
  </cols>
  <sheetData>
    <row r="1" spans="1:21" ht="14.25" x14ac:dyDescent="0.45">
      <c r="A1" s="192" t="s">
        <v>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21" ht="14.25" x14ac:dyDescent="0.45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43"/>
      <c r="S2" s="143"/>
      <c r="T2" s="143"/>
      <c r="U2" s="143"/>
    </row>
    <row r="3" spans="1:21" ht="14.25" x14ac:dyDescent="0.45">
      <c r="A3" s="192" t="s">
        <v>248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43"/>
      <c r="S3" s="143"/>
      <c r="T3" s="143"/>
      <c r="U3" s="143"/>
    </row>
    <row r="4" spans="1:21" ht="14.25" x14ac:dyDescent="0.45">
      <c r="A4" s="193" t="s">
        <v>249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43"/>
      <c r="S4" s="143"/>
      <c r="T4" s="143"/>
      <c r="U4" s="143"/>
    </row>
    <row r="5" spans="1:21" ht="14.25" x14ac:dyDescent="0.45">
      <c r="A5" s="144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1:21" ht="14.25" x14ac:dyDescent="0.45">
      <c r="A6" s="145" t="s">
        <v>250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R6" s="144"/>
      <c r="S6" s="144"/>
      <c r="T6" s="144"/>
      <c r="U6" s="146" t="s">
        <v>251</v>
      </c>
    </row>
    <row r="7" spans="1:21" ht="14.25" x14ac:dyDescent="0.45">
      <c r="A7" s="147" t="s">
        <v>252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R7" s="144"/>
      <c r="S7" s="144"/>
      <c r="T7" s="144"/>
      <c r="U7" s="187" t="s">
        <v>35</v>
      </c>
    </row>
    <row r="8" spans="1:21" ht="14.25" x14ac:dyDescent="0.45">
      <c r="A8" s="147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R8" s="144"/>
      <c r="S8" s="144"/>
      <c r="T8" s="144"/>
      <c r="U8" s="148"/>
    </row>
    <row r="9" spans="1:21" ht="14.25" x14ac:dyDescent="0.45">
      <c r="A9" s="14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R9" s="144"/>
      <c r="S9" s="144"/>
      <c r="T9" s="144"/>
      <c r="U9" s="148"/>
    </row>
    <row r="10" spans="1:21" ht="14.25" x14ac:dyDescent="0.45">
      <c r="A10" s="147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4.25" x14ac:dyDescent="0.45">
      <c r="A11" s="147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4.25" x14ac:dyDescent="0.45">
      <c r="A12" s="147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4.25" x14ac:dyDescent="0.45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4.25" x14ac:dyDescent="0.45">
      <c r="A14" s="147"/>
      <c r="B14" s="147"/>
      <c r="C14" s="147"/>
      <c r="D14" s="147"/>
      <c r="E14" s="147"/>
      <c r="F14" s="147"/>
      <c r="G14" s="149" t="s">
        <v>253</v>
      </c>
      <c r="H14" s="149"/>
      <c r="I14" s="147"/>
      <c r="J14" s="147"/>
      <c r="K14" s="147"/>
      <c r="L14" s="147"/>
      <c r="M14" s="147"/>
      <c r="N14" s="147"/>
      <c r="O14" s="147"/>
      <c r="P14" s="147"/>
      <c r="Q14" s="149" t="s">
        <v>253</v>
      </c>
      <c r="R14" s="147"/>
      <c r="S14" s="149"/>
      <c r="T14" s="147"/>
      <c r="U14" s="149"/>
    </row>
    <row r="15" spans="1:21" ht="14.25" x14ac:dyDescent="0.45">
      <c r="A15" s="150" t="s">
        <v>53</v>
      </c>
      <c r="B15" s="144"/>
      <c r="C15" s="150" t="s">
        <v>254</v>
      </c>
      <c r="D15" s="147"/>
      <c r="E15" s="144"/>
      <c r="F15" s="144"/>
      <c r="G15" s="150" t="s">
        <v>255</v>
      </c>
      <c r="H15" s="150"/>
      <c r="I15" s="144"/>
      <c r="J15" s="144"/>
      <c r="K15" s="144"/>
      <c r="L15" s="144"/>
      <c r="M15" s="150" t="s">
        <v>256</v>
      </c>
      <c r="N15" s="150"/>
      <c r="O15" s="144"/>
      <c r="P15" s="144"/>
      <c r="Q15" s="150" t="s">
        <v>257</v>
      </c>
      <c r="R15" s="144"/>
      <c r="S15" s="150" t="s">
        <v>229</v>
      </c>
      <c r="T15" s="144"/>
      <c r="U15" s="150" t="s">
        <v>258</v>
      </c>
    </row>
    <row r="16" spans="1:21" ht="14.65" thickBot="1" x14ac:dyDescent="0.5">
      <c r="A16" s="151" t="s">
        <v>56</v>
      </c>
      <c r="B16" s="147"/>
      <c r="C16" s="151" t="s">
        <v>259</v>
      </c>
      <c r="D16" s="147"/>
      <c r="E16" s="151" t="s">
        <v>12</v>
      </c>
      <c r="F16" s="147"/>
      <c r="G16" s="151" t="s">
        <v>260</v>
      </c>
      <c r="H16" s="149"/>
      <c r="I16" s="151" t="s">
        <v>261</v>
      </c>
      <c r="J16" s="149"/>
      <c r="K16" s="151" t="s">
        <v>262</v>
      </c>
      <c r="L16" s="149"/>
      <c r="M16" s="151" t="s">
        <v>259</v>
      </c>
      <c r="N16" s="149"/>
      <c r="O16" s="151" t="s">
        <v>263</v>
      </c>
      <c r="P16" s="149"/>
      <c r="Q16" s="151" t="s">
        <v>264</v>
      </c>
      <c r="R16" s="147"/>
      <c r="S16" s="151" t="s">
        <v>231</v>
      </c>
      <c r="T16" s="147"/>
      <c r="U16" s="151" t="s">
        <v>263</v>
      </c>
    </row>
    <row r="17" spans="1:25" ht="14.25" x14ac:dyDescent="0.45">
      <c r="A17" s="149">
        <v>1</v>
      </c>
      <c r="B17" s="144"/>
      <c r="C17" s="144"/>
      <c r="D17" s="147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5" ht="14.25" x14ac:dyDescent="0.45">
      <c r="A18" s="149">
        <f>A17+1</f>
        <v>2</v>
      </c>
      <c r="B18" s="144"/>
      <c r="C18" s="147" t="s">
        <v>265</v>
      </c>
      <c r="D18" s="147"/>
      <c r="E18" s="150" t="s">
        <v>266</v>
      </c>
      <c r="F18" s="144"/>
      <c r="G18" s="152">
        <v>9168090.068205826</v>
      </c>
      <c r="H18" s="153"/>
      <c r="I18" s="154">
        <f>ROUND(G18/$G$26,5)</f>
        <v>1.537E-2</v>
      </c>
      <c r="J18" s="153"/>
      <c r="K18" s="152">
        <f>ROUND(I18*$G$32,5)</f>
        <v>9.8399999999999998E-3</v>
      </c>
      <c r="L18" s="153"/>
      <c r="M18" s="152">
        <f>G18+K18</f>
        <v>9168090.0780458264</v>
      </c>
      <c r="N18" s="153"/>
      <c r="O18" s="155">
        <v>5.3538615384615386E-2</v>
      </c>
      <c r="P18" s="155"/>
      <c r="Q18" s="155">
        <f>ROUND(O18*I18,4)</f>
        <v>8.0000000000000004E-4</v>
      </c>
      <c r="R18" s="144"/>
      <c r="S18" s="144"/>
      <c r="T18" s="144"/>
      <c r="U18" s="155">
        <f>ROUND(Q18,4)</f>
        <v>8.0000000000000004E-4</v>
      </c>
      <c r="W18" s="156"/>
      <c r="X18" s="156"/>
      <c r="Y18" s="156"/>
    </row>
    <row r="19" spans="1:25" ht="14.25" x14ac:dyDescent="0.45">
      <c r="A19" s="149">
        <f t="shared" ref="A19:A32" si="0">A18+1</f>
        <v>3</v>
      </c>
      <c r="B19" s="144"/>
      <c r="C19" s="144"/>
      <c r="D19" s="144"/>
      <c r="E19" s="150"/>
      <c r="F19" s="144"/>
      <c r="G19" s="147"/>
      <c r="H19" s="144"/>
      <c r="I19" s="154"/>
      <c r="J19" s="144"/>
      <c r="K19" s="147"/>
      <c r="L19" s="144"/>
      <c r="M19" s="147"/>
      <c r="N19" s="144"/>
      <c r="O19" s="155"/>
      <c r="P19" s="155"/>
      <c r="Q19" s="155"/>
      <c r="R19" s="144"/>
      <c r="S19" s="144"/>
      <c r="T19" s="144"/>
      <c r="U19" s="155"/>
      <c r="W19" s="144"/>
      <c r="X19" s="156"/>
      <c r="Y19" s="156"/>
    </row>
    <row r="20" spans="1:25" ht="14.25" x14ac:dyDescent="0.45">
      <c r="A20" s="149">
        <f t="shared" si="0"/>
        <v>4</v>
      </c>
      <c r="B20" s="144"/>
      <c r="C20" s="147" t="s">
        <v>267</v>
      </c>
      <c r="D20" s="144"/>
      <c r="E20" s="150" t="s">
        <v>268</v>
      </c>
      <c r="F20" s="144"/>
      <c r="G20" s="147">
        <v>273581928.55307692</v>
      </c>
      <c r="H20" s="157"/>
      <c r="I20" s="154">
        <f t="shared" ref="I20" si="1">ROUND(G20/$G$26,5)</f>
        <v>0.45867999999999998</v>
      </c>
      <c r="J20" s="157"/>
      <c r="K20" s="158">
        <f>ROUND(I20*$G$32,5)</f>
        <v>0.29355999999999999</v>
      </c>
      <c r="L20" s="157"/>
      <c r="M20" s="147">
        <f>G20+K20</f>
        <v>273581928.84663695</v>
      </c>
      <c r="N20" s="157"/>
      <c r="O20" s="155">
        <v>4.5442025596321788E-2</v>
      </c>
      <c r="P20" s="155"/>
      <c r="Q20" s="155">
        <f>ROUND(O20*I20,4)</f>
        <v>2.0799999999999999E-2</v>
      </c>
      <c r="R20" s="144"/>
      <c r="S20" s="144"/>
      <c r="T20" s="144"/>
      <c r="U20" s="155">
        <f>ROUND(Q20,4)</f>
        <v>2.0799999999999999E-2</v>
      </c>
      <c r="W20" s="144"/>
      <c r="X20" s="156"/>
      <c r="Y20" s="154"/>
    </row>
    <row r="21" spans="1:25" ht="14.25" x14ac:dyDescent="0.45">
      <c r="A21" s="149">
        <f t="shared" si="0"/>
        <v>5</v>
      </c>
      <c r="B21" s="144"/>
      <c r="C21" s="144"/>
      <c r="D21" s="144"/>
      <c r="E21" s="150"/>
      <c r="F21" s="144"/>
      <c r="G21" s="147"/>
      <c r="H21" s="144"/>
      <c r="I21" s="154"/>
      <c r="J21" s="144"/>
      <c r="K21" s="147"/>
      <c r="L21" s="144"/>
      <c r="M21" s="147"/>
      <c r="N21" s="144"/>
      <c r="O21" s="155"/>
      <c r="P21" s="155"/>
      <c r="Q21" s="155"/>
      <c r="R21" s="144"/>
      <c r="S21" s="144"/>
      <c r="T21" s="144"/>
      <c r="U21" s="155"/>
      <c r="W21" s="147"/>
      <c r="X21" s="156"/>
      <c r="Y21" s="154"/>
    </row>
    <row r="22" spans="1:25" ht="14.25" x14ac:dyDescent="0.45">
      <c r="A22" s="149">
        <f t="shared" si="0"/>
        <v>6</v>
      </c>
      <c r="B22" s="144"/>
      <c r="C22" s="147" t="s">
        <v>269</v>
      </c>
      <c r="D22" s="144"/>
      <c r="E22" s="150" t="s">
        <v>270</v>
      </c>
      <c r="F22" s="144"/>
      <c r="G22" s="147">
        <v>2245235.88</v>
      </c>
      <c r="H22" s="157"/>
      <c r="I22" s="154">
        <f t="shared" ref="I22" si="2">ROUND(G22/$G$26,5)</f>
        <v>3.7599999999999999E-3</v>
      </c>
      <c r="J22" s="157"/>
      <c r="K22" s="147">
        <f>ROUND(I22*$G$32,5)</f>
        <v>2.4099999999999998E-3</v>
      </c>
      <c r="L22" s="157"/>
      <c r="M22" s="147">
        <f>G22+K22</f>
        <v>2245235.8824100001</v>
      </c>
      <c r="N22" s="157"/>
      <c r="O22" s="155">
        <v>8.5099999999999995E-2</v>
      </c>
      <c r="P22" s="155"/>
      <c r="Q22" s="155">
        <f>ROUND(O22*I22,4)</f>
        <v>2.9999999999999997E-4</v>
      </c>
      <c r="R22" s="144"/>
      <c r="S22" s="159">
        <f>'Page 4'!$D$31</f>
        <v>1.3423001903342031</v>
      </c>
      <c r="T22" s="144"/>
      <c r="U22" s="155">
        <f>ROUND((Q22*S22),4)</f>
        <v>4.0000000000000002E-4</v>
      </c>
      <c r="W22" s="144"/>
      <c r="X22" s="156"/>
      <c r="Y22" s="144"/>
    </row>
    <row r="23" spans="1:25" ht="14.25" x14ac:dyDescent="0.45">
      <c r="A23" s="149">
        <f t="shared" si="0"/>
        <v>7</v>
      </c>
      <c r="B23" s="144"/>
      <c r="C23" s="144"/>
      <c r="D23" s="144"/>
      <c r="E23" s="150"/>
      <c r="F23" s="144"/>
      <c r="G23" s="147"/>
      <c r="H23" s="144"/>
      <c r="I23" s="154"/>
      <c r="J23" s="144"/>
      <c r="K23" s="147"/>
      <c r="L23" s="144"/>
      <c r="M23" s="147"/>
      <c r="N23" s="144"/>
      <c r="O23" s="155"/>
      <c r="P23" s="155"/>
      <c r="Q23" s="155"/>
      <c r="R23" s="144"/>
      <c r="S23" s="159"/>
      <c r="T23" s="144"/>
      <c r="U23" s="155"/>
      <c r="W23" s="147"/>
      <c r="X23" s="156"/>
      <c r="Y23" s="154"/>
    </row>
    <row r="24" spans="1:25" ht="14.25" x14ac:dyDescent="0.45">
      <c r="A24" s="149">
        <f t="shared" si="0"/>
        <v>8</v>
      </c>
      <c r="B24" s="144"/>
      <c r="C24" s="147" t="s">
        <v>271</v>
      </c>
      <c r="D24" s="144"/>
      <c r="E24" s="150" t="s">
        <v>272</v>
      </c>
      <c r="F24" s="144"/>
      <c r="G24" s="160">
        <v>311462177.55550063</v>
      </c>
      <c r="H24" s="157"/>
      <c r="I24" s="161">
        <f>1-SUM(I18:I22)</f>
        <v>0.52219000000000004</v>
      </c>
      <c r="J24" s="157"/>
      <c r="K24" s="162">
        <f>ROUND(I24*$G$32,5)</f>
        <v>0.3342</v>
      </c>
      <c r="L24" s="157"/>
      <c r="M24" s="160">
        <f>G24+K24</f>
        <v>311462177.88970065</v>
      </c>
      <c r="N24" s="157"/>
      <c r="O24" s="155">
        <v>9.7000000000000003E-2</v>
      </c>
      <c r="P24" s="155"/>
      <c r="Q24" s="163">
        <f>ROUND(O24*I24,4)</f>
        <v>5.0700000000000002E-2</v>
      </c>
      <c r="R24" s="144"/>
      <c r="S24" s="159">
        <f>'Page 4'!$D$31</f>
        <v>1.3423001903342031</v>
      </c>
      <c r="T24" s="144"/>
      <c r="U24" s="163">
        <f>ROUND((Q24*S24),4)</f>
        <v>6.8099999999999994E-2</v>
      </c>
    </row>
    <row r="25" spans="1:25" ht="14.25" x14ac:dyDescent="0.45">
      <c r="A25" s="149">
        <f t="shared" si="0"/>
        <v>9</v>
      </c>
      <c r="B25" s="144"/>
      <c r="C25" s="144"/>
      <c r="D25" s="144"/>
      <c r="E25" s="150"/>
      <c r="F25" s="144"/>
      <c r="G25" s="147"/>
      <c r="H25" s="144"/>
      <c r="I25" s="155"/>
      <c r="J25" s="144"/>
      <c r="K25" s="147"/>
      <c r="L25" s="144"/>
      <c r="M25" s="147"/>
      <c r="N25" s="144"/>
      <c r="O25" s="155"/>
      <c r="P25" s="155"/>
      <c r="Q25" s="155"/>
      <c r="R25" s="144"/>
      <c r="S25" s="144"/>
      <c r="T25" s="144"/>
      <c r="U25" s="155"/>
    </row>
    <row r="26" spans="1:25" ht="14.65" thickBot="1" x14ac:dyDescent="0.5">
      <c r="A26" s="149">
        <f t="shared" si="0"/>
        <v>10</v>
      </c>
      <c r="B26" s="144"/>
      <c r="C26" s="147" t="s">
        <v>273</v>
      </c>
      <c r="D26" s="144"/>
      <c r="E26" s="150"/>
      <c r="F26" s="144"/>
      <c r="G26" s="164">
        <f>SUM(G18:G24)</f>
        <v>596457432.05678344</v>
      </c>
      <c r="H26" s="153"/>
      <c r="I26" s="165" t="s">
        <v>274</v>
      </c>
      <c r="J26" s="153"/>
      <c r="K26" s="166">
        <f>SUM(K18:K24)</f>
        <v>0.64000999999999997</v>
      </c>
      <c r="L26" s="153"/>
      <c r="M26" s="164">
        <f>SUM(M18:M24)</f>
        <v>596457432.69679344</v>
      </c>
      <c r="N26" s="153"/>
      <c r="O26" s="155"/>
      <c r="P26" s="155"/>
      <c r="Q26" s="165">
        <f>SUM(Q18:Q24)</f>
        <v>7.2599999999999998E-2</v>
      </c>
      <c r="R26" s="144"/>
      <c r="S26" s="144"/>
      <c r="T26" s="144"/>
      <c r="U26" s="165">
        <f>SUM(U18:U24)</f>
        <v>9.0099999999999986E-2</v>
      </c>
    </row>
    <row r="27" spans="1:25" ht="14.65" thickTop="1" x14ac:dyDescent="0.45">
      <c r="A27" s="149">
        <f t="shared" si="0"/>
        <v>11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5" ht="14.25" x14ac:dyDescent="0.45">
      <c r="A28" s="149">
        <f t="shared" si="0"/>
        <v>12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5" ht="14.25" x14ac:dyDescent="0.45">
      <c r="A29" s="149">
        <f t="shared" si="0"/>
        <v>13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67"/>
      <c r="N29" s="167"/>
      <c r="O29" s="144"/>
      <c r="P29" s="144"/>
      <c r="Q29" s="144"/>
      <c r="R29" s="144"/>
      <c r="S29" s="144"/>
      <c r="T29" s="144"/>
      <c r="U29" s="144"/>
    </row>
    <row r="30" spans="1:25" ht="14.25" x14ac:dyDescent="0.45">
      <c r="A30" s="149">
        <f t="shared" si="0"/>
        <v>14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67"/>
      <c r="N30" s="167"/>
      <c r="O30" s="144"/>
      <c r="P30" s="144"/>
      <c r="R30" s="144"/>
      <c r="S30" s="144"/>
      <c r="T30" s="144"/>
      <c r="U30" s="144"/>
    </row>
    <row r="31" spans="1:25" ht="14.25" x14ac:dyDescent="0.45">
      <c r="A31" s="149">
        <f t="shared" si="0"/>
        <v>15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5" ht="14.65" thickBot="1" x14ac:dyDescent="0.5">
      <c r="A32" s="149">
        <f t="shared" si="0"/>
        <v>16</v>
      </c>
      <c r="B32" s="144"/>
      <c r="C32" s="147" t="s">
        <v>275</v>
      </c>
      <c r="D32" s="144"/>
      <c r="E32" s="150" t="s">
        <v>276</v>
      </c>
      <c r="F32" s="144"/>
      <c r="G32" s="166">
        <v>0.64000000000180535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17" ht="13.15" thickTop="1" x14ac:dyDescent="0.35"/>
    <row r="36" spans="1:17" ht="14.25" x14ac:dyDescent="0.45">
      <c r="A36" s="168"/>
      <c r="G36" s="152"/>
      <c r="H36" s="153"/>
      <c r="I36" s="155"/>
      <c r="J36" s="153"/>
      <c r="K36" s="152"/>
      <c r="L36" s="153"/>
      <c r="M36" s="152"/>
      <c r="N36" s="153"/>
      <c r="O36" s="155"/>
      <c r="P36" s="155"/>
      <c r="Q36" s="155"/>
    </row>
    <row r="37" spans="1:17" ht="14.25" x14ac:dyDescent="0.45">
      <c r="A37" s="147"/>
      <c r="B37" s="147"/>
      <c r="C37" s="147"/>
      <c r="D37" s="147"/>
      <c r="E37" s="147"/>
      <c r="F37" s="147"/>
      <c r="G37" s="147"/>
      <c r="H37" s="144"/>
      <c r="I37" s="155"/>
      <c r="J37" s="144"/>
      <c r="K37" s="147"/>
      <c r="L37" s="144"/>
      <c r="M37" s="147"/>
      <c r="N37" s="144"/>
      <c r="O37" s="155"/>
      <c r="P37" s="155"/>
      <c r="Q37" s="155"/>
    </row>
    <row r="38" spans="1:17" ht="14.25" x14ac:dyDescent="0.45">
      <c r="A38" s="150"/>
      <c r="B38" s="144"/>
      <c r="C38" s="150"/>
      <c r="D38" s="147"/>
      <c r="E38" s="144"/>
      <c r="F38" s="144"/>
      <c r="G38" s="147"/>
      <c r="H38" s="157"/>
      <c r="I38" s="155"/>
      <c r="J38" s="157"/>
      <c r="K38" s="147"/>
      <c r="L38" s="157"/>
      <c r="M38" s="147"/>
      <c r="N38" s="157"/>
      <c r="O38" s="155"/>
      <c r="P38" s="155"/>
      <c r="Q38" s="155"/>
    </row>
    <row r="39" spans="1:17" ht="14.25" x14ac:dyDescent="0.45">
      <c r="A39" s="149"/>
      <c r="B39" s="147"/>
      <c r="C39" s="149"/>
      <c r="D39" s="147"/>
      <c r="E39" s="149"/>
      <c r="F39" s="147"/>
      <c r="G39" s="147"/>
      <c r="H39" s="144"/>
      <c r="I39" s="155"/>
      <c r="J39" s="144"/>
      <c r="K39" s="147"/>
      <c r="L39" s="144"/>
      <c r="M39" s="147"/>
      <c r="N39" s="144"/>
      <c r="O39" s="155"/>
      <c r="P39" s="155"/>
      <c r="Q39" s="155"/>
    </row>
    <row r="40" spans="1:17" ht="14.25" x14ac:dyDescent="0.45">
      <c r="A40" s="149"/>
      <c r="B40" s="144"/>
      <c r="C40" s="144"/>
      <c r="D40" s="147"/>
      <c r="E40" s="144"/>
      <c r="F40" s="144"/>
      <c r="G40" s="147"/>
      <c r="H40" s="157"/>
      <c r="I40" s="155"/>
      <c r="J40" s="157"/>
      <c r="K40" s="147"/>
      <c r="L40" s="157"/>
      <c r="M40" s="147"/>
      <c r="N40" s="157"/>
      <c r="O40" s="155"/>
      <c r="P40" s="155"/>
      <c r="Q40" s="155"/>
    </row>
    <row r="41" spans="1:17" ht="14.25" x14ac:dyDescent="0.45">
      <c r="A41" s="149"/>
      <c r="B41" s="144"/>
      <c r="C41" s="147"/>
      <c r="D41" s="147"/>
      <c r="E41" s="150"/>
      <c r="F41" s="144"/>
      <c r="G41" s="147"/>
      <c r="H41" s="144"/>
      <c r="I41" s="155"/>
      <c r="J41" s="144"/>
      <c r="K41" s="147"/>
      <c r="L41" s="144"/>
      <c r="M41" s="147"/>
      <c r="N41" s="144"/>
      <c r="O41" s="155"/>
      <c r="P41" s="155"/>
      <c r="Q41" s="155"/>
    </row>
    <row r="42" spans="1:17" ht="14.25" x14ac:dyDescent="0.45">
      <c r="A42" s="149"/>
      <c r="B42" s="144"/>
      <c r="C42" s="144"/>
      <c r="D42" s="144"/>
      <c r="E42" s="150"/>
      <c r="F42" s="144"/>
      <c r="G42" s="147"/>
      <c r="H42" s="157"/>
      <c r="I42" s="155"/>
      <c r="J42" s="157"/>
      <c r="K42" s="147"/>
      <c r="L42" s="157"/>
      <c r="M42" s="147"/>
      <c r="N42" s="157"/>
      <c r="O42" s="155"/>
      <c r="P42" s="155"/>
      <c r="Q42" s="155"/>
    </row>
    <row r="43" spans="1:17" ht="14.25" x14ac:dyDescent="0.45">
      <c r="A43" s="149"/>
      <c r="B43" s="144"/>
      <c r="C43" s="147"/>
      <c r="D43" s="144"/>
      <c r="E43" s="150"/>
      <c r="F43" s="144"/>
      <c r="G43" s="147"/>
      <c r="H43" s="144"/>
      <c r="I43" s="155"/>
      <c r="J43" s="144"/>
      <c r="K43" s="147"/>
      <c r="L43" s="144"/>
      <c r="M43" s="147"/>
      <c r="N43" s="144"/>
      <c r="O43" s="155"/>
      <c r="P43" s="155"/>
      <c r="Q43" s="155"/>
    </row>
    <row r="44" spans="1:17" ht="14.25" x14ac:dyDescent="0.45">
      <c r="A44" s="149"/>
      <c r="B44" s="144"/>
      <c r="C44" s="144"/>
      <c r="D44" s="144"/>
      <c r="E44" s="150"/>
      <c r="F44" s="144"/>
      <c r="G44" s="152"/>
      <c r="H44" s="153"/>
      <c r="I44" s="155"/>
      <c r="J44" s="153"/>
      <c r="K44" s="152"/>
      <c r="L44" s="153"/>
      <c r="M44" s="152"/>
      <c r="N44" s="153"/>
      <c r="O44" s="155"/>
      <c r="P44" s="155"/>
      <c r="Q44" s="155"/>
    </row>
    <row r="45" spans="1:17" ht="14.25" x14ac:dyDescent="0.45">
      <c r="A45" s="149"/>
      <c r="B45" s="144"/>
      <c r="C45" s="147"/>
      <c r="D45" s="144"/>
      <c r="E45" s="150"/>
      <c r="F45" s="144"/>
      <c r="G45" s="147"/>
      <c r="H45" s="157"/>
      <c r="I45" s="155"/>
      <c r="J45" s="157"/>
      <c r="K45" s="147"/>
      <c r="L45" s="157"/>
      <c r="M45" s="147"/>
      <c r="N45" s="157"/>
      <c r="O45" s="155"/>
      <c r="P45" s="155"/>
      <c r="Q45" s="155"/>
    </row>
    <row r="46" spans="1:17" ht="14.25" x14ac:dyDescent="0.45">
      <c r="A46" s="149"/>
      <c r="B46" s="144"/>
      <c r="C46" s="144"/>
      <c r="D46" s="144"/>
      <c r="E46" s="150"/>
      <c r="F46" s="144"/>
      <c r="G46" s="147"/>
      <c r="H46" s="144"/>
      <c r="I46" s="155"/>
      <c r="J46" s="144"/>
      <c r="K46" s="147"/>
      <c r="L46" s="144"/>
      <c r="M46" s="147"/>
      <c r="N46" s="144"/>
      <c r="O46" s="155"/>
      <c r="P46" s="155"/>
      <c r="Q46" s="155"/>
    </row>
    <row r="47" spans="1:17" ht="14.25" x14ac:dyDescent="0.45">
      <c r="A47" s="149"/>
      <c r="B47" s="144"/>
      <c r="C47" s="147"/>
      <c r="D47" s="144"/>
      <c r="E47" s="150"/>
      <c r="F47" s="144"/>
      <c r="G47" s="147"/>
      <c r="H47" s="157"/>
      <c r="I47" s="155"/>
      <c r="J47" s="157"/>
      <c r="K47" s="147"/>
      <c r="L47" s="157"/>
      <c r="M47" s="147"/>
      <c r="N47" s="157"/>
      <c r="O47" s="155"/>
      <c r="P47" s="155"/>
      <c r="Q47" s="155"/>
    </row>
    <row r="48" spans="1:17" ht="14.25" x14ac:dyDescent="0.45">
      <c r="A48" s="149"/>
      <c r="B48" s="144"/>
      <c r="C48" s="144"/>
      <c r="D48" s="144"/>
      <c r="E48" s="150"/>
      <c r="F48" s="144"/>
      <c r="G48" s="147"/>
      <c r="H48" s="144"/>
      <c r="I48" s="155"/>
      <c r="J48" s="144"/>
      <c r="K48" s="147"/>
      <c r="L48" s="144"/>
      <c r="M48" s="147"/>
      <c r="N48" s="144"/>
      <c r="O48" s="155"/>
      <c r="P48" s="155"/>
      <c r="Q48" s="155"/>
    </row>
    <row r="49" spans="1:17" ht="14.25" x14ac:dyDescent="0.45">
      <c r="A49" s="149"/>
      <c r="B49" s="144"/>
      <c r="C49" s="147"/>
      <c r="D49" s="144"/>
      <c r="E49" s="150"/>
      <c r="F49" s="144"/>
      <c r="G49" s="152"/>
      <c r="H49" s="153"/>
      <c r="I49" s="155"/>
      <c r="J49" s="153"/>
      <c r="K49" s="152"/>
      <c r="L49" s="153"/>
      <c r="M49" s="152"/>
      <c r="N49" s="153"/>
      <c r="O49" s="155"/>
      <c r="P49" s="155"/>
      <c r="Q49" s="155"/>
    </row>
    <row r="50" spans="1:17" ht="14.25" x14ac:dyDescent="0.45">
      <c r="A50" s="149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</row>
    <row r="51" spans="1:17" ht="14.25" x14ac:dyDescent="0.45">
      <c r="A51" s="149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</row>
    <row r="52" spans="1:17" ht="14.25" x14ac:dyDescent="0.45">
      <c r="A52" s="149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67"/>
      <c r="N52" s="167"/>
      <c r="O52" s="144"/>
      <c r="P52" s="144"/>
      <c r="Q52" s="144"/>
    </row>
    <row r="53" spans="1:17" ht="14.25" x14ac:dyDescent="0.45">
      <c r="A53" s="149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67"/>
      <c r="N53" s="167"/>
      <c r="O53" s="144"/>
      <c r="P53" s="144"/>
      <c r="Q53" s="144"/>
    </row>
    <row r="54" spans="1:17" ht="14.25" x14ac:dyDescent="0.45">
      <c r="A54" s="149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</row>
    <row r="55" spans="1:17" ht="14.25" x14ac:dyDescent="0.45">
      <c r="A55" s="149"/>
      <c r="B55" s="144"/>
      <c r="C55" s="147"/>
      <c r="D55" s="144"/>
      <c r="E55" s="150"/>
      <c r="F55" s="144"/>
      <c r="G55" s="152"/>
      <c r="H55" s="144"/>
      <c r="I55" s="144"/>
      <c r="J55" s="144"/>
      <c r="K55" s="144"/>
      <c r="L55" s="144"/>
      <c r="M55" s="144"/>
      <c r="N55" s="144"/>
      <c r="O55" s="144"/>
      <c r="P55" s="144"/>
      <c r="Q55" s="144"/>
    </row>
  </sheetData>
  <mergeCells count="4">
    <mergeCell ref="A1:Q1"/>
    <mergeCell ref="A2:Q2"/>
    <mergeCell ref="A3:Q3"/>
    <mergeCell ref="A4:Q4"/>
  </mergeCells>
  <printOptions horizontalCentered="1"/>
  <pageMargins left="0.75" right="0.75" top="1" bottom="0.5" header="0.3" footer="0.3"/>
  <pageSetup scale="69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GRC - 2023-00191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4QVSNHSJP2QR-262969112-5299</_dlc_DocId>
    <_dlc_DocIdUrl xmlns="00c1cf47-8665-4c73-8994-ff3a5e26da0f">
      <Url>https://amwater.sharepoint.com/sites/sers/KY/_layouts/15/DocIdRedir.aspx?ID=4QVSNHSJP2QR-262969112-5299</Url>
      <Description>4QVSNHSJP2QR-262969112-5299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6" ma:contentTypeDescription="Create a new document." ma:contentTypeScope="" ma:versionID="80b22b2e6efc1f9437873181a239db22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57f6b5888668914187800847b2c332f1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F168FE-0B08-4F30-BF38-9026310BD407}">
  <ds:schemaRefs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3527bf6f-27a6-47d3-aafb-dbf13eba6bbe"/>
    <ds:schemaRef ds:uri="00c1cf47-8665-4c73-8994-ff3a5e26da0f"/>
    <ds:schemaRef ds:uri="7312d0bd-5bb3-4d44-9c84-f993550bda7e"/>
    <ds:schemaRef ds:uri="http://purl.org/dc/terms/"/>
    <ds:schemaRef ds:uri="3527BF6F-27A6-47D3-AAFB-DBF13EBA6BB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FC490B2-8230-45D5-AA06-E51E4B45A0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4AB404-CF62-430C-A096-C67EA45844B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019A1E8-E2D7-4CA4-8AAF-6E5F9A96F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Page 1</vt:lpstr>
      <vt:lpstr>Page 2</vt:lpstr>
      <vt:lpstr>Page 3</vt:lpstr>
      <vt:lpstr>Page 4</vt:lpstr>
      <vt:lpstr>Page 5</vt:lpstr>
      <vt:lpstr>'Page 1'!Print_Area</vt:lpstr>
      <vt:lpstr>'Page 3'!Print_Area</vt:lpstr>
      <vt:lpstr>'Page 4'!Print_Area</vt:lpstr>
      <vt:lpstr>'Page 5'!Print_Area</vt:lpstr>
    </vt:vector>
  </TitlesOfParts>
  <Manager/>
  <Company>American Water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DeGrazia</dc:creator>
  <cp:keywords/>
  <dc:description/>
  <cp:lastModifiedBy>Jeffrey Newcomb</cp:lastModifiedBy>
  <cp:revision/>
  <dcterms:created xsi:type="dcterms:W3CDTF">2024-05-28T18:43:45Z</dcterms:created>
  <dcterms:modified xsi:type="dcterms:W3CDTF">2024-06-14T14:35:57Z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2024-05-28T18:46:16Z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2765f7a9-8788-4969-9cb5-f3568249d6fe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dbf090fe-43aa-4162-8be6-b409fd2cdbf4</vt:lpwstr>
  </property>
</Properties>
</file>