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2023-00191 - PSC Discovery/PSC Rehearing (RR) Set 1/"/>
    </mc:Choice>
  </mc:AlternateContent>
  <xr:revisionPtr revIDLastSave="170" documentId="13_ncr:1_{CEA771D4-F10E-4ACE-A970-AC147DA317F6}" xr6:coauthVersionLast="47" xr6:coauthVersionMax="47" xr10:uidLastSave="{54FEFA9A-DD00-4885-A0C0-443801EDFC9E}"/>
  <bookViews>
    <workbookView xWindow="-120" yWindow="-120" windowWidth="29040" windowHeight="15720" xr2:uid="{00000000-000D-0000-FFFF-FFFF00000000}"/>
  </bookViews>
  <sheets>
    <sheet name="PSC 3-1, part a" sheetId="7" r:id="rId1"/>
    <sheet name="PSC RR 1-1, Sch M2-M3" sheetId="21" r:id="rId2"/>
    <sheet name="PSC 3-1, part b" sheetId="15" r:id="rId3"/>
    <sheet name="PSC 3-1, part b ADIT" sheetId="17" r:id="rId4"/>
    <sheet name="Rev Requirement - SCH A" sheetId="10" r:id="rId5"/>
    <sheet name="Rev Conversion Factor - SCH H" sheetId="11" r:id="rId6"/>
    <sheet name="Proposed Rate Adjustments" sheetId="12" r:id="rId7"/>
    <sheet name="Sch J-1" sheetId="14" r:id="rId8"/>
    <sheet name="Sch M1" sheetId="13" r:id="rId9"/>
  </sheets>
  <definedNames>
    <definedName name="\A">#REF!</definedName>
    <definedName name="\N">#REF!</definedName>
    <definedName name="\P">#REF!</definedName>
    <definedName name="\Q">#REF!</definedName>
    <definedName name="\S">#REF!</definedName>
    <definedName name="\W">#REF!</definedName>
    <definedName name="_00_01">#REF!</definedName>
    <definedName name="_000">#REF!</definedName>
    <definedName name="_1_0pf1">#REF!</definedName>
    <definedName name="_1_13MO_M_S">#REF!</definedName>
    <definedName name="_1_1MO_YTD">#REF!</definedName>
    <definedName name="_106DATA">#REF!</definedName>
    <definedName name="_2_0BL">#REF!</definedName>
    <definedName name="_2_6MO_ACT">#REF!</definedName>
    <definedName name="_3_6MO_ACT_UPIS">#REF!</definedName>
    <definedName name="_329">#REF!</definedName>
    <definedName name="_3M">#REF!</definedName>
    <definedName name="_4_0i">#REF!</definedName>
    <definedName name="_AWW03">#REF!</definedName>
    <definedName name="_AWW04">#REF!</definedName>
    <definedName name="_AWW05">#REF!</definedName>
    <definedName name="_AWW06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M">#REF!</definedName>
    <definedName name="_Order1" hidden="1">255</definedName>
    <definedName name="_Sch1">#REF!</definedName>
    <definedName name="_Sch2">#REF!</definedName>
    <definedName name="_Sch3">#REF!</definedName>
    <definedName name="_Sch4">#REF!</definedName>
    <definedName name="_Sch5">#REF!</definedName>
    <definedName name="_Sch6">#REF!</definedName>
    <definedName name="_Sch7">#REF!</definedName>
    <definedName name="_Sort" hidden="1">#REF!</definedName>
    <definedName name="_Table2_Out" hidden="1">#REF!</definedName>
    <definedName name="A">#REF!</definedName>
    <definedName name="AAET">#REF!</definedName>
    <definedName name="AcctNumDec">#REF!</definedName>
    <definedName name="ACCUMRES">#REF!</definedName>
    <definedName name="Active_FINAL_with_Gender">#REF!</definedName>
    <definedName name="ACTUAL">#REF!</definedName>
    <definedName name="ActualCostCurrent">#REF!</definedName>
    <definedName name="ACTUALHEAD">#REF!</definedName>
    <definedName name="ALL">#REF!</definedName>
    <definedName name="ALL_DATA">#REF!</definedName>
    <definedName name="ALT">#REF!</definedName>
    <definedName name="American">#REF!</definedName>
    <definedName name="Apollo_TaxRate">#REF!</definedName>
    <definedName name="Application">#REF!</definedName>
    <definedName name="AS_400">#REF!</definedName>
    <definedName name="AsOf">#REF!</definedName>
    <definedName name="asof2">#REF!</definedName>
    <definedName name="asof3">#REF!</definedName>
    <definedName name="AsOfMonthText">#REF!</definedName>
    <definedName name="asofmonthtext2">#REF!</definedName>
    <definedName name="asofmonthtext3">#REF!</definedName>
    <definedName name="attch1">#REF!</definedName>
    <definedName name="AVALON">#REF!</definedName>
    <definedName name="awkfiscal">#REF!</definedName>
    <definedName name="AWR">#REF!</definedName>
    <definedName name="AWWOp">#REF!</definedName>
    <definedName name="AWWS_Corp">"est"</definedName>
    <definedName name="AZ">#REF!</definedName>
    <definedName name="AZAM00">#REF!</definedName>
    <definedName name="AZAM01">#REF!</definedName>
    <definedName name="azamfiscal">#REF!</definedName>
    <definedName name="B">#REF!</definedName>
    <definedName name="BELMAWR">#REF!</definedName>
    <definedName name="BizUnits">#REF!</definedName>
    <definedName name="BUDGET">#REF!</definedName>
    <definedName name="BUDGETHEAD">#REF!</definedName>
    <definedName name="CA">#REF!</definedName>
    <definedName name="CAAM00">#REF!</definedName>
    <definedName name="CAAM01">#REF!</definedName>
    <definedName name="caamfiscal">#REF!</definedName>
    <definedName name="CAI">#REF!</definedName>
    <definedName name="CapEx_Effectiveness">#REF!</definedName>
    <definedName name="cb_erf">#REF!</definedName>
    <definedName name="cbcredit">#REF!</definedName>
    <definedName name="CCI">#REF!</definedName>
    <definedName name="cell_down_and_left">#REF!</definedName>
    <definedName name="CellToLeft">#REF!</definedName>
    <definedName name="CICdate">#REF!</definedName>
    <definedName name="CICprice">#REF!</definedName>
    <definedName name="CLI">#REF!</definedName>
    <definedName name="CLIENT_NAME">#REF!</definedName>
    <definedName name="Co">#REF!</definedName>
    <definedName name="ColControl">#REF!</definedName>
    <definedName name="ComEqty">#REF!</definedName>
    <definedName name="compnam3">#REF!</definedName>
    <definedName name="compname">#REF!</definedName>
    <definedName name="compname2">#REF!</definedName>
    <definedName name="ComRate">#REF!</definedName>
    <definedName name="contr">#REF!</definedName>
    <definedName name="Core_DebtCap">#REF!</definedName>
    <definedName name="Core_EquityCap">#REF!</definedName>
    <definedName name="core_ROE">#REF!</definedName>
    <definedName name="Cos">#REF!</definedName>
    <definedName name="CostOfEquityRate1">#REF!</definedName>
    <definedName name="CostOfEquityRate2">#REF!</definedName>
    <definedName name="Crap">#REF!</definedName>
    <definedName name="_xlnm.Criteria">#REF!</definedName>
    <definedName name="crud">#REF!</definedName>
    <definedName name="CTAM00">#REF!</definedName>
    <definedName name="CTAM01">#REF!</definedName>
    <definedName name="ctamfiscal">#REF!</definedName>
    <definedName name="customer">#REF!</definedName>
    <definedName name="data">#REF!</definedName>
    <definedName name="_xlnm.Database">#REF!</definedName>
    <definedName name="Database_MI">#REF!</definedName>
    <definedName name="DATAW">#REF!</definedName>
    <definedName name="Date">#REF!</definedName>
    <definedName name="DEPR_DB">#REF!</definedName>
    <definedName name="DEPR_EXP">#REF!</definedName>
    <definedName name="DiscRate">#REF!</definedName>
    <definedName name="DOB">#REF!</definedName>
    <definedName name="DOC">#REF!</definedName>
    <definedName name="DP1813TB1">#REF!</definedName>
    <definedName name="DP1813TB2">#REF!</definedName>
    <definedName name="DP1814TB1">#REF!</definedName>
    <definedName name="DT">#REF!</definedName>
    <definedName name="E_Palo_Alto">#REF!</definedName>
    <definedName name="ENTRY">#REF!</definedName>
    <definedName name="EPA">#REF!</definedName>
    <definedName name="EquipList">#REF!</definedName>
    <definedName name="ET">#REF!</definedName>
    <definedName name="EW">#REF!</definedName>
    <definedName name="ExpLoad">#REF!</definedName>
    <definedName name="_xlnm.Extract">#REF!</definedName>
    <definedName name="financings">#REF!</definedName>
    <definedName name="FINCO2000">#REF!</definedName>
    <definedName name="FINCO2001">#REF!</definedName>
    <definedName name="fincofiscal">#REF!</definedName>
    <definedName name="fiscalprint">#REF!</definedName>
    <definedName name="Fleet_Auto_Information">#REF!</definedName>
    <definedName name="frequency">#REF!</definedName>
    <definedName name="FYE">#REF!</definedName>
    <definedName name="g">#REF!</definedName>
    <definedName name="GAM">#REF!</definedName>
    <definedName name="GAM83F">#REF!</definedName>
    <definedName name="gam83f2">#REF!</definedName>
    <definedName name="gam83f3">#REF!</definedName>
    <definedName name="GAM83M">#REF!</definedName>
    <definedName name="gam83m2">#REF!</definedName>
    <definedName name="gam83m3">#REF!</definedName>
    <definedName name="GAM94F">#REF!</definedName>
    <definedName name="h">#REF!</definedName>
    <definedName name="HADDON_HEIGHTS">#REF!</definedName>
    <definedName name="HAMP00">#REF!</definedName>
    <definedName name="HAMP01">#REF!</definedName>
    <definedName name="hamptfiscal">#REF!</definedName>
    <definedName name="HERSHEY">#REF!</definedName>
    <definedName name="HI">#REF!</definedName>
    <definedName name="HIAM00">#REF!</definedName>
    <definedName name="HIAM01">#REF!</definedName>
    <definedName name="hiamfiscal">#REF!</definedName>
    <definedName name="Howell">#REF!</definedName>
    <definedName name="IA">#REF!</definedName>
    <definedName name="IAAM00">#REF!</definedName>
    <definedName name="IAAM01">#REF!</definedName>
    <definedName name="iaamfiscal">#REF!</definedName>
    <definedName name="IL">#REF!</definedName>
    <definedName name="ILAM00">#REF!</definedName>
    <definedName name="ILAM01">#REF!</definedName>
    <definedName name="ilamfiscal">#REF!</definedName>
    <definedName name="ILL">#REF!</definedName>
    <definedName name="ILLCORP">#REF!</definedName>
    <definedName name="ILLINOIS">#REF!</definedName>
    <definedName name="Impact">#REF!</definedName>
    <definedName name="IN">#REF!</definedName>
    <definedName name="INAM00">#REF!</definedName>
    <definedName name="INAM01">#REF!</definedName>
    <definedName name="inamfiscal">#REF!</definedName>
    <definedName name="IND">#REF!</definedName>
    <definedName name="INDCORP">#REF!</definedName>
    <definedName name="INDIANA">#REF!</definedName>
    <definedName name="INFO">#REF!</definedName>
    <definedName name="INT">#REF!</definedName>
    <definedName name="IOA">#REF!</definedName>
    <definedName name="IOACORP">#REF!</definedName>
    <definedName name="IOWA">#REF!</definedName>
    <definedName name="ipSexCode">#REF!</definedName>
    <definedName name="IS_FIN">#REF!</definedName>
    <definedName name="IS_PC">#REF!</definedName>
    <definedName name="j">#REF!</definedName>
    <definedName name="JCWC00">#REF!</definedName>
    <definedName name="JCWC01">#REF!</definedName>
    <definedName name="jcwcfiscal">#REF!</definedName>
    <definedName name="JE">#REF!</definedName>
    <definedName name="jj">#REF!</definedName>
    <definedName name="joe">#REF!</definedName>
    <definedName name="JOP">#REF!</definedName>
    <definedName name="JOURNAL">#REF!</definedName>
    <definedName name="JOURNAL_ENTRY">#REF!</definedName>
    <definedName name="jp">#REF!</definedName>
    <definedName name="KOK">#REF!</definedName>
    <definedName name="KY">#REF!</definedName>
    <definedName name="KYAM00">#REF!</definedName>
    <definedName name="KYAM01">#REF!</definedName>
    <definedName name="kyamfiscal">#REF!</definedName>
    <definedName name="l">#REF!</definedName>
    <definedName name="LI">#REF!</definedName>
    <definedName name="LinkList">#REF!</definedName>
    <definedName name="LIST">#REF!</definedName>
    <definedName name="LIST2">#REF!</definedName>
    <definedName name="LIWC00">#REF!</definedName>
    <definedName name="LIWC01">#REF!</definedName>
    <definedName name="liwcfiscal">#REF!</definedName>
    <definedName name="lkdeferral">#REF!</definedName>
    <definedName name="LS">#REF!</definedName>
    <definedName name="LSDiscountRate">#REF!</definedName>
    <definedName name="LTDebt">#REF!</definedName>
    <definedName name="MA_ENGIN">#REF!</definedName>
    <definedName name="MA_OH">#REF!</definedName>
    <definedName name="MA_OM">#REF!</definedName>
    <definedName name="MA_OTHER">#REF!</definedName>
    <definedName name="MA_RESID">#REF!</definedName>
    <definedName name="MA_UNDER">#REF!</definedName>
    <definedName name="MAAM00">#REF!</definedName>
    <definedName name="MAAM01">#REF!</definedName>
    <definedName name="maamfiscal">#REF!</definedName>
    <definedName name="MAXLINES">#REF!</definedName>
    <definedName name="MD">#REF!</definedName>
    <definedName name="MDAM00">#REF!</definedName>
    <definedName name="MDAM01">#REF!</definedName>
    <definedName name="mdamfiscal">#REF!</definedName>
    <definedName name="MIAM00">#REF!</definedName>
    <definedName name="MIAM01">#REF!</definedName>
    <definedName name="miamfiscal">#REF!</definedName>
    <definedName name="MO">#REF!</definedName>
    <definedName name="MOA">#REF!</definedName>
    <definedName name="MOACORP">#REF!</definedName>
    <definedName name="MOAM00">#REF!</definedName>
    <definedName name="MOAM01">#REF!</definedName>
    <definedName name="moamfiscal">#REF!</definedName>
    <definedName name="Month">#REF!</definedName>
    <definedName name="MonthNum">#REF!</definedName>
    <definedName name="monthtext">#REF!</definedName>
    <definedName name="MUN">#REF!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D_ENGIN">#REF!</definedName>
    <definedName name="ND_OH">#REF!</definedName>
    <definedName name="ND_OM">#REF!</definedName>
    <definedName name="ND_OTHER">#REF!</definedName>
    <definedName name="ND_RESID">#REF!</definedName>
    <definedName name="ND_UNDER">#REF!</definedName>
    <definedName name="NE_ENGIN">#REF!</definedName>
    <definedName name="NE_OH">#REF!</definedName>
    <definedName name="NE_OM">#REF!</definedName>
    <definedName name="NE_OTHER">#REF!</definedName>
    <definedName name="NE_RESID">#REF!</definedName>
    <definedName name="NE_UNDER">#REF!</definedName>
    <definedName name="NEWCOSTS">#REF!</definedName>
    <definedName name="NEWPRINT">#REF!</definedName>
    <definedName name="NJ">#REF!</definedName>
    <definedName name="NJAM00">#REF!</definedName>
    <definedName name="NJAM01">#REF!</definedName>
    <definedName name="njamfiscal">#REF!</definedName>
    <definedName name="NM">#REF!</definedName>
    <definedName name="NMAM00">#REF!</definedName>
    <definedName name="NMAM01">#REF!</definedName>
    <definedName name="nmamfiscal">#REF!</definedName>
    <definedName name="NO_NEI">#REF!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RTHEAST">#REF!</definedName>
    <definedName name="NOSH">#REF!</definedName>
    <definedName name="NOTES">#REF!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W_ENGIN">#REF!</definedName>
    <definedName name="NW_OH">#REF!</definedName>
    <definedName name="NW_OM">#REF!</definedName>
    <definedName name="NW_OTHER">#REF!</definedName>
    <definedName name="NW_RESID">#REF!</definedName>
    <definedName name="NW_UNDER">#REF!</definedName>
    <definedName name="NYAM00">#REF!</definedName>
    <definedName name="NYAM01">#REF!</definedName>
    <definedName name="nyamfiscal">#REF!</definedName>
    <definedName name="OCCAMT">#REF!</definedName>
    <definedName name="OH">#REF!</definedName>
    <definedName name="OH_ADJ">#REF!</definedName>
    <definedName name="OH_COMM">#REF!</definedName>
    <definedName name="OH_EL">#REF!</definedName>
    <definedName name="OH_EXEC">#REF!</definedName>
    <definedName name="OH_FIN">#REF!</definedName>
    <definedName name="OH_HR">#REF!</definedName>
    <definedName name="OH_LEGAL">#REF!</definedName>
    <definedName name="OH_MKT">#REF!</definedName>
    <definedName name="OH_OPS">#REF!</definedName>
    <definedName name="OH_OTH">#REF!</definedName>
    <definedName name="OH_PR">#REF!</definedName>
    <definedName name="OHA">#REF!</definedName>
    <definedName name="OHAM00">#REF!</definedName>
    <definedName name="OHAM01">#REF!</definedName>
    <definedName name="ohamfiscal">#REF!</definedName>
    <definedName name="ok">#REF!</definedName>
    <definedName name="OM_AR">#REF!,#REF!,#REF!,#REF!,#REF!,#REF!,#REF!,#REF!</definedName>
    <definedName name="OMI">#REF!</definedName>
    <definedName name="ORCOM">#REF!</definedName>
    <definedName name="OverEarn_Amount">#REF!</definedName>
    <definedName name="OverEarn_Switch">#REF!</definedName>
    <definedName name="OverEarnCap_Switch">#REF!</definedName>
    <definedName name="p">#REF!</definedName>
    <definedName name="PA">#REF!</definedName>
    <definedName name="PAAM00">#REF!</definedName>
    <definedName name="PAAM01">#REF!</definedName>
    <definedName name="paamfiscal">#REF!</definedName>
    <definedName name="PAGE1">#REF!</definedName>
    <definedName name="PAGE2">#REF!</definedName>
    <definedName name="pain">#REF!</definedName>
    <definedName name="PCALOC">#REF!</definedName>
    <definedName name="PEK">#REF!</definedName>
    <definedName name="PEO">#REF!</definedName>
    <definedName name="PERIOD_END">#REF!</definedName>
    <definedName name="PFRate">#REF!</definedName>
    <definedName name="PFYE">#REF!</definedName>
    <definedName name="pj">#REF!</definedName>
    <definedName name="poil">#REF!</definedName>
    <definedName name="poll">#REF!</definedName>
    <definedName name="pop">#REF!</definedName>
    <definedName name="ppp">#REF!</definedName>
    <definedName name="PrefStk">#REF!</definedName>
    <definedName name="PREPARED_BY">#REF!</definedName>
    <definedName name="PREPARED_DATE">#REF!</definedName>
    <definedName name="PRINT">#REF!</definedName>
    <definedName name="_xlnm.Print_Area" localSheetId="1">'PSC RR 1-1, Sch M2-M3'!$A$1:$Z$352</definedName>
    <definedName name="_xlnm.Print_Area" localSheetId="5">'Rev Conversion Factor - SCH H'!$A$1:$G$33</definedName>
    <definedName name="_xlnm.Print_Area" localSheetId="4">'Rev Requirement - SCH A'!$A$1:$H$53</definedName>
    <definedName name="_xlnm.Print_Area" localSheetId="7">'Sch J-1'!$A$1:$R$32</definedName>
    <definedName name="_xlnm.Print_Area" localSheetId="8">'Sch M1'!$A$1:$H$182</definedName>
    <definedName name="_xlnm.Print_Area">#REF!</definedName>
    <definedName name="Print_Area_MI">#REF!</definedName>
    <definedName name="_xlnm.Print_Titles" localSheetId="2">'PSC 3-1, part b'!$1:$3</definedName>
    <definedName name="_xlnm.Print_Titles">#N/A</definedName>
    <definedName name="PRINT_TITLES_MI">#REF!</definedName>
    <definedName name="PRINT2000">#REF!</definedName>
    <definedName name="PRINT2001">#REF!</definedName>
    <definedName name="pull">#REF!</definedName>
    <definedName name="PY2AsOf">#REF!</definedName>
    <definedName name="PY3AsOf">#REF!</definedName>
    <definedName name="PYAsOf">#REF!</definedName>
    <definedName name="QC">#REF!</definedName>
    <definedName name="QUERY">#REF!</definedName>
    <definedName name="Query1">#REF!</definedName>
    <definedName name="RANGE">#REF!</definedName>
    <definedName name="rate2006">#REF!</definedName>
    <definedName name="rate2007">#REF!</definedName>
    <definedName name="REGION_1">#REF!</definedName>
    <definedName name="REGION_2">#REF!</definedName>
    <definedName name="RIC">#REF!</definedName>
    <definedName name="RICHMOND">#REF!</definedName>
    <definedName name="SALI00">#REF!</definedName>
    <definedName name="SALI01">#REF!</definedName>
    <definedName name="salisfiscal">#REF!</definedName>
    <definedName name="SAPCrosstab1" localSheetId="1">#REF!</definedName>
    <definedName name="SAPCrosstab1">#REF!</definedName>
    <definedName name="Sc1PG2">#REF!</definedName>
    <definedName name="Sch2Pg2">#REF!</definedName>
    <definedName name="Sch3Pg2">#REF!</definedName>
    <definedName name="Sch4_pg2">#REF!</definedName>
    <definedName name="Sch4_pg3">#REF!</definedName>
    <definedName name="Sch4_pg4">#REF!</definedName>
    <definedName name="Sch4_pg5">#REF!</definedName>
    <definedName name="Sch4_pg6">#REF!</definedName>
    <definedName name="Sch6_pg2">#REF!</definedName>
    <definedName name="Sch6_pg3">#REF!</definedName>
    <definedName name="Sch6_pg4">#REF!</definedName>
    <definedName name="Sch7_pg2">#REF!</definedName>
    <definedName name="Sch7_pg3">#REF!</definedName>
    <definedName name="sch8pg1">#REF!</definedName>
    <definedName name="sch8pg2">#REF!</definedName>
    <definedName name="schedule">#REF!</definedName>
    <definedName name="SE_ENGIN">#REF!</definedName>
    <definedName name="SE_OH">#REF!</definedName>
    <definedName name="SE_OM">#REF!</definedName>
    <definedName name="SE_OTHER">#REF!</definedName>
    <definedName name="SE_RESID">#REF!</definedName>
    <definedName name="SE_UNDER">#REF!</definedName>
    <definedName name="Service">#REF!</definedName>
    <definedName name="SEY">#REF!</definedName>
    <definedName name="showme">#REF!</definedName>
    <definedName name="SizingColumn">#REF!</definedName>
    <definedName name="SLCW00">#REF!</definedName>
    <definedName name="SLCW01">#REF!</definedName>
    <definedName name="slcwfiscal">#REF!</definedName>
    <definedName name="SOUTHEAST">#REF!</definedName>
    <definedName name="SPECIALS">#REF!</definedName>
    <definedName name="SRP">#REF!</definedName>
    <definedName name="STJ">#REF!</definedName>
    <definedName name="Stuff">#REF!</definedName>
    <definedName name="Summary">#REF!</definedName>
    <definedName name="Support">#REF!</definedName>
    <definedName name="SW_ENGIN">#REF!</definedName>
    <definedName name="SW_OH">#REF!</definedName>
    <definedName name="SW_OM">#REF!</definedName>
    <definedName name="SW_OTHER">#REF!</definedName>
    <definedName name="SW_RESID">#REF!</definedName>
    <definedName name="SW_UNDER">#REF!</definedName>
    <definedName name="sysExpenseLoad">#REF!</definedName>
    <definedName name="sysPlanCode">#REF!</definedName>
    <definedName name="sysValDate">#REF!</definedName>
    <definedName name="T">#REF!</definedName>
    <definedName name="TABLE">#REF!</definedName>
    <definedName name="Task_Order06">#REF!</definedName>
    <definedName name="TaxRate">#REF!</definedName>
    <definedName name="test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HKEY">#REF!</definedName>
    <definedName name="TESTKEYS">#REF!</definedName>
    <definedName name="TESTVKEY">#REF!</definedName>
    <definedName name="Thorig">#REF!</definedName>
    <definedName name="TN">#REF!</definedName>
    <definedName name="TNAM00">#REF!</definedName>
    <definedName name="TNAM01">#REF!</definedName>
    <definedName name="tnamfiscal">#REF!</definedName>
    <definedName name="ToggleMax">#REF!</definedName>
    <definedName name="TOTAL">#REF!</definedName>
    <definedName name="TotColControl">#REF!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TX">#REF!</definedName>
    <definedName name="Type">#REF!</definedName>
    <definedName name="UPIS">#REF!</definedName>
    <definedName name="VA">#REF!</definedName>
    <definedName name="VAAM00">#REF!</definedName>
    <definedName name="VAAM01">#REF!</definedName>
    <definedName name="vaamfiscal">#REF!</definedName>
    <definedName name="ValDate">#REF!</definedName>
    <definedName name="valpay">#REF!</definedName>
    <definedName name="VARIANCE">#REF!</definedName>
    <definedName name="VARIANCEHEAD">#REF!</definedName>
    <definedName name="WAB">#REF!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STERN">#REF!</definedName>
    <definedName name="wha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If03">#REF!</definedName>
    <definedName name="WhatIf04">#REF!</definedName>
    <definedName name="WhatIf05">#REF!</definedName>
    <definedName name="WhatIf06">#REF!</definedName>
    <definedName name="WhatIfOp">#REF!</definedName>
    <definedName name="Work_Order07">#REF!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7" hidden="1">{"Wkp ComEquity",#N/A,FALSE,"Cap Struct WPs"}</definedName>
    <definedName name="wrn.Wkp._.ComEquity." hidden="1">{"Wkp ComEquity",#N/A,FALSE,"Cap Struct WPs"}</definedName>
    <definedName name="wrn.Wkp._.JDITC." localSheetId="7" hidden="1">{"Wkp JDITC",#N/A,FALSE,"Cap Struct WPs"}</definedName>
    <definedName name="wrn.Wkp._.JDITC." hidden="1">{"Wkp JDITC",#N/A,FALSE,"Cap Struct WPs"}</definedName>
    <definedName name="wrn.Wkp._.LTerm._.Debt." localSheetId="7" hidden="1">{"Wkp LTerm Debt",#N/A,FALSE,"Cap Struct WPs"}</definedName>
    <definedName name="wrn.Wkp._.LTerm._.Debt." hidden="1">{"Wkp LTerm Debt",#N/A,FALSE,"Cap Struct WPs"}</definedName>
    <definedName name="wrn.Wkp._.LTerm._.Debt._.13Mo._.Avg." localSheetId="7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7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7" hidden="1">{"Wkp LTerm Debt Int",#N/A,FALSE,"Cap Struct WPs"}</definedName>
    <definedName name="wrn.Wkp._.LTerm._.Debt._.Int." hidden="1">{"Wkp LTerm Debt Int",#N/A,FALSE,"Cap Struct WPs"}</definedName>
    <definedName name="wrn.Wkp._.PreStock." localSheetId="7" hidden="1">{"Wkp PreStock",#N/A,FALSE,"Cap Struct WPs"}</definedName>
    <definedName name="wrn.Wkp._.PreStock." hidden="1">{"Wkp PreStock",#N/A,FALSE,"Cap Struct WPs"}</definedName>
    <definedName name="wrn.Wkp._.PreStock._.13MoAvg." localSheetId="7" hidden="1">{"Wkp PreStock 13MoAvg",#N/A,FALSE,"Cap Struct WPs"}</definedName>
    <definedName name="wrn.Wkp._.PreStock._.13MoAvg." hidden="1">{"Wkp PreStock 13MoAvg",#N/A,FALSE,"Cap Struct WPs"}</definedName>
    <definedName name="wrn.Wkp._.PreStock._.Amort." localSheetId="7" hidden="1">{"Wkp PreStock Amort",#N/A,FALSE,"Cap Struct WPs"}</definedName>
    <definedName name="wrn.Wkp._.PreStock._.Amort." hidden="1">{"Wkp PreStock Amort",#N/A,FALSE,"Cap Struct WPs"}</definedName>
    <definedName name="wrn.Wkp._.PreStock._.Dividend." localSheetId="7" hidden="1">{"Wkp PreStock Dividend",#N/A,FALSE,"Cap Struct WPs"}</definedName>
    <definedName name="wrn.Wkp._.PreStock._.Dividend." hidden="1">{"Wkp PreStock Dividend",#N/A,FALSE,"Cap Struct WPs"}</definedName>
    <definedName name="wrn.Wkp._.STerm._.Debt." localSheetId="7" hidden="1">{"Wkp STerm Debt",#N/A,FALSE,"Cap Struct WPs"}</definedName>
    <definedName name="wrn.Wkp._.STerm._.Debt." hidden="1">{"Wkp STerm Debt",#N/A,FALSE,"Cap Struct WPs"}</definedName>
    <definedName name="wrn.Wkp._.Unamort._.Debt._.Exp." localSheetId="7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7" hidden="1">{"Wkp Unamort PreStock Exp",#N/A,FALSE,"Cap Struct WPs"}</definedName>
    <definedName name="wrn.Wkp._.Unamort._.PreStock._.Exp." hidden="1">{"Wkp Unamort PreStock Exp",#N/A,FALSE,"Cap Struct WPs"}</definedName>
    <definedName name="WV">#REF!</definedName>
    <definedName name="WVAM00">#REF!</definedName>
    <definedName name="WVAM01">#REF!</definedName>
    <definedName name="wvamfiscal">#REF!</definedName>
    <definedName name="xsch4">#REF!</definedName>
    <definedName name="Year">#REF!</definedName>
    <definedName name="YTDWIDE">#REF!</definedName>
    <definedName name="ytm_ltd1">#REF!</definedName>
    <definedName name="ytm_ltd2">#REF!</definedName>
    <definedName name="ytm_ltd3">#REF!</definedName>
    <definedName name="ytm_ltd4">#REF!</definedName>
    <definedName name="ytm_ltd5">#REF!</definedName>
    <definedName name="ytm_ltd6">#REF!</definedName>
    <definedName name="ytm_ltd7">#REF!</definedName>
    <definedName name="ytm_pfs1">#REF!</definedName>
    <definedName name="ytm_pfs2">#REF!</definedName>
    <definedName name="ytm_pfs3">#REF!</definedName>
    <definedName name="ytm_pfs4">#REF!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7" l="1"/>
  <c r="Z309" i="21" l="1"/>
  <c r="Z266" i="21"/>
  <c r="Z224" i="21"/>
  <c r="Z182" i="21"/>
  <c r="Z140" i="21"/>
  <c r="Z98" i="21"/>
  <c r="Z51" i="21"/>
  <c r="E17" i="7" l="1"/>
  <c r="E30" i="7"/>
  <c r="E23" i="7"/>
  <c r="E22" i="7"/>
  <c r="K345" i="21"/>
  <c r="O343" i="21"/>
  <c r="P341" i="21"/>
  <c r="T341" i="21"/>
  <c r="K341" i="21"/>
  <c r="J341" i="21"/>
  <c r="G341" i="21"/>
  <c r="G343" i="21" s="1"/>
  <c r="E343" i="21"/>
  <c r="K335" i="21"/>
  <c r="K333" i="21"/>
  <c r="L333" i="21" s="1"/>
  <c r="P333" i="21"/>
  <c r="J333" i="21"/>
  <c r="G333" i="21"/>
  <c r="P328" i="21"/>
  <c r="T328" i="21"/>
  <c r="V328" i="21" s="1"/>
  <c r="K328" i="21"/>
  <c r="J328" i="21"/>
  <c r="L328" i="21" s="1"/>
  <c r="G328" i="21"/>
  <c r="K327" i="21"/>
  <c r="T327" i="21"/>
  <c r="J327" i="21"/>
  <c r="L327" i="21" s="1"/>
  <c r="G327" i="21"/>
  <c r="P327" i="21"/>
  <c r="K326" i="21"/>
  <c r="T326" i="21"/>
  <c r="V326" i="21" s="1"/>
  <c r="J326" i="21"/>
  <c r="L326" i="21" s="1"/>
  <c r="K324" i="21"/>
  <c r="T324" i="21"/>
  <c r="J324" i="21"/>
  <c r="T323" i="21"/>
  <c r="V323" i="21" s="1"/>
  <c r="Q323" i="21"/>
  <c r="Z323" i="21" s="1"/>
  <c r="K323" i="21"/>
  <c r="P323" i="21"/>
  <c r="Q322" i="21"/>
  <c r="P322" i="21"/>
  <c r="T322" i="21"/>
  <c r="V322" i="21" s="1"/>
  <c r="K322" i="21"/>
  <c r="K321" i="21"/>
  <c r="L321" i="21" s="1"/>
  <c r="P321" i="21"/>
  <c r="J321" i="21"/>
  <c r="G321" i="21"/>
  <c r="O330" i="21"/>
  <c r="L320" i="21"/>
  <c r="K320" i="21"/>
  <c r="G320" i="21"/>
  <c r="J320" i="21"/>
  <c r="Z319" i="21"/>
  <c r="V319" i="21"/>
  <c r="T319" i="21"/>
  <c r="K319" i="21"/>
  <c r="L319" i="21" s="1"/>
  <c r="J319" i="21"/>
  <c r="P319" i="21"/>
  <c r="Q319" i="21" s="1"/>
  <c r="X319" i="21" s="1"/>
  <c r="G319" i="21"/>
  <c r="X318" i="21"/>
  <c r="V318" i="21"/>
  <c r="P318" i="21"/>
  <c r="Q318" i="21" s="1"/>
  <c r="T318" i="21"/>
  <c r="K318" i="21"/>
  <c r="J318" i="21"/>
  <c r="G318" i="21"/>
  <c r="V317" i="21"/>
  <c r="K317" i="21"/>
  <c r="T317" i="21"/>
  <c r="J317" i="21"/>
  <c r="L317" i="21" s="1"/>
  <c r="G317" i="21"/>
  <c r="P317" i="21"/>
  <c r="K316" i="21"/>
  <c r="T316" i="21"/>
  <c r="G316" i="21"/>
  <c r="P316" i="21"/>
  <c r="Q316" i="21" s="1"/>
  <c r="A316" i="2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Z308" i="21"/>
  <c r="A303" i="21"/>
  <c r="K292" i="21"/>
  <c r="P288" i="21"/>
  <c r="Q288" i="21" s="1"/>
  <c r="O296" i="21"/>
  <c r="O23" i="21" s="1"/>
  <c r="K288" i="21"/>
  <c r="Z283" i="21"/>
  <c r="X283" i="21"/>
  <c r="P282" i="21"/>
  <c r="Q282" i="21" s="1"/>
  <c r="Z282" i="21" s="1"/>
  <c r="S282" i="21"/>
  <c r="V282" i="21" s="1"/>
  <c r="K282" i="21"/>
  <c r="L281" i="21"/>
  <c r="K281" i="21"/>
  <c r="G281" i="21"/>
  <c r="I281" i="21"/>
  <c r="P280" i="21"/>
  <c r="Q280" i="21" s="1"/>
  <c r="Z280" i="21" s="1"/>
  <c r="S280" i="21"/>
  <c r="V280" i="21" s="1"/>
  <c r="X280" i="21" s="1"/>
  <c r="K280" i="21"/>
  <c r="I280" i="21"/>
  <c r="L280" i="21" s="1"/>
  <c r="G280" i="21"/>
  <c r="K279" i="21"/>
  <c r="S279" i="21"/>
  <c r="V279" i="21" s="1"/>
  <c r="I279" i="21"/>
  <c r="L279" i="21" s="1"/>
  <c r="Q278" i="21"/>
  <c r="Z278" i="21" s="1"/>
  <c r="P278" i="21"/>
  <c r="S278" i="21"/>
  <c r="V278" i="21" s="1"/>
  <c r="X278" i="21" s="1"/>
  <c r="K278" i="21"/>
  <c r="K277" i="21"/>
  <c r="G277" i="21"/>
  <c r="I277" i="21"/>
  <c r="L277" i="21" s="1"/>
  <c r="V276" i="21"/>
  <c r="P276" i="21"/>
  <c r="S276" i="21"/>
  <c r="K276" i="21"/>
  <c r="I276" i="21"/>
  <c r="L276" i="21" s="1"/>
  <c r="G276" i="21"/>
  <c r="K275" i="21"/>
  <c r="S275" i="21"/>
  <c r="I275" i="21"/>
  <c r="P274" i="21"/>
  <c r="Q274" i="21" s="1"/>
  <c r="S274" i="21"/>
  <c r="V274" i="21" s="1"/>
  <c r="K274" i="21"/>
  <c r="B272" i="21"/>
  <c r="Z265" i="21"/>
  <c r="A260" i="21"/>
  <c r="K252" i="21"/>
  <c r="K250" i="21"/>
  <c r="G250" i="21"/>
  <c r="J250" i="21"/>
  <c r="L250" i="21" s="1"/>
  <c r="K248" i="21"/>
  <c r="G248" i="21"/>
  <c r="J248" i="21"/>
  <c r="L248" i="21" s="1"/>
  <c r="V247" i="21"/>
  <c r="T247" i="21"/>
  <c r="L247" i="21"/>
  <c r="K247" i="21"/>
  <c r="J247" i="21"/>
  <c r="P247" i="21"/>
  <c r="Q247" i="21" s="1"/>
  <c r="X247" i="21" s="1"/>
  <c r="Z247" i="21" s="1"/>
  <c r="G247" i="21"/>
  <c r="L244" i="21"/>
  <c r="K244" i="21"/>
  <c r="G244" i="21"/>
  <c r="J244" i="21"/>
  <c r="Q240" i="21"/>
  <c r="Z240" i="21" s="1"/>
  <c r="P240" i="21"/>
  <c r="S240" i="21"/>
  <c r="V240" i="21" s="1"/>
  <c r="K240" i="21"/>
  <c r="K239" i="21"/>
  <c r="L239" i="21" s="1"/>
  <c r="P239" i="21"/>
  <c r="I239" i="21"/>
  <c r="G239" i="21"/>
  <c r="K238" i="21"/>
  <c r="G238" i="21"/>
  <c r="I238" i="21"/>
  <c r="L238" i="21" s="1"/>
  <c r="V237" i="21"/>
  <c r="S237" i="21"/>
  <c r="K237" i="21"/>
  <c r="L237" i="21" s="1"/>
  <c r="I237" i="21"/>
  <c r="P237" i="21"/>
  <c r="Q237" i="21" s="1"/>
  <c r="X237" i="21" s="1"/>
  <c r="G237" i="21"/>
  <c r="P236" i="21"/>
  <c r="Q236" i="21" s="1"/>
  <c r="S236" i="21"/>
  <c r="V236" i="21" s="1"/>
  <c r="X236" i="21" s="1"/>
  <c r="K236" i="21"/>
  <c r="I236" i="21"/>
  <c r="L236" i="21" s="1"/>
  <c r="G236" i="21"/>
  <c r="K235" i="21"/>
  <c r="S235" i="21"/>
  <c r="I235" i="21"/>
  <c r="L235" i="21" s="1"/>
  <c r="G235" i="21"/>
  <c r="P235" i="21"/>
  <c r="K234" i="21"/>
  <c r="S234" i="21"/>
  <c r="V234" i="21" s="1"/>
  <c r="I234" i="21"/>
  <c r="L234" i="21" s="1"/>
  <c r="S233" i="21"/>
  <c r="V233" i="21" s="1"/>
  <c r="K233" i="21"/>
  <c r="P233" i="21"/>
  <c r="Q233" i="21" s="1"/>
  <c r="Z233" i="21" s="1"/>
  <c r="Q232" i="21"/>
  <c r="P232" i="21"/>
  <c r="S232" i="21"/>
  <c r="V232" i="21" s="1"/>
  <c r="K232" i="21"/>
  <c r="A232" i="2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31" i="21"/>
  <c r="B230" i="21"/>
  <c r="Z223" i="21"/>
  <c r="A218" i="21"/>
  <c r="T212" i="21"/>
  <c r="K208" i="21"/>
  <c r="V204" i="21"/>
  <c r="X204" i="21" s="1"/>
  <c r="T204" i="21"/>
  <c r="P204" i="21"/>
  <c r="Q204" i="21" s="1"/>
  <c r="O212" i="21"/>
  <c r="K204" i="21"/>
  <c r="J204" i="21"/>
  <c r="G204" i="21"/>
  <c r="E212" i="21"/>
  <c r="Z199" i="21"/>
  <c r="X199" i="21"/>
  <c r="V198" i="21"/>
  <c r="X198" i="21" s="1"/>
  <c r="P198" i="21"/>
  <c r="Q198" i="21" s="1"/>
  <c r="S198" i="21"/>
  <c r="K198" i="21"/>
  <c r="I198" i="21"/>
  <c r="G198" i="21"/>
  <c r="K197" i="21"/>
  <c r="S197" i="21"/>
  <c r="V197" i="21" s="1"/>
  <c r="X197" i="21" s="1"/>
  <c r="Q197" i="21"/>
  <c r="P197" i="21"/>
  <c r="Q196" i="21"/>
  <c r="P196" i="21"/>
  <c r="S196" i="21"/>
  <c r="V196" i="21" s="1"/>
  <c r="K196" i="21"/>
  <c r="I196" i="21"/>
  <c r="L196" i="21" s="1"/>
  <c r="G196" i="21"/>
  <c r="S195" i="21"/>
  <c r="V195" i="21" s="1"/>
  <c r="K195" i="21"/>
  <c r="I195" i="21"/>
  <c r="V194" i="21"/>
  <c r="X194" i="21" s="1"/>
  <c r="K194" i="21"/>
  <c r="P194" i="21"/>
  <c r="Q194" i="21" s="1"/>
  <c r="S194" i="21"/>
  <c r="I194" i="21"/>
  <c r="L194" i="21" s="1"/>
  <c r="G194" i="21"/>
  <c r="K193" i="21"/>
  <c r="Q193" i="21"/>
  <c r="L193" i="21"/>
  <c r="G193" i="21"/>
  <c r="P193" i="21"/>
  <c r="I193" i="21"/>
  <c r="V192" i="21"/>
  <c r="P192" i="21"/>
  <c r="Q192" i="21" s="1"/>
  <c r="S192" i="21"/>
  <c r="K192" i="21"/>
  <c r="G192" i="21"/>
  <c r="I192" i="21"/>
  <c r="L192" i="21" s="1"/>
  <c r="K191" i="21"/>
  <c r="S191" i="21"/>
  <c r="P191" i="21"/>
  <c r="I191" i="21"/>
  <c r="L191" i="21" s="1"/>
  <c r="Q190" i="21"/>
  <c r="P190" i="21"/>
  <c r="S190" i="21"/>
  <c r="V190" i="21" s="1"/>
  <c r="K190" i="21"/>
  <c r="I190" i="21"/>
  <c r="G190" i="21"/>
  <c r="B188" i="21"/>
  <c r="Z181" i="21"/>
  <c r="A176" i="21"/>
  <c r="A175" i="21"/>
  <c r="O170" i="21"/>
  <c r="O18" i="21" s="1"/>
  <c r="E170" i="21"/>
  <c r="K166" i="21"/>
  <c r="K162" i="21"/>
  <c r="G162" i="21"/>
  <c r="J162" i="21"/>
  <c r="J170" i="21" s="1"/>
  <c r="J18" i="21" s="1"/>
  <c r="Z157" i="21"/>
  <c r="X157" i="21"/>
  <c r="K156" i="21"/>
  <c r="L156" i="21"/>
  <c r="G156" i="21"/>
  <c r="I156" i="21"/>
  <c r="P155" i="21"/>
  <c r="Q155" i="21" s="1"/>
  <c r="Z155" i="21" s="1"/>
  <c r="S155" i="21"/>
  <c r="V155" i="21" s="1"/>
  <c r="X155" i="21" s="1"/>
  <c r="K155" i="21"/>
  <c r="L155" i="21" s="1"/>
  <c r="I155" i="21"/>
  <c r="G155" i="21"/>
  <c r="K154" i="21"/>
  <c r="S154" i="21"/>
  <c r="Q154" i="21"/>
  <c r="I154" i="21"/>
  <c r="L154" i="21" s="1"/>
  <c r="G154" i="21"/>
  <c r="P154" i="21"/>
  <c r="V153" i="21"/>
  <c r="S153" i="21"/>
  <c r="K153" i="21"/>
  <c r="I153" i="21"/>
  <c r="L153" i="21" s="1"/>
  <c r="P153" i="21"/>
  <c r="Q153" i="21" s="1"/>
  <c r="Z153" i="21" s="1"/>
  <c r="K152" i="21"/>
  <c r="S152" i="21"/>
  <c r="V152" i="21" s="1"/>
  <c r="L152" i="21"/>
  <c r="G152" i="21"/>
  <c r="I152" i="21"/>
  <c r="P151" i="21"/>
  <c r="Q151" i="21" s="1"/>
  <c r="S151" i="21"/>
  <c r="V151" i="21" s="1"/>
  <c r="X151" i="21" s="1"/>
  <c r="Z151" i="21" s="1"/>
  <c r="L151" i="21"/>
  <c r="K151" i="21"/>
  <c r="I151" i="21"/>
  <c r="G151" i="21"/>
  <c r="K150" i="21"/>
  <c r="S150" i="21"/>
  <c r="V150" i="21" s="1"/>
  <c r="L150" i="21"/>
  <c r="I150" i="21"/>
  <c r="P150" i="21"/>
  <c r="V149" i="21"/>
  <c r="S149" i="21"/>
  <c r="K149" i="21"/>
  <c r="I149" i="21"/>
  <c r="L149" i="21" s="1"/>
  <c r="P149" i="21"/>
  <c r="Q149" i="21" s="1"/>
  <c r="Z149" i="21" s="1"/>
  <c r="K148" i="21"/>
  <c r="S148" i="21"/>
  <c r="V148" i="21" s="1"/>
  <c r="G148" i="21"/>
  <c r="P148" i="21"/>
  <c r="I148" i="21"/>
  <c r="L148" i="21" s="1"/>
  <c r="B146" i="21"/>
  <c r="Z139" i="21"/>
  <c r="A135" i="21"/>
  <c r="A134" i="21"/>
  <c r="A133" i="21"/>
  <c r="O128" i="21"/>
  <c r="K124" i="21"/>
  <c r="V120" i="21"/>
  <c r="T120" i="21"/>
  <c r="T128" i="21" s="1"/>
  <c r="T17" i="21" s="1"/>
  <c r="K120" i="21"/>
  <c r="P120" i="21"/>
  <c r="Q120" i="21" s="1"/>
  <c r="J120" i="21"/>
  <c r="Z115" i="21"/>
  <c r="X115" i="21"/>
  <c r="P114" i="21"/>
  <c r="Q114" i="21" s="1"/>
  <c r="S114" i="21"/>
  <c r="V114" i="21" s="1"/>
  <c r="X114" i="21" s="1"/>
  <c r="K114" i="21"/>
  <c r="G114" i="21"/>
  <c r="K113" i="21"/>
  <c r="S113" i="21"/>
  <c r="P113" i="21"/>
  <c r="G113" i="21"/>
  <c r="I113" i="21"/>
  <c r="Q112" i="21"/>
  <c r="P112" i="21"/>
  <c r="S112" i="21"/>
  <c r="V112" i="21" s="1"/>
  <c r="X112" i="21" s="1"/>
  <c r="Z112" i="21" s="1"/>
  <c r="L112" i="21"/>
  <c r="K112" i="21"/>
  <c r="I112" i="21"/>
  <c r="G112" i="21"/>
  <c r="K111" i="21"/>
  <c r="S111" i="21"/>
  <c r="Q111" i="21"/>
  <c r="P111" i="21"/>
  <c r="I111" i="21"/>
  <c r="L111" i="21" s="1"/>
  <c r="S110" i="21"/>
  <c r="V110" i="21" s="1"/>
  <c r="K110" i="21"/>
  <c r="I110" i="21"/>
  <c r="P110" i="21"/>
  <c r="S109" i="21"/>
  <c r="V109" i="21" s="1"/>
  <c r="P109" i="21"/>
  <c r="L109" i="21"/>
  <c r="K109" i="21"/>
  <c r="G109" i="21"/>
  <c r="I109" i="21"/>
  <c r="V108" i="21"/>
  <c r="P108" i="21"/>
  <c r="Q108" i="21" s="1"/>
  <c r="S108" i="21"/>
  <c r="I108" i="21"/>
  <c r="G108" i="21"/>
  <c r="K107" i="21"/>
  <c r="S107" i="21"/>
  <c r="V107" i="21" s="1"/>
  <c r="X107" i="21" s="1"/>
  <c r="Q107" i="21"/>
  <c r="Z107" i="21" s="1"/>
  <c r="L107" i="21"/>
  <c r="I107" i="21"/>
  <c r="P107" i="21"/>
  <c r="V106" i="21"/>
  <c r="S106" i="21"/>
  <c r="K106" i="21"/>
  <c r="I106" i="21"/>
  <c r="L106" i="21" s="1"/>
  <c r="P106" i="21"/>
  <c r="B104" i="21"/>
  <c r="E103" i="21"/>
  <c r="Z97" i="21"/>
  <c r="A93" i="21"/>
  <c r="A92" i="21"/>
  <c r="O86" i="21"/>
  <c r="E86" i="21"/>
  <c r="E16" i="21" s="1"/>
  <c r="K82" i="21"/>
  <c r="T79" i="21"/>
  <c r="V79" i="21" s="1"/>
  <c r="X79" i="21" s="1"/>
  <c r="Q79" i="21"/>
  <c r="Z79" i="21" s="1"/>
  <c r="T78" i="21"/>
  <c r="V78" i="21" s="1"/>
  <c r="X78" i="21" s="1"/>
  <c r="Q78" i="21"/>
  <c r="Z78" i="21" s="1"/>
  <c r="T75" i="21"/>
  <c r="V75" i="21" s="1"/>
  <c r="L75" i="21"/>
  <c r="K75" i="21"/>
  <c r="G75" i="21"/>
  <c r="P75" i="21"/>
  <c r="Q75" i="21" s="1"/>
  <c r="J75" i="21"/>
  <c r="J86" i="21" s="1"/>
  <c r="V71" i="21"/>
  <c r="X71" i="21" s="1"/>
  <c r="S71" i="21"/>
  <c r="Q71" i="21"/>
  <c r="Z71" i="21" s="1"/>
  <c r="V70" i="21"/>
  <c r="X70" i="21" s="1"/>
  <c r="S70" i="21"/>
  <c r="Q70" i="21"/>
  <c r="Z70" i="21" s="1"/>
  <c r="X68" i="21"/>
  <c r="K67" i="21"/>
  <c r="P67" i="21"/>
  <c r="Q67" i="21" s="1"/>
  <c r="S67" i="21"/>
  <c r="G67" i="21"/>
  <c r="I67" i="21"/>
  <c r="L67" i="21" s="1"/>
  <c r="K66" i="21"/>
  <c r="P66" i="21"/>
  <c r="Q66" i="21"/>
  <c r="I66" i="21"/>
  <c r="G66" i="21"/>
  <c r="V65" i="21"/>
  <c r="K65" i="21"/>
  <c r="S65" i="21"/>
  <c r="Q65" i="21"/>
  <c r="P65" i="21"/>
  <c r="I65" i="21"/>
  <c r="L65" i="21" s="1"/>
  <c r="S64" i="21"/>
  <c r="V64" i="21" s="1"/>
  <c r="X64" i="21" s="1"/>
  <c r="P64" i="21"/>
  <c r="Q64" i="21" s="1"/>
  <c r="Z64" i="21" s="1"/>
  <c r="K64" i="21"/>
  <c r="I64" i="21"/>
  <c r="L64" i="21" s="1"/>
  <c r="V63" i="21"/>
  <c r="S63" i="21"/>
  <c r="K63" i="21"/>
  <c r="I63" i="21"/>
  <c r="L63" i="21" s="1"/>
  <c r="P63" i="21"/>
  <c r="K62" i="21"/>
  <c r="P62" i="21"/>
  <c r="S62" i="21"/>
  <c r="V62" i="21" s="1"/>
  <c r="I62" i="21"/>
  <c r="L62" i="21" s="1"/>
  <c r="G62" i="21"/>
  <c r="K61" i="21"/>
  <c r="S61" i="21"/>
  <c r="V61" i="21" s="1"/>
  <c r="P61" i="21"/>
  <c r="I61" i="21"/>
  <c r="A61" i="2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S60" i="21"/>
  <c r="V60" i="21" s="1"/>
  <c r="X60" i="21" s="1"/>
  <c r="Q60" i="21"/>
  <c r="Z60" i="21" s="1"/>
  <c r="L60" i="21"/>
  <c r="K60" i="21"/>
  <c r="I60" i="21"/>
  <c r="P60" i="21"/>
  <c r="V59" i="21"/>
  <c r="P59" i="21"/>
  <c r="Q59" i="21" s="1"/>
  <c r="S59" i="21"/>
  <c r="I59" i="21"/>
  <c r="G59" i="21"/>
  <c r="A59" i="21"/>
  <c r="A60" i="21" s="1"/>
  <c r="A58" i="21"/>
  <c r="B57" i="21"/>
  <c r="O56" i="21"/>
  <c r="T56" i="21" s="1"/>
  <c r="J56" i="21"/>
  <c r="J103" i="21" s="1"/>
  <c r="J145" i="21" s="1"/>
  <c r="J187" i="21" s="1"/>
  <c r="J229" i="21" s="1"/>
  <c r="J271" i="21" s="1"/>
  <c r="E56" i="21"/>
  <c r="Z50" i="21"/>
  <c r="A45" i="21"/>
  <c r="A44" i="21"/>
  <c r="L35" i="21"/>
  <c r="X34" i="21"/>
  <c r="Z34" i="21" s="1"/>
  <c r="V34" i="21"/>
  <c r="L34" i="21"/>
  <c r="V33" i="21"/>
  <c r="X33" i="21" s="1"/>
  <c r="L33" i="21"/>
  <c r="X32" i="21"/>
  <c r="Z32" i="21" s="1"/>
  <c r="V32" i="21"/>
  <c r="L32" i="21"/>
  <c r="V31" i="21"/>
  <c r="X31" i="21" s="1"/>
  <c r="Z31" i="21" s="1"/>
  <c r="L31" i="21"/>
  <c r="L30" i="21"/>
  <c r="L29" i="21"/>
  <c r="G39" i="21"/>
  <c r="J21" i="21"/>
  <c r="E21" i="21"/>
  <c r="T19" i="21"/>
  <c r="O19" i="21"/>
  <c r="E19" i="21"/>
  <c r="E18" i="21"/>
  <c r="O17" i="21"/>
  <c r="O16" i="21"/>
  <c r="J16" i="21"/>
  <c r="T13" i="21"/>
  <c r="A262" i="21"/>
  <c r="A46" i="21"/>
  <c r="E29" i="7" l="1"/>
  <c r="Z59" i="21"/>
  <c r="L61" i="21"/>
  <c r="X108" i="21"/>
  <c r="Z30" i="21"/>
  <c r="X106" i="21"/>
  <c r="X149" i="21"/>
  <c r="Z35" i="21"/>
  <c r="Z111" i="21"/>
  <c r="X120" i="21"/>
  <c r="Z65" i="21"/>
  <c r="O25" i="21"/>
  <c r="X75" i="21"/>
  <c r="Z75" i="21" s="1"/>
  <c r="X59" i="21"/>
  <c r="L120" i="21"/>
  <c r="J128" i="21"/>
  <c r="J17" i="21" s="1"/>
  <c r="Z274" i="21"/>
  <c r="X110" i="21"/>
  <c r="Z120" i="21"/>
  <c r="Q63" i="21"/>
  <c r="X63" i="21" s="1"/>
  <c r="Q106" i="21"/>
  <c r="L113" i="21"/>
  <c r="X150" i="21"/>
  <c r="Z108" i="21"/>
  <c r="Z114" i="21"/>
  <c r="Z196" i="21"/>
  <c r="I233" i="21"/>
  <c r="L233" i="21" s="1"/>
  <c r="G233" i="21"/>
  <c r="V67" i="21"/>
  <c r="X67" i="21" s="1"/>
  <c r="Z67" i="21" s="1"/>
  <c r="A94" i="21"/>
  <c r="K108" i="21"/>
  <c r="L108" i="21" s="1"/>
  <c r="V111" i="21"/>
  <c r="X111" i="21" s="1"/>
  <c r="V154" i="21"/>
  <c r="X154" i="21" s="1"/>
  <c r="Z154" i="21" s="1"/>
  <c r="Q156" i="21"/>
  <c r="Z156" i="21" s="1"/>
  <c r="X192" i="21"/>
  <c r="Z192" i="21" s="1"/>
  <c r="I240" i="21"/>
  <c r="L240" i="21" s="1"/>
  <c r="L252" i="21" s="1"/>
  <c r="G240" i="21"/>
  <c r="T250" i="21"/>
  <c r="V250" i="21" s="1"/>
  <c r="E330" i="21"/>
  <c r="V35" i="21"/>
  <c r="X35" i="21" s="1"/>
  <c r="G60" i="21"/>
  <c r="Q62" i="21"/>
  <c r="S66" i="21"/>
  <c r="V66" i="21" s="1"/>
  <c r="X66" i="21" s="1"/>
  <c r="Z66" i="21" s="1"/>
  <c r="G111" i="21"/>
  <c r="Q148" i="21"/>
  <c r="Q152" i="21"/>
  <c r="P156" i="21"/>
  <c r="L162" i="21"/>
  <c r="L195" i="21"/>
  <c r="L208" i="21" s="1"/>
  <c r="I197" i="21"/>
  <c r="L197" i="21" s="1"/>
  <c r="G197" i="21"/>
  <c r="P324" i="21"/>
  <c r="Q324" i="21" s="1"/>
  <c r="G324" i="21"/>
  <c r="V30" i="21"/>
  <c r="X30" i="21" s="1"/>
  <c r="G61" i="21"/>
  <c r="E145" i="21"/>
  <c r="O103" i="21"/>
  <c r="T103" i="21" s="1"/>
  <c r="Q110" i="21"/>
  <c r="P152" i="21"/>
  <c r="S156" i="21"/>
  <c r="V156" i="21" s="1"/>
  <c r="X156" i="21" s="1"/>
  <c r="A177" i="21"/>
  <c r="L190" i="21"/>
  <c r="G191" i="21"/>
  <c r="G212" i="21" s="1"/>
  <c r="G19" i="21" s="1"/>
  <c r="I282" i="21"/>
  <c r="L282" i="21" s="1"/>
  <c r="G282" i="21"/>
  <c r="E296" i="21"/>
  <c r="E23" i="21" s="1"/>
  <c r="J288" i="21"/>
  <c r="G288" i="21"/>
  <c r="Q317" i="21"/>
  <c r="A261" i="21"/>
  <c r="P279" i="21"/>
  <c r="Q279" i="21" s="1"/>
  <c r="G279" i="21"/>
  <c r="T333" i="21"/>
  <c r="Q333" i="21"/>
  <c r="K59" i="21"/>
  <c r="L59" i="21" s="1"/>
  <c r="Q61" i="21"/>
  <c r="T86" i="21"/>
  <c r="T16" i="21" s="1"/>
  <c r="G107" i="21"/>
  <c r="I274" i="21"/>
  <c r="L274" i="21" s="1"/>
  <c r="G274" i="21"/>
  <c r="I278" i="21"/>
  <c r="L278" i="21" s="1"/>
  <c r="G278" i="21"/>
  <c r="J323" i="21"/>
  <c r="L323" i="21" s="1"/>
  <c r="G323" i="21"/>
  <c r="G65" i="21"/>
  <c r="Z29" i="21"/>
  <c r="V29" i="21"/>
  <c r="X29" i="21" s="1"/>
  <c r="G150" i="21"/>
  <c r="X152" i="21"/>
  <c r="P162" i="21"/>
  <c r="Q162" i="21" s="1"/>
  <c r="Z237" i="21"/>
  <c r="T248" i="21"/>
  <c r="V248" i="21" s="1"/>
  <c r="P275" i="21"/>
  <c r="Q275" i="21" s="1"/>
  <c r="Z275" i="21" s="1"/>
  <c r="G275" i="21"/>
  <c r="X322" i="21"/>
  <c r="Z322" i="21" s="1"/>
  <c r="A259" i="21"/>
  <c r="A217" i="21"/>
  <c r="A302" i="21"/>
  <c r="A91" i="21"/>
  <c r="G64" i="21"/>
  <c r="G110" i="21"/>
  <c r="Q113" i="21"/>
  <c r="I114" i="21"/>
  <c r="L114" i="21" s="1"/>
  <c r="T162" i="21"/>
  <c r="X190" i="21"/>
  <c r="Z190" i="21" s="1"/>
  <c r="V208" i="21"/>
  <c r="X208" i="21" s="1"/>
  <c r="Z208" i="21" s="1"/>
  <c r="V191" i="21"/>
  <c r="Z197" i="21"/>
  <c r="T244" i="21"/>
  <c r="Q244" i="21"/>
  <c r="O254" i="21"/>
  <c r="O20" i="21" s="1"/>
  <c r="T321" i="21"/>
  <c r="V321" i="21" s="1"/>
  <c r="Q321" i="21"/>
  <c r="X323" i="21"/>
  <c r="P326" i="21"/>
  <c r="Q326" i="21" s="1"/>
  <c r="G326" i="21"/>
  <c r="G330" i="21" s="1"/>
  <c r="G337" i="21" s="1"/>
  <c r="J343" i="21"/>
  <c r="L341" i="21"/>
  <c r="L343" i="21" s="1"/>
  <c r="L345" i="21" s="1"/>
  <c r="X65" i="21"/>
  <c r="E128" i="21"/>
  <c r="E17" i="21" s="1"/>
  <c r="E25" i="21" s="1"/>
  <c r="G120" i="21"/>
  <c r="A219" i="21"/>
  <c r="A304" i="21"/>
  <c r="L66" i="21"/>
  <c r="Z193" i="21"/>
  <c r="Z194" i="21"/>
  <c r="X196" i="21"/>
  <c r="Z198" i="21"/>
  <c r="S239" i="21"/>
  <c r="V239" i="21" s="1"/>
  <c r="Q239" i="21"/>
  <c r="T320" i="21"/>
  <c r="V320" i="21" s="1"/>
  <c r="X153" i="21"/>
  <c r="A305" i="21"/>
  <c r="A220" i="21"/>
  <c r="A178" i="21"/>
  <c r="A136" i="21"/>
  <c r="A47" i="21"/>
  <c r="O21" i="21"/>
  <c r="Z33" i="21"/>
  <c r="G63" i="21"/>
  <c r="G106" i="21"/>
  <c r="Q109" i="21"/>
  <c r="L110" i="21"/>
  <c r="V113" i="21"/>
  <c r="X113" i="21" s="1"/>
  <c r="G149" i="21"/>
  <c r="Q150" i="21"/>
  <c r="G153" i="21"/>
  <c r="G170" i="21" s="1"/>
  <c r="G18" i="21" s="1"/>
  <c r="S193" i="21"/>
  <c r="V193" i="21" s="1"/>
  <c r="X193" i="21" s="1"/>
  <c r="P234" i="21"/>
  <c r="Q234" i="21" s="1"/>
  <c r="Z234" i="21" s="1"/>
  <c r="G234" i="21"/>
  <c r="S238" i="21"/>
  <c r="V238" i="21" s="1"/>
  <c r="T343" i="21"/>
  <c r="V341" i="21"/>
  <c r="G195" i="21"/>
  <c r="P195" i="21"/>
  <c r="J212" i="21"/>
  <c r="J19" i="21" s="1"/>
  <c r="L204" i="21"/>
  <c r="I232" i="21"/>
  <c r="L232" i="21" s="1"/>
  <c r="G232" i="21"/>
  <c r="Q235" i="21"/>
  <c r="L275" i="21"/>
  <c r="X282" i="21"/>
  <c r="L318" i="21"/>
  <c r="L324" i="21"/>
  <c r="Q327" i="21"/>
  <c r="Z236" i="21"/>
  <c r="J254" i="21"/>
  <c r="J20" i="21" s="1"/>
  <c r="X279" i="21"/>
  <c r="S281" i="21"/>
  <c r="V281" i="21" s="1"/>
  <c r="J322" i="21"/>
  <c r="L322" i="21" s="1"/>
  <c r="G322" i="21"/>
  <c r="X326" i="21"/>
  <c r="Q191" i="21"/>
  <c r="Z191" i="21" s="1"/>
  <c r="Q195" i="21"/>
  <c r="Z204" i="21"/>
  <c r="X232" i="21"/>
  <c r="Z232" i="21" s="1"/>
  <c r="V235" i="21"/>
  <c r="X235" i="21" s="1"/>
  <c r="V316" i="21"/>
  <c r="Z318" i="21"/>
  <c r="V327" i="21"/>
  <c r="X327" i="21" s="1"/>
  <c r="L198" i="21"/>
  <c r="X233" i="21"/>
  <c r="X240" i="21"/>
  <c r="X274" i="21"/>
  <c r="V275" i="21"/>
  <c r="X275" i="21" s="1"/>
  <c r="S277" i="21"/>
  <c r="V277" i="21" s="1"/>
  <c r="V324" i="21"/>
  <c r="X324" i="21" s="1"/>
  <c r="G347" i="21"/>
  <c r="G22" i="21" s="1"/>
  <c r="P238" i="21"/>
  <c r="Q238" i="21" s="1"/>
  <c r="P244" i="21"/>
  <c r="P248" i="21"/>
  <c r="Q248" i="21" s="1"/>
  <c r="P250" i="21"/>
  <c r="Q250" i="21" s="1"/>
  <c r="P277" i="21"/>
  <c r="Q277" i="21" s="1"/>
  <c r="Z277" i="21" s="1"/>
  <c r="P281" i="21"/>
  <c r="Q281" i="21" s="1"/>
  <c r="Z281" i="21" s="1"/>
  <c r="T288" i="21"/>
  <c r="J316" i="21"/>
  <c r="P320" i="21"/>
  <c r="Q320" i="21" s="1"/>
  <c r="E254" i="21"/>
  <c r="E20" i="21" s="1"/>
  <c r="Q276" i="21"/>
  <c r="Q328" i="21"/>
  <c r="Q341" i="21"/>
  <c r="Z320" i="21" l="1"/>
  <c r="Q330" i="21"/>
  <c r="L124" i="21"/>
  <c r="L128" i="21"/>
  <c r="L17" i="21" s="1"/>
  <c r="G349" i="21"/>
  <c r="G21" i="21"/>
  <c r="L82" i="21"/>
  <c r="L86" i="21" s="1"/>
  <c r="L16" i="21" s="1"/>
  <c r="X195" i="21"/>
  <c r="Z195" i="21"/>
  <c r="V330" i="21"/>
  <c r="X316" i="21"/>
  <c r="Z109" i="21"/>
  <c r="X239" i="21"/>
  <c r="Z113" i="21"/>
  <c r="Z317" i="21"/>
  <c r="L212" i="21"/>
  <c r="L19" i="21" s="1"/>
  <c r="Z62" i="21"/>
  <c r="X109" i="21"/>
  <c r="T330" i="21"/>
  <c r="X234" i="21"/>
  <c r="V343" i="21"/>
  <c r="X341" i="21"/>
  <c r="G128" i="21"/>
  <c r="G17" i="21" s="1"/>
  <c r="Q254" i="21"/>
  <c r="Z326" i="21"/>
  <c r="X191" i="21"/>
  <c r="X61" i="21"/>
  <c r="X86" i="21" s="1"/>
  <c r="G86" i="21"/>
  <c r="G16" i="21" s="1"/>
  <c r="X62" i="21"/>
  <c r="V82" i="21"/>
  <c r="X82" i="21" s="1"/>
  <c r="Z82" i="21" s="1"/>
  <c r="J330" i="21"/>
  <c r="L316" i="21"/>
  <c r="L330" i="21" s="1"/>
  <c r="Z235" i="21"/>
  <c r="V212" i="21"/>
  <c r="V19" i="21" s="1"/>
  <c r="G296" i="21"/>
  <c r="G23" i="21" s="1"/>
  <c r="L166" i="21"/>
  <c r="L170" i="21" s="1"/>
  <c r="L18" i="21" s="1"/>
  <c r="Q296" i="21"/>
  <c r="Z279" i="21"/>
  <c r="Z327" i="21"/>
  <c r="X328" i="21"/>
  <c r="Z328" i="21" s="1"/>
  <c r="L347" i="21"/>
  <c r="L22" i="21" s="1"/>
  <c r="Z276" i="21"/>
  <c r="Z239" i="21"/>
  <c r="V244" i="21"/>
  <c r="T254" i="21"/>
  <c r="T20" i="21" s="1"/>
  <c r="E187" i="21"/>
  <c r="O145" i="21"/>
  <c r="T145" i="21" s="1"/>
  <c r="T296" i="21"/>
  <c r="T23" i="21" s="1"/>
  <c r="V288" i="21"/>
  <c r="X288" i="21" s="1"/>
  <c r="Z288" i="21" s="1"/>
  <c r="G254" i="21"/>
  <c r="G20" i="21" s="1"/>
  <c r="L292" i="21"/>
  <c r="Z333" i="21"/>
  <c r="L288" i="21"/>
  <c r="L296" i="21" s="1"/>
  <c r="L23" i="21" s="1"/>
  <c r="J296" i="21"/>
  <c r="J23" i="21" s="1"/>
  <c r="J25" i="21" s="1"/>
  <c r="Z324" i="21"/>
  <c r="Z152" i="21"/>
  <c r="X317" i="21"/>
  <c r="L254" i="21"/>
  <c r="L20" i="21" s="1"/>
  <c r="Z150" i="21"/>
  <c r="X321" i="21"/>
  <c r="Z321" i="21" s="1"/>
  <c r="X212" i="21"/>
  <c r="V166" i="21"/>
  <c r="X166" i="21" s="1"/>
  <c r="Z166" i="21" s="1"/>
  <c r="V333" i="21"/>
  <c r="X333" i="21" s="1"/>
  <c r="T21" i="21"/>
  <c r="V124" i="21"/>
  <c r="X124" i="21" s="1"/>
  <c r="Z124" i="21" s="1"/>
  <c r="Q170" i="21"/>
  <c r="Q343" i="21"/>
  <c r="Z341" i="21"/>
  <c r="V252" i="21"/>
  <c r="X252" i="21" s="1"/>
  <c r="Z252" i="21" s="1"/>
  <c r="X281" i="21"/>
  <c r="X238" i="21"/>
  <c r="Z238" i="21" s="1"/>
  <c r="T170" i="21"/>
  <c r="T18" i="21" s="1"/>
  <c r="T25" i="21" s="1"/>
  <c r="V162" i="21"/>
  <c r="X248" i="21"/>
  <c r="Z248" i="21" s="1"/>
  <c r="X148" i="21"/>
  <c r="Z148" i="21" s="1"/>
  <c r="Z110" i="21"/>
  <c r="X250" i="21"/>
  <c r="Z250" i="21" s="1"/>
  <c r="Z106" i="21"/>
  <c r="Q128" i="21"/>
  <c r="X276" i="21"/>
  <c r="Q212" i="21"/>
  <c r="Z63" i="21"/>
  <c r="Q86" i="21"/>
  <c r="X277" i="21"/>
  <c r="X320" i="21"/>
  <c r="Q23" i="21" l="1"/>
  <c r="V337" i="21"/>
  <c r="V335" i="21"/>
  <c r="X335" i="21" s="1"/>
  <c r="Z335" i="21" s="1"/>
  <c r="Q337" i="21"/>
  <c r="Z343" i="21"/>
  <c r="Q347" i="21"/>
  <c r="G25" i="21"/>
  <c r="G41" i="21" s="1"/>
  <c r="V345" i="21"/>
  <c r="X345" i="21" s="1"/>
  <c r="Z345" i="21" s="1"/>
  <c r="X343" i="21"/>
  <c r="Z212" i="21"/>
  <c r="Q19" i="21"/>
  <c r="V292" i="21"/>
  <c r="X292" i="21" s="1"/>
  <c r="Z292" i="21" s="1"/>
  <c r="V128" i="21"/>
  <c r="V17" i="21" s="1"/>
  <c r="X162" i="21"/>
  <c r="Z162" i="21" s="1"/>
  <c r="V170" i="21"/>
  <c r="V18" i="21" s="1"/>
  <c r="X18" i="21" s="1"/>
  <c r="Q18" i="21"/>
  <c r="Z61" i="21"/>
  <c r="Q16" i="21"/>
  <c r="Z86" i="21"/>
  <c r="E229" i="21"/>
  <c r="O187" i="21"/>
  <c r="T187" i="21" s="1"/>
  <c r="Z128" i="21"/>
  <c r="Q17" i="21"/>
  <c r="L337" i="21"/>
  <c r="L335" i="21"/>
  <c r="X128" i="21"/>
  <c r="V86" i="21"/>
  <c r="V16" i="21" s="1"/>
  <c r="X244" i="21"/>
  <c r="V254" i="21"/>
  <c r="V20" i="21" s="1"/>
  <c r="Q20" i="21"/>
  <c r="X330" i="21"/>
  <c r="X337" i="21" s="1"/>
  <c r="Z316" i="21"/>
  <c r="Z20" i="21" l="1"/>
  <c r="Q349" i="21"/>
  <c r="Z337" i="21"/>
  <c r="Q21" i="21"/>
  <c r="Z330" i="21"/>
  <c r="X20" i="21"/>
  <c r="V296" i="21"/>
  <c r="V23" i="21" s="1"/>
  <c r="X23" i="21" s="1"/>
  <c r="Z18" i="21"/>
  <c r="X347" i="21"/>
  <c r="X254" i="21"/>
  <c r="Z254" i="21" s="1"/>
  <c r="Z244" i="21"/>
  <c r="X16" i="21"/>
  <c r="Z16" i="21" s="1"/>
  <c r="L349" i="21"/>
  <c r="L21" i="21"/>
  <c r="L25" i="21" s="1"/>
  <c r="L28" i="21" s="1"/>
  <c r="L39" i="21" s="1"/>
  <c r="L41" i="21" s="1"/>
  <c r="V21" i="21"/>
  <c r="X21" i="21" s="1"/>
  <c r="E271" i="21"/>
  <c r="O271" i="21" s="1"/>
  <c r="T271" i="21" s="1"/>
  <c r="O229" i="21"/>
  <c r="T229" i="21" s="1"/>
  <c r="V347" i="21"/>
  <c r="V22" i="21" s="1"/>
  <c r="X22" i="21" s="1"/>
  <c r="Z23" i="21"/>
  <c r="X170" i="21"/>
  <c r="Z170" i="21" s="1"/>
  <c r="X17" i="21"/>
  <c r="Z17" i="21" s="1"/>
  <c r="X349" i="21"/>
  <c r="X19" i="21"/>
  <c r="Z19" i="21" s="1"/>
  <c r="Z347" i="21"/>
  <c r="Q22" i="21"/>
  <c r="X296" i="21"/>
  <c r="Z296" i="21" s="1"/>
  <c r="Z22" i="21" l="1"/>
  <c r="V25" i="21"/>
  <c r="Z21" i="21"/>
  <c r="V349" i="21"/>
  <c r="Q25" i="21"/>
  <c r="Z349" i="21"/>
  <c r="Q28" i="21" l="1"/>
  <c r="Z25" i="21"/>
  <c r="V28" i="21"/>
  <c r="X25" i="21"/>
  <c r="V39" i="21" l="1"/>
  <c r="X28" i="21"/>
  <c r="Z28" i="21" s="1"/>
  <c r="Q39" i="21"/>
  <c r="Q41" i="21" l="1"/>
  <c r="X39" i="21"/>
  <c r="Z39" i="21" s="1"/>
  <c r="V41" i="21"/>
  <c r="AC41" i="21" l="1"/>
  <c r="AC43" i="21" s="1"/>
  <c r="X41" i="21"/>
  <c r="Z41" i="21"/>
  <c r="H30" i="7" l="1"/>
  <c r="H36" i="7" s="1"/>
  <c r="H29" i="7"/>
  <c r="H35" i="7" s="1"/>
  <c r="D19" i="11"/>
  <c r="R38" i="17"/>
  <c r="H7" i="7"/>
  <c r="R36" i="17"/>
  <c r="T55" i="17"/>
  <c r="L55" i="17"/>
  <c r="N52" i="17"/>
  <c r="N51" i="17"/>
  <c r="N50" i="17" s="1"/>
  <c r="W48" i="17"/>
  <c r="W47" i="17"/>
  <c r="W46" i="17"/>
  <c r="W45" i="17"/>
  <c r="W44" i="17"/>
  <c r="U44" i="17"/>
  <c r="U45" i="17" s="1"/>
  <c r="U46" i="17" s="1"/>
  <c r="U47" i="17" s="1"/>
  <c r="U48" i="17" s="1"/>
  <c r="W43" i="17"/>
  <c r="U43" i="17"/>
  <c r="W42" i="17"/>
  <c r="U42" i="17"/>
  <c r="M42" i="17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O53" i="17" s="1"/>
  <c r="P53" i="17" s="1"/>
  <c r="Q41" i="17"/>
  <c r="P41" i="17" s="1"/>
  <c r="I33" i="17"/>
  <c r="K31" i="17" s="1"/>
  <c r="K33" i="17" s="1"/>
  <c r="L31" i="17" s="1"/>
  <c r="L33" i="17" s="1"/>
  <c r="N31" i="17" s="1"/>
  <c r="H33" i="17"/>
  <c r="G33" i="17"/>
  <c r="E33" i="17"/>
  <c r="D33" i="17"/>
  <c r="C33" i="17"/>
  <c r="R26" i="17"/>
  <c r="Q26" i="17"/>
  <c r="O26" i="17"/>
  <c r="N26" i="17"/>
  <c r="L26" i="17"/>
  <c r="K26" i="17"/>
  <c r="D23" i="17"/>
  <c r="R21" i="17"/>
  <c r="Q21" i="17"/>
  <c r="G23" i="17"/>
  <c r="R24" i="17"/>
  <c r="Q24" i="17"/>
  <c r="I23" i="17"/>
  <c r="H23" i="17"/>
  <c r="C23" i="17"/>
  <c r="W18" i="17"/>
  <c r="X20" i="17"/>
  <c r="W20" i="17"/>
  <c r="U14" i="17"/>
  <c r="O13" i="17"/>
  <c r="R13" i="17" s="1"/>
  <c r="R20" i="17"/>
  <c r="R17" i="17" s="1"/>
  <c r="Q20" i="17"/>
  <c r="R12" i="17"/>
  <c r="O12" i="17"/>
  <c r="L12" i="17"/>
  <c r="K12" i="17"/>
  <c r="K19" i="17" s="1"/>
  <c r="K23" i="17" s="1"/>
  <c r="K25" i="17" s="1"/>
  <c r="K27" i="17" s="1"/>
  <c r="W11" i="17"/>
  <c r="W14" i="17" s="1"/>
  <c r="X11" i="17" s="1"/>
  <c r="X14" i="17" s="1"/>
  <c r="O11" i="17"/>
  <c r="R11" i="17" s="1"/>
  <c r="L11" i="17"/>
  <c r="O10" i="17"/>
  <c r="R10" i="17" s="1"/>
  <c r="O9" i="17"/>
  <c r="R9" i="17" s="1"/>
  <c r="R8" i="17"/>
  <c r="O8" i="17"/>
  <c r="L8" i="17"/>
  <c r="K23" i="7" l="1"/>
  <c r="O50" i="17"/>
  <c r="P50" i="17" s="1"/>
  <c r="N49" i="17"/>
  <c r="W22" i="17"/>
  <c r="X18" i="17" s="1"/>
  <c r="X22" i="17" s="1"/>
  <c r="O14" i="17"/>
  <c r="R14" i="17" s="1"/>
  <c r="R19" i="17" s="1"/>
  <c r="R23" i="17" s="1"/>
  <c r="R25" i="17" s="1"/>
  <c r="R27" i="17" s="1"/>
  <c r="R32" i="17" s="1"/>
  <c r="Y41" i="17" s="1"/>
  <c r="X41" i="17" s="1"/>
  <c r="N14" i="17"/>
  <c r="N19" i="17" s="1"/>
  <c r="N23" i="17" s="1"/>
  <c r="N25" i="17" s="1"/>
  <c r="N27" i="17" s="1"/>
  <c r="R15" i="17"/>
  <c r="O15" i="17"/>
  <c r="R16" i="17"/>
  <c r="Q16" i="17"/>
  <c r="Q19" i="17" s="1"/>
  <c r="Q23" i="17" s="1"/>
  <c r="Q25" i="17" s="1"/>
  <c r="Q27" i="17" s="1"/>
  <c r="Q32" i="17" s="1"/>
  <c r="O52" i="17"/>
  <c r="P52" i="17" s="1"/>
  <c r="N33" i="17"/>
  <c r="O31" i="17" s="1"/>
  <c r="O33" i="17" s="1"/>
  <c r="Q31" i="17" s="1"/>
  <c r="O36" i="17"/>
  <c r="L10" i="17"/>
  <c r="O51" i="17"/>
  <c r="P51" i="17" s="1"/>
  <c r="L9" i="17"/>
  <c r="L19" i="17" s="1"/>
  <c r="L23" i="17" s="1"/>
  <c r="L25" i="17" s="1"/>
  <c r="L27" i="17" s="1"/>
  <c r="L13" i="17"/>
  <c r="U20" i="17"/>
  <c r="U22" i="17" s="1"/>
  <c r="X47" i="17" l="1"/>
  <c r="X48" i="17"/>
  <c r="X42" i="17"/>
  <c r="X43" i="17"/>
  <c r="X46" i="17"/>
  <c r="X44" i="17"/>
  <c r="X45" i="17"/>
  <c r="P38" i="17"/>
  <c r="N48" i="17"/>
  <c r="O49" i="17"/>
  <c r="P49" i="17" s="1"/>
  <c r="Q33" i="17"/>
  <c r="R31" i="17" s="1"/>
  <c r="R33" i="17" s="1"/>
  <c r="O19" i="17"/>
  <c r="O23" i="17" s="1"/>
  <c r="O25" i="17" s="1"/>
  <c r="O27" i="17" s="1"/>
  <c r="X55" i="17" l="1"/>
  <c r="X56" i="17" s="1"/>
  <c r="R37" i="17"/>
  <c r="O48" i="17"/>
  <c r="P48" i="17" s="1"/>
  <c r="N47" i="17"/>
  <c r="O47" i="17" l="1"/>
  <c r="P47" i="17" s="1"/>
  <c r="N46" i="17"/>
  <c r="O46" i="17" l="1"/>
  <c r="P46" i="17" s="1"/>
  <c r="N45" i="17"/>
  <c r="O45" i="17" l="1"/>
  <c r="P45" i="17" s="1"/>
  <c r="N44" i="17"/>
  <c r="O44" i="17" l="1"/>
  <c r="P44" i="17" s="1"/>
  <c r="N43" i="17"/>
  <c r="O43" i="17" l="1"/>
  <c r="P43" i="17" s="1"/>
  <c r="N42" i="17"/>
  <c r="O42" i="17" s="1"/>
  <c r="P42" i="17" s="1"/>
  <c r="P55" i="17" s="1"/>
  <c r="P56" i="17" l="1"/>
  <c r="O37" i="17"/>
  <c r="O38" i="17" s="1"/>
  <c r="C61" i="15" l="1"/>
  <c r="C62" i="15"/>
  <c r="C67" i="15" s="1"/>
  <c r="C63" i="15"/>
  <c r="C64" i="15"/>
  <c r="C65" i="15"/>
  <c r="C66" i="15"/>
  <c r="D89" i="15" l="1"/>
  <c r="E89" i="15"/>
  <c r="F89" i="15"/>
  <c r="G89" i="15"/>
  <c r="H89" i="15"/>
  <c r="I89" i="15"/>
  <c r="D28" i="15" l="1"/>
  <c r="E28" i="15"/>
  <c r="F28" i="15"/>
  <c r="G28" i="15"/>
  <c r="H28" i="15"/>
  <c r="I28" i="15"/>
  <c r="J28" i="15"/>
  <c r="D29" i="15"/>
  <c r="E29" i="15"/>
  <c r="F29" i="15"/>
  <c r="G29" i="15"/>
  <c r="H29" i="15"/>
  <c r="I29" i="15"/>
  <c r="J29" i="15"/>
  <c r="D30" i="15"/>
  <c r="E30" i="15"/>
  <c r="F30" i="15"/>
  <c r="G30" i="15"/>
  <c r="H30" i="15"/>
  <c r="I30" i="15"/>
  <c r="J30" i="15"/>
  <c r="D31" i="15"/>
  <c r="E31" i="15"/>
  <c r="F31" i="15"/>
  <c r="G31" i="15"/>
  <c r="H31" i="15"/>
  <c r="I31" i="15"/>
  <c r="J31" i="15"/>
  <c r="D32" i="15"/>
  <c r="E32" i="15"/>
  <c r="F32" i="15"/>
  <c r="G32" i="15"/>
  <c r="H32" i="15"/>
  <c r="I32" i="15"/>
  <c r="J32" i="15"/>
  <c r="D33" i="15"/>
  <c r="E33" i="15"/>
  <c r="F33" i="15"/>
  <c r="G33" i="15"/>
  <c r="H33" i="15"/>
  <c r="I33" i="15"/>
  <c r="J33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K21" i="15"/>
  <c r="L21" i="15"/>
  <c r="M21" i="15"/>
  <c r="N21" i="15"/>
  <c r="O21" i="15"/>
  <c r="P21" i="15"/>
  <c r="P23" i="15" s="1"/>
  <c r="Q21" i="15"/>
  <c r="R21" i="15"/>
  <c r="S21" i="15"/>
  <c r="T21" i="15"/>
  <c r="U21" i="15"/>
  <c r="V21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D17" i="15"/>
  <c r="D39" i="15" s="1"/>
  <c r="E39" i="15" s="1"/>
  <c r="E17" i="15"/>
  <c r="F17" i="15"/>
  <c r="G17" i="15"/>
  <c r="H17" i="15"/>
  <c r="I17" i="15"/>
  <c r="J17" i="15"/>
  <c r="D18" i="15"/>
  <c r="D40" i="15" s="1"/>
  <c r="E18" i="15"/>
  <c r="F18" i="15"/>
  <c r="G18" i="15"/>
  <c r="H18" i="15"/>
  <c r="I18" i="15"/>
  <c r="J18" i="15"/>
  <c r="D19" i="15"/>
  <c r="D41" i="15" s="1"/>
  <c r="E19" i="15"/>
  <c r="F19" i="15"/>
  <c r="G19" i="15"/>
  <c r="H19" i="15"/>
  <c r="I19" i="15"/>
  <c r="J19" i="15"/>
  <c r="D20" i="15"/>
  <c r="D42" i="15" s="1"/>
  <c r="E20" i="15"/>
  <c r="F20" i="15"/>
  <c r="G20" i="15"/>
  <c r="H20" i="15"/>
  <c r="I20" i="15"/>
  <c r="J20" i="15"/>
  <c r="D21" i="15"/>
  <c r="D43" i="15" s="1"/>
  <c r="E21" i="15"/>
  <c r="F21" i="15"/>
  <c r="G21" i="15"/>
  <c r="H21" i="15"/>
  <c r="I21" i="15"/>
  <c r="J21" i="15"/>
  <c r="D22" i="15"/>
  <c r="D44" i="15" s="1"/>
  <c r="E22" i="15"/>
  <c r="F22" i="15"/>
  <c r="G22" i="15"/>
  <c r="H22" i="15"/>
  <c r="I22" i="15"/>
  <c r="J22" i="15"/>
  <c r="W20" i="15" l="1"/>
  <c r="S23" i="15"/>
  <c r="F39" i="15"/>
  <c r="G23" i="15"/>
  <c r="O23" i="15"/>
  <c r="K23" i="15"/>
  <c r="I23" i="15"/>
  <c r="T23" i="15"/>
  <c r="L23" i="15"/>
  <c r="G39" i="15"/>
  <c r="E40" i="15"/>
  <c r="E44" i="15"/>
  <c r="E41" i="15"/>
  <c r="W21" i="15"/>
  <c r="W19" i="15"/>
  <c r="V23" i="15"/>
  <c r="N23" i="15"/>
  <c r="R23" i="15"/>
  <c r="E43" i="15"/>
  <c r="E42" i="15"/>
  <c r="W22" i="15"/>
  <c r="M23" i="15"/>
  <c r="U23" i="15"/>
  <c r="Q23" i="15"/>
  <c r="F23" i="15"/>
  <c r="D23" i="15"/>
  <c r="H23" i="15"/>
  <c r="E23" i="15"/>
  <c r="J23" i="15"/>
  <c r="W18" i="15"/>
  <c r="W17" i="15"/>
  <c r="H39" i="15" l="1"/>
  <c r="F41" i="15"/>
  <c r="F42" i="15"/>
  <c r="F44" i="15"/>
  <c r="F43" i="15"/>
  <c r="F40" i="15"/>
  <c r="W2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G42" i="15" l="1"/>
  <c r="G75" i="15"/>
  <c r="G40" i="15"/>
  <c r="G41" i="15"/>
  <c r="G44" i="15"/>
  <c r="G43" i="15"/>
  <c r="I39" i="15"/>
  <c r="W29" i="15"/>
  <c r="P34" i="15"/>
  <c r="K34" i="15"/>
  <c r="S34" i="15"/>
  <c r="H34" i="15"/>
  <c r="E34" i="15"/>
  <c r="U34" i="15"/>
  <c r="R34" i="15"/>
  <c r="G34" i="15"/>
  <c r="O34" i="15"/>
  <c r="L34" i="15"/>
  <c r="T34" i="15"/>
  <c r="I34" i="15"/>
  <c r="W32" i="15"/>
  <c r="W33" i="15"/>
  <c r="W28" i="15"/>
  <c r="J34" i="15"/>
  <c r="F34" i="15"/>
  <c r="N34" i="15"/>
  <c r="V34" i="15"/>
  <c r="Q34" i="15"/>
  <c r="W31" i="15"/>
  <c r="M34" i="15"/>
  <c r="W30" i="15"/>
  <c r="D34" i="15"/>
  <c r="E75" i="15"/>
  <c r="F72" i="15"/>
  <c r="W11" i="15"/>
  <c r="W10" i="15"/>
  <c r="W9" i="15"/>
  <c r="W8" i="15"/>
  <c r="W7" i="15"/>
  <c r="W6" i="15"/>
  <c r="G12" i="15"/>
  <c r="M12" i="15"/>
  <c r="U12" i="15"/>
  <c r="T12" i="15"/>
  <c r="Q12" i="15"/>
  <c r="P12" i="15"/>
  <c r="E12" i="15"/>
  <c r="L12" i="15"/>
  <c r="H12" i="15"/>
  <c r="V12" i="15"/>
  <c r="R12" i="15"/>
  <c r="O12" i="15"/>
  <c r="N12" i="15"/>
  <c r="K12" i="15"/>
  <c r="F12" i="15"/>
  <c r="S12" i="15"/>
  <c r="I12" i="15"/>
  <c r="E77" i="15"/>
  <c r="C45" i="15"/>
  <c r="D72" i="15"/>
  <c r="D50" i="15" s="1"/>
  <c r="D73" i="15"/>
  <c r="D51" i="15" s="1"/>
  <c r="D74" i="15"/>
  <c r="D52" i="15" s="1"/>
  <c r="D75" i="15"/>
  <c r="D53" i="15" s="1"/>
  <c r="D76" i="15"/>
  <c r="D54" i="15" s="1"/>
  <c r="D77" i="15"/>
  <c r="D55" i="15" s="1"/>
  <c r="C56" i="15"/>
  <c r="C68" i="15" s="1"/>
  <c r="H44" i="15" l="1"/>
  <c r="H41" i="15"/>
  <c r="E53" i="15"/>
  <c r="D64" i="15"/>
  <c r="E52" i="15"/>
  <c r="D63" i="15"/>
  <c r="J39" i="15"/>
  <c r="H40" i="15"/>
  <c r="D65" i="15"/>
  <c r="E51" i="15"/>
  <c r="D62" i="15"/>
  <c r="D61" i="15"/>
  <c r="H43" i="15"/>
  <c r="E55" i="15"/>
  <c r="D66" i="15"/>
  <c r="D46" i="15"/>
  <c r="H42" i="15"/>
  <c r="W34" i="15"/>
  <c r="E73" i="15"/>
  <c r="E76" i="15"/>
  <c r="E54" i="15" s="1"/>
  <c r="G73" i="15"/>
  <c r="F74" i="15"/>
  <c r="G76" i="15"/>
  <c r="G77" i="15"/>
  <c r="E45" i="15"/>
  <c r="E74" i="15"/>
  <c r="F73" i="15"/>
  <c r="W12" i="15"/>
  <c r="D12" i="15"/>
  <c r="J12" i="15"/>
  <c r="F77" i="15"/>
  <c r="D45" i="15"/>
  <c r="E46" i="15" s="1"/>
  <c r="D78" i="15"/>
  <c r="G74" i="15"/>
  <c r="F76" i="15"/>
  <c r="E72" i="15"/>
  <c r="E50" i="15" s="1"/>
  <c r="G72" i="15"/>
  <c r="A18" i="14"/>
  <c r="A19" i="14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G26" i="14"/>
  <c r="I18" i="14" s="1"/>
  <c r="F180" i="13"/>
  <c r="E180" i="13"/>
  <c r="D180" i="13"/>
  <c r="B175" i="13"/>
  <c r="H167" i="13"/>
  <c r="G167" i="13"/>
  <c r="F167" i="13"/>
  <c r="E167" i="13"/>
  <c r="D167" i="13"/>
  <c r="H155" i="13"/>
  <c r="H154" i="13"/>
  <c r="A152" i="13"/>
  <c r="G145" i="13"/>
  <c r="F145" i="13"/>
  <c r="E145" i="13"/>
  <c r="D145" i="13"/>
  <c r="H132" i="13"/>
  <c r="G132" i="13"/>
  <c r="F132" i="13"/>
  <c r="E132" i="13"/>
  <c r="H120" i="13"/>
  <c r="H119" i="13"/>
  <c r="F111" i="13"/>
  <c r="E111" i="13"/>
  <c r="D111" i="13"/>
  <c r="H98" i="13"/>
  <c r="G98" i="13"/>
  <c r="F98" i="13"/>
  <c r="E98" i="13"/>
  <c r="D98" i="13"/>
  <c r="G76" i="13"/>
  <c r="E76" i="13"/>
  <c r="H73" i="13"/>
  <c r="H63" i="13"/>
  <c r="C58" i="13"/>
  <c r="C71" i="13" s="1"/>
  <c r="C72" i="13" s="1"/>
  <c r="C73" i="13" s="1"/>
  <c r="C93" i="13" s="1"/>
  <c r="C106" i="13" s="1"/>
  <c r="C127" i="13" s="1"/>
  <c r="C140" i="13" s="1"/>
  <c r="C162" i="13" s="1"/>
  <c r="C175" i="13" s="1"/>
  <c r="H51" i="13"/>
  <c r="H86" i="13" s="1"/>
  <c r="H50" i="13"/>
  <c r="H85" i="13" s="1"/>
  <c r="G34" i="13"/>
  <c r="E34" i="13"/>
  <c r="E33" i="13"/>
  <c r="E32" i="13"/>
  <c r="E20" i="13"/>
  <c r="G17" i="13"/>
  <c r="E17" i="13"/>
  <c r="G16" i="13"/>
  <c r="C16" i="13"/>
  <c r="C17" i="13" s="1"/>
  <c r="C18" i="13" s="1"/>
  <c r="C19" i="13" s="1"/>
  <c r="C20" i="13" s="1"/>
  <c r="C21" i="13" s="1"/>
  <c r="C22" i="13" s="1"/>
  <c r="C29" i="13" s="1"/>
  <c r="C30" i="13" s="1"/>
  <c r="C31" i="13" s="1"/>
  <c r="C32" i="13" s="1"/>
  <c r="C33" i="13" s="1"/>
  <c r="C34" i="13" s="1"/>
  <c r="C35" i="13" s="1"/>
  <c r="C36" i="13" s="1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H121" i="13"/>
  <c r="F54" i="15" l="1"/>
  <c r="E65" i="15"/>
  <c r="F50" i="15"/>
  <c r="E61" i="15"/>
  <c r="I42" i="15"/>
  <c r="F52" i="15"/>
  <c r="E63" i="15"/>
  <c r="F55" i="15"/>
  <c r="E66" i="15"/>
  <c r="E64" i="15"/>
  <c r="F51" i="15"/>
  <c r="E62" i="15"/>
  <c r="I43" i="15"/>
  <c r="I40" i="15"/>
  <c r="I41" i="15"/>
  <c r="D67" i="15"/>
  <c r="K39" i="15"/>
  <c r="I44" i="15"/>
  <c r="H77" i="15"/>
  <c r="H76" i="15"/>
  <c r="H74" i="15"/>
  <c r="F75" i="15"/>
  <c r="F53" i="15" s="1"/>
  <c r="H72" i="15"/>
  <c r="H73" i="15"/>
  <c r="E78" i="15"/>
  <c r="D56" i="15"/>
  <c r="I20" i="14"/>
  <c r="G33" i="13"/>
  <c r="D24" i="13"/>
  <c r="G22" i="13"/>
  <c r="E31" i="13"/>
  <c r="D38" i="13"/>
  <c r="D41" i="13" s="1"/>
  <c r="G63" i="13"/>
  <c r="G20" i="13"/>
  <c r="I22" i="14"/>
  <c r="K22" i="14" s="1"/>
  <c r="M22" i="14" s="1"/>
  <c r="E18" i="13"/>
  <c r="G18" i="13"/>
  <c r="E35" i="13"/>
  <c r="E16" i="13"/>
  <c r="G35" i="13"/>
  <c r="D76" i="13"/>
  <c r="K20" i="14"/>
  <c r="M20" i="14" s="1"/>
  <c r="Q20" i="14"/>
  <c r="K18" i="14"/>
  <c r="I24" i="14"/>
  <c r="Q18" i="14"/>
  <c r="G31" i="13"/>
  <c r="E15" i="13"/>
  <c r="E24" i="13" s="1"/>
  <c r="E19" i="13"/>
  <c r="E36" i="13"/>
  <c r="F24" i="13"/>
  <c r="F63" i="13"/>
  <c r="H24" i="13"/>
  <c r="E63" i="13"/>
  <c r="H71" i="13"/>
  <c r="E21" i="13"/>
  <c r="G21" i="13"/>
  <c r="H140" i="13"/>
  <c r="H145" i="13" s="1"/>
  <c r="G32" i="13"/>
  <c r="F38" i="13"/>
  <c r="G29" i="13"/>
  <c r="H38" i="13"/>
  <c r="F76" i="13"/>
  <c r="E22" i="13"/>
  <c r="E30" i="13"/>
  <c r="G30" i="13"/>
  <c r="H72" i="13"/>
  <c r="F41" i="13"/>
  <c r="G36" i="13"/>
  <c r="D63" i="13"/>
  <c r="H156" i="13"/>
  <c r="H175" i="13"/>
  <c r="H180" i="13" s="1"/>
  <c r="G19" i="13"/>
  <c r="G15" i="13"/>
  <c r="E29" i="13"/>
  <c r="C59" i="13"/>
  <c r="C60" i="13" s="1"/>
  <c r="H106" i="13"/>
  <c r="H111" i="13" s="1"/>
  <c r="D132" i="13"/>
  <c r="H52" i="13"/>
  <c r="H87" i="13" s="1"/>
  <c r="E35" i="7" l="1"/>
  <c r="G53" i="15"/>
  <c r="F64" i="15"/>
  <c r="G52" i="15"/>
  <c r="F63" i="15"/>
  <c r="G51" i="15"/>
  <c r="F62" i="15"/>
  <c r="J42" i="15"/>
  <c r="J43" i="15"/>
  <c r="E67" i="15"/>
  <c r="L39" i="15"/>
  <c r="J41" i="15"/>
  <c r="G50" i="15"/>
  <c r="F61" i="15"/>
  <c r="D68" i="15"/>
  <c r="J44" i="15"/>
  <c r="J40" i="15"/>
  <c r="G55" i="15"/>
  <c r="F66" i="15"/>
  <c r="G54" i="15"/>
  <c r="F65" i="15"/>
  <c r="F78" i="15"/>
  <c r="I74" i="15"/>
  <c r="I73" i="15"/>
  <c r="I76" i="15"/>
  <c r="I72" i="15"/>
  <c r="I77" i="15"/>
  <c r="G78" i="15"/>
  <c r="F45" i="15"/>
  <c r="E56" i="15"/>
  <c r="E68" i="15" s="1"/>
  <c r="E38" i="13"/>
  <c r="H41" i="13"/>
  <c r="G24" i="13"/>
  <c r="Q22" i="14"/>
  <c r="Q26" i="14"/>
  <c r="W21" i="14" s="1"/>
  <c r="W23" i="14"/>
  <c r="K24" i="14"/>
  <c r="M24" i="14" s="1"/>
  <c r="Q24" i="14"/>
  <c r="M18" i="14"/>
  <c r="G38" i="13"/>
  <c r="G41" i="13" s="1"/>
  <c r="H76" i="13"/>
  <c r="E41" i="13"/>
  <c r="H55" i="15" l="1"/>
  <c r="G66" i="15"/>
  <c r="K42" i="15"/>
  <c r="K40" i="15"/>
  <c r="H51" i="15"/>
  <c r="G62" i="15"/>
  <c r="M39" i="15"/>
  <c r="K44" i="15"/>
  <c r="H52" i="15"/>
  <c r="G63" i="15"/>
  <c r="F46" i="15"/>
  <c r="H50" i="15"/>
  <c r="G61" i="15"/>
  <c r="K41" i="15"/>
  <c r="H54" i="15"/>
  <c r="G65" i="15"/>
  <c r="F67" i="15"/>
  <c r="K43" i="15"/>
  <c r="G64" i="15"/>
  <c r="J73" i="15"/>
  <c r="J74" i="15"/>
  <c r="H75" i="15"/>
  <c r="H78" i="15" s="1"/>
  <c r="G45" i="15"/>
  <c r="J76" i="15"/>
  <c r="J77" i="15"/>
  <c r="J72" i="15"/>
  <c r="F56" i="15"/>
  <c r="K26" i="14"/>
  <c r="M26" i="14"/>
  <c r="D20" i="11"/>
  <c r="G2" i="11"/>
  <c r="H46" i="10" s="1"/>
  <c r="E7" i="7"/>
  <c r="F35" i="10"/>
  <c r="E35" i="10"/>
  <c r="F34" i="10"/>
  <c r="E34" i="10"/>
  <c r="C40" i="12"/>
  <c r="C41" i="12"/>
  <c r="E13" i="7"/>
  <c r="E12" i="7"/>
  <c r="C38" i="12"/>
  <c r="E38" i="12" s="1"/>
  <c r="C34" i="12"/>
  <c r="A7" i="11"/>
  <c r="H2" i="10"/>
  <c r="I51" i="15" l="1"/>
  <c r="H62" i="15"/>
  <c r="I54" i="15"/>
  <c r="H65" i="15"/>
  <c r="L43" i="15"/>
  <c r="L40" i="15"/>
  <c r="F68" i="15"/>
  <c r="L41" i="15"/>
  <c r="L44" i="15"/>
  <c r="L42" i="15"/>
  <c r="I52" i="15"/>
  <c r="H63" i="15"/>
  <c r="H53" i="15"/>
  <c r="G67" i="15"/>
  <c r="G46" i="15"/>
  <c r="I50" i="15"/>
  <c r="H61" i="15"/>
  <c r="N39" i="15"/>
  <c r="I55" i="15"/>
  <c r="H66" i="15"/>
  <c r="I75" i="15"/>
  <c r="I78" i="15" s="1"/>
  <c r="H45" i="15"/>
  <c r="K74" i="15"/>
  <c r="K77" i="15"/>
  <c r="K73" i="15"/>
  <c r="K76" i="15"/>
  <c r="K72" i="15"/>
  <c r="G56" i="15"/>
  <c r="G68" i="15" s="1"/>
  <c r="E29" i="10"/>
  <c r="C42" i="12"/>
  <c r="F40" i="10"/>
  <c r="H8" i="7"/>
  <c r="E8" i="7"/>
  <c r="E11" i="7"/>
  <c r="F29" i="10"/>
  <c r="C37" i="12"/>
  <c r="C39" i="12"/>
  <c r="E39" i="12" s="1"/>
  <c r="E40" i="10"/>
  <c r="E31" i="10"/>
  <c r="E42" i="10" s="1"/>
  <c r="D21" i="11"/>
  <c r="E44" i="10"/>
  <c r="F31" i="10"/>
  <c r="C43" i="12"/>
  <c r="O39" i="15" l="1"/>
  <c r="J50" i="15"/>
  <c r="I61" i="15"/>
  <c r="M43" i="15"/>
  <c r="M42" i="15"/>
  <c r="M44" i="15"/>
  <c r="J54" i="15"/>
  <c r="I65" i="15"/>
  <c r="I53" i="15"/>
  <c r="H64" i="15"/>
  <c r="H67" i="15" s="1"/>
  <c r="M41" i="15"/>
  <c r="H46" i="15"/>
  <c r="M40" i="15"/>
  <c r="J55" i="15"/>
  <c r="I66" i="15"/>
  <c r="R88" i="15" s="1"/>
  <c r="J52" i="15"/>
  <c r="I63" i="15"/>
  <c r="J51" i="15"/>
  <c r="I62" i="15"/>
  <c r="M88" i="15"/>
  <c r="Q88" i="15"/>
  <c r="L74" i="15"/>
  <c r="L73" i="15"/>
  <c r="J75" i="15"/>
  <c r="J78" i="15" s="1"/>
  <c r="I45" i="15"/>
  <c r="I46" i="15" s="1"/>
  <c r="L76" i="15"/>
  <c r="L72" i="15"/>
  <c r="L77" i="15"/>
  <c r="H56" i="15"/>
  <c r="D24" i="11"/>
  <c r="D25" i="11"/>
  <c r="C45" i="12"/>
  <c r="F42" i="10"/>
  <c r="F44" i="10" s="1"/>
  <c r="N42" i="15" l="1"/>
  <c r="U88" i="15"/>
  <c r="P88" i="15"/>
  <c r="K55" i="15"/>
  <c r="J66" i="15"/>
  <c r="N43" i="15"/>
  <c r="L88" i="15"/>
  <c r="K54" i="15"/>
  <c r="J65" i="15"/>
  <c r="J53" i="15"/>
  <c r="I64" i="15"/>
  <c r="I67" i="15" s="1"/>
  <c r="N40" i="15"/>
  <c r="K50" i="15"/>
  <c r="J61" i="15"/>
  <c r="S88" i="15"/>
  <c r="K88" i="15"/>
  <c r="N44" i="15"/>
  <c r="T88" i="15"/>
  <c r="P39" i="15"/>
  <c r="K52" i="15"/>
  <c r="J63" i="15"/>
  <c r="H68" i="15"/>
  <c r="N88" i="15"/>
  <c r="O88" i="15"/>
  <c r="J46" i="15"/>
  <c r="K51" i="15"/>
  <c r="J62" i="15"/>
  <c r="N41" i="15"/>
  <c r="K87" i="15"/>
  <c r="S87" i="15"/>
  <c r="L87" i="15"/>
  <c r="T87" i="15"/>
  <c r="M87" i="15"/>
  <c r="U87" i="15"/>
  <c r="Q87" i="15"/>
  <c r="N87" i="15"/>
  <c r="O87" i="15"/>
  <c r="P87" i="15"/>
  <c r="R87" i="15"/>
  <c r="K83" i="15"/>
  <c r="S83" i="15"/>
  <c r="P83" i="15"/>
  <c r="L83" i="15"/>
  <c r="T83" i="15"/>
  <c r="Q83" i="15"/>
  <c r="M83" i="15"/>
  <c r="U83" i="15"/>
  <c r="N83" i="15"/>
  <c r="O83" i="15"/>
  <c r="R83" i="15"/>
  <c r="K85" i="15"/>
  <c r="S85" i="15"/>
  <c r="L85" i="15"/>
  <c r="T85" i="15"/>
  <c r="Q85" i="15"/>
  <c r="M85" i="15"/>
  <c r="U85" i="15"/>
  <c r="N85" i="15"/>
  <c r="P85" i="15"/>
  <c r="O85" i="15"/>
  <c r="R85" i="15"/>
  <c r="K75" i="15"/>
  <c r="J45" i="15"/>
  <c r="M72" i="15"/>
  <c r="M73" i="15"/>
  <c r="M77" i="15"/>
  <c r="M74" i="15"/>
  <c r="M76" i="15"/>
  <c r="I56" i="15"/>
  <c r="D27" i="11"/>
  <c r="D29" i="11" s="1"/>
  <c r="E24" i="11" s="1"/>
  <c r="C24" i="12" s="1"/>
  <c r="D18" i="12"/>
  <c r="O40" i="15" l="1"/>
  <c r="O43" i="15"/>
  <c r="L51" i="15"/>
  <c r="K62" i="15"/>
  <c r="I68" i="15"/>
  <c r="Q39" i="15"/>
  <c r="L55" i="15"/>
  <c r="K66" i="15"/>
  <c r="O44" i="15"/>
  <c r="O41" i="15"/>
  <c r="L52" i="15"/>
  <c r="K63" i="15"/>
  <c r="L54" i="15"/>
  <c r="K65" i="15"/>
  <c r="K53" i="15"/>
  <c r="J64" i="15"/>
  <c r="J67" i="15" s="1"/>
  <c r="L50" i="15"/>
  <c r="K61" i="15"/>
  <c r="O42" i="15"/>
  <c r="O86" i="15"/>
  <c r="U86" i="15"/>
  <c r="P86" i="15"/>
  <c r="L86" i="15"/>
  <c r="Q86" i="15"/>
  <c r="R86" i="15"/>
  <c r="M86" i="15"/>
  <c r="K86" i="15"/>
  <c r="S86" i="15"/>
  <c r="N86" i="15"/>
  <c r="T86" i="15"/>
  <c r="T89" i="15" s="1"/>
  <c r="O84" i="15"/>
  <c r="O89" i="15" s="1"/>
  <c r="P84" i="15"/>
  <c r="Q84" i="15"/>
  <c r="T84" i="15"/>
  <c r="M84" i="15"/>
  <c r="R84" i="15"/>
  <c r="K84" i="15"/>
  <c r="S84" i="15"/>
  <c r="S89" i="15" s="1"/>
  <c r="L84" i="15"/>
  <c r="U84" i="15"/>
  <c r="N84" i="15"/>
  <c r="K78" i="15"/>
  <c r="N77" i="15"/>
  <c r="N76" i="15"/>
  <c r="L75" i="15"/>
  <c r="L78" i="15" s="1"/>
  <c r="K45" i="15"/>
  <c r="K46" i="15" s="1"/>
  <c r="N74" i="15"/>
  <c r="N73" i="15"/>
  <c r="N72" i="15"/>
  <c r="J56" i="15"/>
  <c r="E27" i="11"/>
  <c r="C25" i="12" s="1"/>
  <c r="D31" i="11"/>
  <c r="E19" i="11"/>
  <c r="E20" i="11"/>
  <c r="C23" i="12" s="1"/>
  <c r="M50" i="15" l="1"/>
  <c r="L61" i="15"/>
  <c r="P41" i="15"/>
  <c r="L53" i="15"/>
  <c r="K64" i="15"/>
  <c r="P44" i="15"/>
  <c r="M51" i="15"/>
  <c r="L62" i="15"/>
  <c r="L46" i="15"/>
  <c r="M55" i="15"/>
  <c r="L66" i="15"/>
  <c r="P43" i="15"/>
  <c r="M54" i="15"/>
  <c r="L65" i="15"/>
  <c r="P42" i="15"/>
  <c r="J68" i="15"/>
  <c r="K67" i="15"/>
  <c r="M52" i="15"/>
  <c r="L63" i="15"/>
  <c r="R39" i="15"/>
  <c r="P40" i="15"/>
  <c r="N89" i="15"/>
  <c r="J89" i="15"/>
  <c r="U89" i="15"/>
  <c r="L89" i="15"/>
  <c r="Q89" i="15"/>
  <c r="P89" i="15"/>
  <c r="M89" i="15"/>
  <c r="R89" i="15"/>
  <c r="K89" i="15"/>
  <c r="O77" i="15"/>
  <c r="O72" i="15"/>
  <c r="O73" i="15"/>
  <c r="O76" i="15"/>
  <c r="M75" i="15"/>
  <c r="M78" i="15" s="1"/>
  <c r="L45" i="15"/>
  <c r="O74" i="15"/>
  <c r="K56" i="15"/>
  <c r="K68" i="15" s="1"/>
  <c r="C22" i="12"/>
  <c r="E29" i="11"/>
  <c r="E46" i="10"/>
  <c r="E48" i="10" s="1"/>
  <c r="F46" i="10"/>
  <c r="F48" i="10" s="1"/>
  <c r="N52" i="15" l="1"/>
  <c r="M63" i="15"/>
  <c r="Q43" i="15"/>
  <c r="M53" i="15"/>
  <c r="L64" i="15"/>
  <c r="L67" i="15" s="1"/>
  <c r="N55" i="15"/>
  <c r="M66" i="15"/>
  <c r="N54" i="15"/>
  <c r="M65" i="15"/>
  <c r="Q44" i="15"/>
  <c r="Q41" i="15"/>
  <c r="S39" i="15"/>
  <c r="Q40" i="15"/>
  <c r="Q42" i="15"/>
  <c r="N51" i="15"/>
  <c r="M62" i="15"/>
  <c r="N50" i="15"/>
  <c r="M61" i="15"/>
  <c r="P76" i="15"/>
  <c r="P72" i="15"/>
  <c r="P74" i="15"/>
  <c r="N75" i="15"/>
  <c r="M45" i="15"/>
  <c r="P73" i="15"/>
  <c r="P77" i="15"/>
  <c r="L56" i="15"/>
  <c r="F50" i="10"/>
  <c r="F52" i="10"/>
  <c r="D17" i="12"/>
  <c r="E52" i="10"/>
  <c r="E50" i="10"/>
  <c r="N53" i="15" l="1"/>
  <c r="M64" i="15"/>
  <c r="M67" i="15" s="1"/>
  <c r="M46" i="15"/>
  <c r="O55" i="15"/>
  <c r="N66" i="15"/>
  <c r="R41" i="15"/>
  <c r="R42" i="15"/>
  <c r="R44" i="15"/>
  <c r="R43" i="15"/>
  <c r="O51" i="15"/>
  <c r="N62" i="15"/>
  <c r="T39" i="15"/>
  <c r="L68" i="15"/>
  <c r="O50" i="15"/>
  <c r="N61" i="15"/>
  <c r="R40" i="15"/>
  <c r="O54" i="15"/>
  <c r="N65" i="15"/>
  <c r="O52" i="15"/>
  <c r="N63" i="15"/>
  <c r="O75" i="15"/>
  <c r="O78" i="15" s="1"/>
  <c r="N45" i="15"/>
  <c r="Q73" i="15"/>
  <c r="N78" i="15"/>
  <c r="Q72" i="15"/>
  <c r="Q74" i="15"/>
  <c r="Q77" i="15"/>
  <c r="Q76" i="15"/>
  <c r="M56" i="15"/>
  <c r="D19" i="12"/>
  <c r="D34" i="12"/>
  <c r="P51" i="15" l="1"/>
  <c r="O62" i="15"/>
  <c r="P50" i="15"/>
  <c r="O61" i="15"/>
  <c r="S43" i="15"/>
  <c r="P55" i="15"/>
  <c r="O66" i="15"/>
  <c r="M68" i="15"/>
  <c r="S44" i="15"/>
  <c r="N46" i="15"/>
  <c r="S40" i="15"/>
  <c r="N67" i="15"/>
  <c r="U39" i="15"/>
  <c r="S41" i="15"/>
  <c r="P52" i="15"/>
  <c r="O63" i="15"/>
  <c r="P54" i="15"/>
  <c r="O65" i="15"/>
  <c r="S42" i="15"/>
  <c r="O53" i="15"/>
  <c r="N64" i="15"/>
  <c r="R73" i="15"/>
  <c r="R77" i="15"/>
  <c r="R72" i="15"/>
  <c r="R76" i="15"/>
  <c r="R74" i="15"/>
  <c r="P75" i="15"/>
  <c r="O45" i="15"/>
  <c r="N56" i="15"/>
  <c r="D22" i="12"/>
  <c r="D24" i="12"/>
  <c r="D41" i="12" s="1"/>
  <c r="E41" i="12" s="1"/>
  <c r="D25" i="12"/>
  <c r="D42" i="12" s="1"/>
  <c r="E42" i="12" s="1"/>
  <c r="D23" i="12"/>
  <c r="D40" i="12" s="1"/>
  <c r="E40" i="12" s="1"/>
  <c r="E14" i="7" s="1"/>
  <c r="E34" i="12"/>
  <c r="Q52" i="15" l="1"/>
  <c r="P63" i="15"/>
  <c r="T43" i="15"/>
  <c r="P46" i="15"/>
  <c r="P53" i="15"/>
  <c r="O64" i="15"/>
  <c r="O67" i="15" s="1"/>
  <c r="T41" i="15"/>
  <c r="T44" i="15"/>
  <c r="Q50" i="15"/>
  <c r="P61" i="15"/>
  <c r="Q54" i="15"/>
  <c r="P65" i="15"/>
  <c r="T40" i="15"/>
  <c r="Q55" i="15"/>
  <c r="P66" i="15"/>
  <c r="N68" i="15"/>
  <c r="T42" i="15"/>
  <c r="V39" i="15"/>
  <c r="O46" i="15"/>
  <c r="Q51" i="15"/>
  <c r="P62" i="15"/>
  <c r="S77" i="15"/>
  <c r="S72" i="15"/>
  <c r="S74" i="15"/>
  <c r="P78" i="15"/>
  <c r="S76" i="15"/>
  <c r="Q75" i="15"/>
  <c r="Q78" i="15" s="1"/>
  <c r="P45" i="15"/>
  <c r="S73" i="15"/>
  <c r="O56" i="15"/>
  <c r="E15" i="7"/>
  <c r="D27" i="12"/>
  <c r="D29" i="12" s="1"/>
  <c r="D37" i="12"/>
  <c r="Q53" i="15" l="1"/>
  <c r="P64" i="15"/>
  <c r="O68" i="15"/>
  <c r="R54" i="15"/>
  <c r="Q65" i="15"/>
  <c r="R51" i="15"/>
  <c r="Q62" i="15"/>
  <c r="R55" i="15"/>
  <c r="Q66" i="15"/>
  <c r="U44" i="15"/>
  <c r="U43" i="15"/>
  <c r="U42" i="15"/>
  <c r="R50" i="15"/>
  <c r="Q61" i="15"/>
  <c r="P67" i="15"/>
  <c r="U40" i="15"/>
  <c r="U41" i="15"/>
  <c r="R52" i="15"/>
  <c r="Q63" i="15"/>
  <c r="T76" i="15"/>
  <c r="T72" i="15"/>
  <c r="T73" i="15"/>
  <c r="R75" i="15"/>
  <c r="R78" i="15" s="1"/>
  <c r="Q45" i="15"/>
  <c r="T74" i="15"/>
  <c r="T77" i="15"/>
  <c r="P56" i="15"/>
  <c r="D43" i="12"/>
  <c r="E37" i="12"/>
  <c r="E10" i="7" s="1"/>
  <c r="S50" i="15" l="1"/>
  <c r="R61" i="15"/>
  <c r="V42" i="15"/>
  <c r="S51" i="15"/>
  <c r="R62" i="15"/>
  <c r="S54" i="15"/>
  <c r="R65" i="15"/>
  <c r="S55" i="15"/>
  <c r="R66" i="15"/>
  <c r="V41" i="15"/>
  <c r="V43" i="15"/>
  <c r="V44" i="15"/>
  <c r="S52" i="15"/>
  <c r="R63" i="15"/>
  <c r="V40" i="15"/>
  <c r="Q46" i="15"/>
  <c r="P68" i="15"/>
  <c r="Q67" i="15"/>
  <c r="R53" i="15"/>
  <c r="Q64" i="15"/>
  <c r="S75" i="15"/>
  <c r="S78" i="15" s="1"/>
  <c r="R45" i="15"/>
  <c r="U74" i="15"/>
  <c r="U72" i="15"/>
  <c r="U77" i="15"/>
  <c r="U73" i="15"/>
  <c r="U76" i="15"/>
  <c r="Q56" i="15"/>
  <c r="E43" i="12"/>
  <c r="D45" i="12"/>
  <c r="E45" i="12" s="1"/>
  <c r="T51" i="15" l="1"/>
  <c r="S62" i="15"/>
  <c r="R46" i="15"/>
  <c r="T54" i="15"/>
  <c r="S65" i="15"/>
  <c r="R67" i="15"/>
  <c r="Q68" i="15"/>
  <c r="S53" i="15"/>
  <c r="R64" i="15"/>
  <c r="T52" i="15"/>
  <c r="S63" i="15"/>
  <c r="T55" i="15"/>
  <c r="S66" i="15"/>
  <c r="T50" i="15"/>
  <c r="S61" i="15"/>
  <c r="W43" i="15"/>
  <c r="V76" i="15"/>
  <c r="V72" i="15"/>
  <c r="W72" i="15" s="1"/>
  <c r="W41" i="15"/>
  <c r="V74" i="15"/>
  <c r="W74" i="15" s="1"/>
  <c r="W44" i="15"/>
  <c r="V77" i="15"/>
  <c r="W77" i="15" s="1"/>
  <c r="W40" i="15"/>
  <c r="V73" i="15"/>
  <c r="W73" i="15" s="1"/>
  <c r="T75" i="15"/>
  <c r="T78" i="15" s="1"/>
  <c r="S45" i="15"/>
  <c r="R56" i="15"/>
  <c r="U52" i="15" l="1"/>
  <c r="T63" i="15"/>
  <c r="S46" i="15"/>
  <c r="U55" i="15"/>
  <c r="T66" i="15"/>
  <c r="U50" i="15"/>
  <c r="T61" i="15"/>
  <c r="U54" i="15"/>
  <c r="T65" i="15"/>
  <c r="T53" i="15"/>
  <c r="S64" i="15"/>
  <c r="R68" i="15"/>
  <c r="S67" i="15"/>
  <c r="U51" i="15"/>
  <c r="T62" i="15"/>
  <c r="U75" i="15"/>
  <c r="U78" i="15" s="1"/>
  <c r="T45" i="15"/>
  <c r="W39" i="15"/>
  <c r="W76" i="15"/>
  <c r="S56" i="15"/>
  <c r="S68" i="15" s="1"/>
  <c r="V50" i="15" l="1"/>
  <c r="V61" i="15" s="1"/>
  <c r="U61" i="15"/>
  <c r="V51" i="15"/>
  <c r="V62" i="15" s="1"/>
  <c r="U62" i="15"/>
  <c r="U53" i="15"/>
  <c r="T64" i="15"/>
  <c r="T67" i="15" s="1"/>
  <c r="V55" i="15"/>
  <c r="V66" i="15" s="1"/>
  <c r="U66" i="15"/>
  <c r="V88" i="15" s="1"/>
  <c r="W88" i="15" s="1"/>
  <c r="V52" i="15"/>
  <c r="V63" i="15" s="1"/>
  <c r="U63" i="15"/>
  <c r="V85" i="15" s="1"/>
  <c r="W85" i="15" s="1"/>
  <c r="V54" i="15"/>
  <c r="V65" i="15" s="1"/>
  <c r="U65" i="15"/>
  <c r="T46" i="15"/>
  <c r="V87" i="15"/>
  <c r="W87" i="15" s="1"/>
  <c r="V75" i="15"/>
  <c r="U45" i="15"/>
  <c r="T56" i="15"/>
  <c r="V53" i="15" l="1"/>
  <c r="V64" i="15" s="1"/>
  <c r="U64" i="15"/>
  <c r="V86" i="15" s="1"/>
  <c r="W86" i="15" s="1"/>
  <c r="U67" i="15"/>
  <c r="T68" i="15"/>
  <c r="U46" i="15"/>
  <c r="V67" i="15"/>
  <c r="V84" i="15"/>
  <c r="W84" i="15" s="1"/>
  <c r="V83" i="15"/>
  <c r="W53" i="15"/>
  <c r="W42" i="15"/>
  <c r="W45" i="15" s="1"/>
  <c r="V45" i="15"/>
  <c r="V46" i="15" s="1"/>
  <c r="W75" i="15"/>
  <c r="W78" i="15" s="1"/>
  <c r="H11" i="7" s="1"/>
  <c r="K11" i="7" s="1"/>
  <c r="V78" i="15"/>
  <c r="W55" i="15"/>
  <c r="W66" i="15"/>
  <c r="W54" i="15"/>
  <c r="U56" i="15"/>
  <c r="K17" i="7"/>
  <c r="K29" i="7" s="1"/>
  <c r="K35" i="7" s="1"/>
  <c r="U68" i="15" l="1"/>
  <c r="W65" i="15"/>
  <c r="W62" i="15"/>
  <c r="V89" i="15"/>
  <c r="W83" i="15"/>
  <c r="W89" i="15" s="1"/>
  <c r="W51" i="15"/>
  <c r="W64" i="15"/>
  <c r="W52" i="15"/>
  <c r="W63" i="15"/>
  <c r="V56" i="15"/>
  <c r="V68" i="15" s="1"/>
  <c r="W50" i="15"/>
  <c r="K13" i="7"/>
  <c r="K12" i="7"/>
  <c r="W56" i="15" l="1"/>
  <c r="W61" i="15"/>
  <c r="W67" i="15" s="1"/>
  <c r="E9" i="7"/>
  <c r="W68" i="15" l="1"/>
  <c r="E16" i="7"/>
  <c r="H15" i="7" l="1"/>
  <c r="K15" i="7" s="1"/>
  <c r="K7" i="7"/>
  <c r="H9" i="7"/>
  <c r="K9" i="7" s="1"/>
  <c r="E18" i="7"/>
  <c r="K18" i="7" l="1"/>
  <c r="E24" i="7"/>
  <c r="E19" i="7"/>
  <c r="E28" i="7" s="1"/>
  <c r="E36" i="7" l="1"/>
  <c r="K24" i="7"/>
  <c r="E25" i="7"/>
  <c r="K30" i="7"/>
  <c r="E20" i="7"/>
  <c r="E31" i="7"/>
  <c r="K36" i="7" l="1"/>
  <c r="E34" i="7"/>
  <c r="E37" i="7" s="1"/>
  <c r="K22" i="7" l="1"/>
  <c r="H25" i="7"/>
  <c r="K25" i="7"/>
  <c r="K37" i="7" l="1"/>
  <c r="K34" i="7"/>
  <c r="K19" i="7"/>
  <c r="K28" i="7"/>
  <c r="K31" i="7"/>
  <c r="K14" i="7"/>
  <c r="H14" i="7"/>
  <c r="K16" i="7"/>
  <c r="H37" i="7"/>
  <c r="H34" i="7"/>
  <c r="K10" i="7"/>
  <c r="H10" i="7"/>
  <c r="H16" i="7"/>
  <c r="H19" i="7"/>
  <c r="H28" i="7"/>
  <c r="H31" i="7"/>
</calcChain>
</file>

<file path=xl/sharedStrings.xml><?xml version="1.0" encoding="utf-8"?>
<sst xmlns="http://schemas.openxmlformats.org/spreadsheetml/2006/main" count="1267" uniqueCount="424">
  <si>
    <t>AFUDC</t>
  </si>
  <si>
    <t>Case No.</t>
  </si>
  <si>
    <t>Component</t>
  </si>
  <si>
    <t>2023-00191</t>
  </si>
  <si>
    <t>QIP Roll-In</t>
  </si>
  <si>
    <t>Adjusted</t>
  </si>
  <si>
    <t>Kentucky American Water Company</t>
  </si>
  <si>
    <t>QIP 1</t>
  </si>
  <si>
    <t>QIP 2</t>
  </si>
  <si>
    <t>QIP 4</t>
  </si>
  <si>
    <t>Retirements</t>
  </si>
  <si>
    <t>Workpaper #:</t>
  </si>
  <si>
    <t>Excel Reference:</t>
  </si>
  <si>
    <t>Adjustments to Operating Income for Proposed Rates</t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</si>
  <si>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indexed="8"/>
        <rFont val="Calibri"/>
        <family val="2"/>
      </rPr>
      <t xml:space="preserve">X </t>
    </r>
    <r>
      <rPr>
        <b/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</si>
  <si>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b/>
        <u/>
        <sz val="11"/>
        <rFont val="Calibri"/>
        <family val="2"/>
      </rPr>
      <t>X</t>
    </r>
    <r>
      <rPr>
        <b/>
        <sz val="11"/>
        <rFont val="Calibri"/>
        <family val="2"/>
        <scheme val="minor"/>
      </rPr>
      <t xml:space="preserve"> ORIGINAL _UPDATED _REVISED</t>
    </r>
  </si>
  <si>
    <t>Gross Revenue</t>
  </si>
  <si>
    <t>Line</t>
  </si>
  <si>
    <t>Conversion Factor</t>
  </si>
  <si>
    <t>Total</t>
  </si>
  <si>
    <t>Number</t>
  </si>
  <si>
    <t>Description</t>
  </si>
  <si>
    <t>Percentage</t>
  </si>
  <si>
    <t>Company</t>
  </si>
  <si>
    <t>Required Revenue Increase After Revenue Conversion (Schedule A, Line 34)</t>
  </si>
  <si>
    <t>Required Revenue Increase Before Revenue Conversion (Schedule A, Line 30)</t>
  </si>
  <si>
    <t>Increase Due to Revenue Conversion</t>
  </si>
  <si>
    <t>Operating Income Line Item Increases due to Increase in Revenue:</t>
  </si>
  <si>
    <t>Operating and Maintenance Expenses (Line 4 x Percent Identified)</t>
  </si>
  <si>
    <t>General Taxes (Line 4 x Percent Identified)</t>
  </si>
  <si>
    <t>State Income Taxes (Line 4 x Percent Identified)</t>
  </si>
  <si>
    <t>Federal Income Taxes (Line 4 x Percent Identified)</t>
  </si>
  <si>
    <t>Total Line Item Increase Due to Increase in Revenues:</t>
  </si>
  <si>
    <t>Operating Income Increase (Line 2 - Line 12), Ties to Line 3</t>
  </si>
  <si>
    <t>Forecasted Income Statement :</t>
  </si>
  <si>
    <t>At Present Rates</t>
  </si>
  <si>
    <t>Adjustments Per Above</t>
  </si>
  <si>
    <t>At Proposed Rates</t>
  </si>
  <si>
    <t>Operating Revenues at Proposed Rates:</t>
  </si>
  <si>
    <t>Less:  Deductions:</t>
  </si>
  <si>
    <t>Operating and Maintenance Expenses</t>
  </si>
  <si>
    <t>Depreciation</t>
  </si>
  <si>
    <t>Amortization</t>
  </si>
  <si>
    <t>General Taxes</t>
  </si>
  <si>
    <t>State Income Taxes</t>
  </si>
  <si>
    <t>Federal Income Taxes</t>
  </si>
  <si>
    <t>Total Deductions:</t>
  </si>
  <si>
    <t>Pro Forma Operating Income:</t>
  </si>
  <si>
    <t>Exhibit 37, Schedule A</t>
  </si>
  <si>
    <t>Witness: L. Bridwell</t>
  </si>
  <si>
    <t>Jurisdictional Financial Summary for the Base and Forecast Period Detailing Derivation of the Requested Revenue Increase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</si>
  <si>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</si>
  <si>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1"/>
        <rFont val="Calibri"/>
        <family val="2"/>
      </rPr>
      <t>X</t>
    </r>
    <r>
      <rPr>
        <sz val="11"/>
        <rFont val="Calibri"/>
        <family val="2"/>
        <scheme val="minor"/>
      </rPr>
      <t xml:space="preserve"> Original _Updated _Revised</t>
    </r>
  </si>
  <si>
    <t>Witness: Jeffrey Newcomb</t>
  </si>
  <si>
    <t>Support Schedule</t>
  </si>
  <si>
    <t>Base Period</t>
  </si>
  <si>
    <t>Forecast Period</t>
  </si>
  <si>
    <t>Line #</t>
  </si>
  <si>
    <t>Reference</t>
  </si>
  <si>
    <t>Ending September 30, 2023</t>
  </si>
  <si>
    <t>Ending January 31, 2025</t>
  </si>
  <si>
    <t>Excel Reference</t>
  </si>
  <si>
    <t>Present Rate Utility Operating Income:</t>
  </si>
  <si>
    <t>Operating Revenue at Present Rates:</t>
  </si>
  <si>
    <t>Exhibit 37 Schedule C-1</t>
  </si>
  <si>
    <t>Less: Deductions:</t>
  </si>
  <si>
    <t>Operating and Maintenance</t>
  </si>
  <si>
    <t>Amortization of UPAA</t>
  </si>
  <si>
    <t>Amortization Expense</t>
  </si>
  <si>
    <t>Investment Tax Credits</t>
  </si>
  <si>
    <t>General Taxes:</t>
  </si>
  <si>
    <t>Total Deductions (Sum Lines 7 - 15):</t>
  </si>
  <si>
    <t>Present Rate Operating Income (Line 4 - Line 16):</t>
  </si>
  <si>
    <t>Revenue Requirement and Increase Comparison:</t>
  </si>
  <si>
    <t>Net Original Cost Rate Base</t>
  </si>
  <si>
    <t>Exhibit 37 Schedule B-1</t>
  </si>
  <si>
    <t>Rate of Return</t>
  </si>
  <si>
    <t>Exhibit 37 Schedule J-1</t>
  </si>
  <si>
    <t>Exhibit 37 Schedule J-1.1</t>
  </si>
  <si>
    <t>Operating Income Required (Line 24 x Line 25):</t>
  </si>
  <si>
    <t>Less:  Operating Income at Present Rates (Line 18):</t>
  </si>
  <si>
    <t>Increase in Operating Income Required (Line 27 - Line 29)</t>
  </si>
  <si>
    <t>Gross Revenue Conversion Factor</t>
  </si>
  <si>
    <t>Exhibit 37, Schedule H</t>
  </si>
  <si>
    <t>Requested Revenue Increase (Line 31 x Line 33)</t>
  </si>
  <si>
    <t>Percent Increase over Operating Revenue at Present Rates
(Line 35 / Line 4):</t>
  </si>
  <si>
    <t>Revenue Requirement (Line 4 + Line 35)</t>
  </si>
  <si>
    <t>Witness: G. VerDouw</t>
  </si>
  <si>
    <t>Computation of the Gross Revenue Conversion Factor for the Forecast Period</t>
  </si>
  <si>
    <t>Witness: J. Newcomb</t>
  </si>
  <si>
    <t>Gross</t>
  </si>
  <si>
    <t>Revenue</t>
  </si>
  <si>
    <t>Percent of</t>
  </si>
  <si>
    <t>Conversion</t>
  </si>
  <si>
    <t>Workpaper</t>
  </si>
  <si>
    <t>#</t>
  </si>
  <si>
    <t>Gross Revenue Conversion Factor Calculation</t>
  </si>
  <si>
    <t>Rate</t>
  </si>
  <si>
    <t>Factor %</t>
  </si>
  <si>
    <t>Gross Income from Revenue</t>
  </si>
  <si>
    <t>Less:  Bad Debt Rate/ Uncollectible Expense</t>
  </si>
  <si>
    <t>Less: PSC / Utility Reg Assessment Fee</t>
  </si>
  <si>
    <t>Net Income After Uncollectibles &amp; Reg Assessment Fees</t>
  </si>
  <si>
    <t>Less:  State Income Tax @ 5.0%</t>
  </si>
  <si>
    <t>Net Income After Uncollectibles, Reg Assessment Fees &amp; State Tax</t>
  </si>
  <si>
    <t>Less: Federal income Tax @ 21%</t>
  </si>
  <si>
    <t>Net Income After Uncollectibles, Reg Assessment Fees, &amp; State &amp; Federal Income Taxes:</t>
  </si>
  <si>
    <t>Gross Revenue Conversion Factor (1 / Line 13)</t>
  </si>
  <si>
    <t>Exhibits\[KAWC 2023 Rate Case - Revenue Requirement and Conversion Factor.xlsx]Rev Requirement - SCH A</t>
  </si>
  <si>
    <t>Exhibits\[KAWC 2023 Rate Case - Revenue Requirement and Conversion Factor.xlsx]Rev Conversion Factor - SCH H</t>
  </si>
  <si>
    <t>Exhibits\[KAWC 2023 Rate Case - Revenue Requirement and Conversion Factor.xlsx]Proposed Rate Adjustments</t>
  </si>
  <si>
    <t>Net Operating Income</t>
  </si>
  <si>
    <t>Income Taxes</t>
  </si>
  <si>
    <t>Revenue Summary</t>
  </si>
  <si>
    <t>Exhibit 37, Schedule M-1</t>
  </si>
  <si>
    <t>Witness Responsible:  Chuck Rea</t>
  </si>
  <si>
    <t/>
  </si>
  <si>
    <t>Supporting</t>
  </si>
  <si>
    <t>Adjustments</t>
  </si>
  <si>
    <t>Forecast Year</t>
  </si>
  <si>
    <t>Schedule</t>
  </si>
  <si>
    <t>12 Months Ended</t>
  </si>
  <si>
    <t>for Present</t>
  </si>
  <si>
    <t>at Present</t>
  </si>
  <si>
    <t>for Proposed</t>
  </si>
  <si>
    <t>at Proposed</t>
  </si>
  <si>
    <t>No.</t>
  </si>
  <si>
    <t>Rates</t>
  </si>
  <si>
    <t>Sales of Water</t>
  </si>
  <si>
    <t xml:space="preserve"> </t>
  </si>
  <si>
    <t xml:space="preserve">  Residential</t>
  </si>
  <si>
    <t>Schedule M2-M3</t>
  </si>
  <si>
    <t xml:space="preserve">  Commercial</t>
  </si>
  <si>
    <t xml:space="preserve">  Industrial</t>
  </si>
  <si>
    <t xml:space="preserve">  Other Public Authorities</t>
  </si>
  <si>
    <t xml:space="preserve">  Sale for Resale</t>
  </si>
  <si>
    <t xml:space="preserve">  Private Fire</t>
  </si>
  <si>
    <t xml:space="preserve">  Public Fire</t>
  </si>
  <si>
    <t xml:space="preserve">  Miscellaneous</t>
  </si>
  <si>
    <t>Total Sales of Water</t>
  </si>
  <si>
    <t>.</t>
  </si>
  <si>
    <t>Other Operating Revenues</t>
  </si>
  <si>
    <t>Late Payment Fee</t>
  </si>
  <si>
    <t>Rent</t>
  </si>
  <si>
    <t>Rent I/C</t>
  </si>
  <si>
    <t>NSF Check Charge</t>
  </si>
  <si>
    <t>Application/Initiation Fee</t>
  </si>
  <si>
    <t>Usage Data</t>
  </si>
  <si>
    <t>Reconnect Fee</t>
  </si>
  <si>
    <t>Miscellaneous Service</t>
  </si>
  <si>
    <t>Total Other Operating Revenues</t>
  </si>
  <si>
    <t>Total Operating Revenues</t>
  </si>
  <si>
    <t>Summary of Adjustments for Operating Revenues at Present Rates</t>
  </si>
  <si>
    <t xml:space="preserve">Line </t>
  </si>
  <si>
    <t>Other</t>
  </si>
  <si>
    <t>Sale</t>
  </si>
  <si>
    <t>Residential</t>
  </si>
  <si>
    <t>Commercial</t>
  </si>
  <si>
    <t>Industrial</t>
  </si>
  <si>
    <t>Public Authorities</t>
  </si>
  <si>
    <t>for Resale</t>
  </si>
  <si>
    <t>Customer Growth/(Loss)</t>
  </si>
  <si>
    <t>Change in Consumption</t>
  </si>
  <si>
    <t>Change in QIP</t>
  </si>
  <si>
    <t xml:space="preserve">Private </t>
  </si>
  <si>
    <t>Public</t>
  </si>
  <si>
    <t xml:space="preserve">Other </t>
  </si>
  <si>
    <t>Fire</t>
  </si>
  <si>
    <t>Miscellaneous</t>
  </si>
  <si>
    <t>Water Revenue</t>
  </si>
  <si>
    <t>Late</t>
  </si>
  <si>
    <t xml:space="preserve">NSF </t>
  </si>
  <si>
    <t>Application/</t>
  </si>
  <si>
    <t>Payment Fee</t>
  </si>
  <si>
    <t>Check Charge</t>
  </si>
  <si>
    <t>Initiation Fee</t>
  </si>
  <si>
    <t>To Adjust for the Forecast Period</t>
  </si>
  <si>
    <t>Usage</t>
  </si>
  <si>
    <t xml:space="preserve">Reconnect </t>
  </si>
  <si>
    <t xml:space="preserve">Miscellaneous </t>
  </si>
  <si>
    <t>Data</t>
  </si>
  <si>
    <t>Fee</t>
  </si>
  <si>
    <t>Service</t>
  </si>
  <si>
    <t>Summary of Adjustments for Operating Revenues for Forecast Year at Proposed Rates</t>
  </si>
  <si>
    <t>Proposed Rates</t>
  </si>
  <si>
    <t>To Adjust Revenues at Proposed Rates</t>
  </si>
  <si>
    <t>Revenues\[KAWC 2023 Rate Case - Exhibit 37 (M,N) Revenue Present &amp; Proposed.xlsx]Sch M1</t>
  </si>
  <si>
    <t>Check = 0</t>
  </si>
  <si>
    <t>Data:  ___ Base Period _X_ Forecasted Period</t>
  </si>
  <si>
    <t>Exhibit 37, Schedule J-1</t>
  </si>
  <si>
    <t>Page 1 of 1</t>
  </si>
  <si>
    <t>13-Month</t>
  </si>
  <si>
    <t>Class of</t>
  </si>
  <si>
    <t>Average Net</t>
  </si>
  <si>
    <t>Average</t>
  </si>
  <si>
    <t>Capital</t>
  </si>
  <si>
    <t>Carrying Amount</t>
  </si>
  <si>
    <t>% of Total</t>
  </si>
  <si>
    <t>Add (1)</t>
  </si>
  <si>
    <t>Cost Rate</t>
  </si>
  <si>
    <t>Weighted Cost</t>
  </si>
  <si>
    <t>Short-Term Debt</t>
  </si>
  <si>
    <t>DO NOT DELETE:</t>
  </si>
  <si>
    <t>Long-Term Debt</t>
  </si>
  <si>
    <t>RETURN ON RATE BASE</t>
  </si>
  <si>
    <t>Preferred Stock</t>
  </si>
  <si>
    <t>DEBT COST</t>
  </si>
  <si>
    <t>Common Equity</t>
  </si>
  <si>
    <t xml:space="preserve">    Total Capital</t>
  </si>
  <si>
    <t>(1) JDITC:</t>
  </si>
  <si>
    <t>Capital Structure\[KAWC 2023 Rate Case - Capital Structure.xlsx]Sch J-1</t>
  </si>
  <si>
    <t>Revenue Requirement</t>
  </si>
  <si>
    <t>Less:  Other Revenue</t>
  </si>
  <si>
    <t>Base Revenue</t>
  </si>
  <si>
    <t>Case No. 2023-00191</t>
  </si>
  <si>
    <t>Cost of Capital Summary</t>
  </si>
  <si>
    <t>13-Month Average For Forecast Period Ending January 31, 2025</t>
  </si>
  <si>
    <t>Type of Filing: __X__ Original  _____ Updated  _____ Revised</t>
  </si>
  <si>
    <t>Witness Responsible:  Nick Furia</t>
  </si>
  <si>
    <t>W/P - 7-3</t>
  </si>
  <si>
    <t>W/P - 7-4</t>
  </si>
  <si>
    <t>W/P - 7-5</t>
  </si>
  <si>
    <t>W/P - 7-6</t>
  </si>
  <si>
    <t>W/P - 7-7</t>
  </si>
  <si>
    <t>Kentucky-American Water Company</t>
  </si>
  <si>
    <t>Base Year (12 Months Ending September 30, 2023) &amp; Forecast Year (12 Months Ending January 31, 2025)</t>
  </si>
  <si>
    <t>Exhibits\[KAWC 2023 Rate Case - Income Statement.xlsx]Inc Statment - SCH C.1</t>
  </si>
  <si>
    <t>Rate Base\[KAWC 2023 Rate Case - Exhibit 37 Schedules B1 - B8.xlsx]Sch B-1</t>
  </si>
  <si>
    <t>W/P - 3-10</t>
  </si>
  <si>
    <t>O&amp;M\[KAWC 2023 Rate Case - Uncollectibles Expense Exhibit.xlsx]Exhibit</t>
  </si>
  <si>
    <t>W/P - 5-2</t>
  </si>
  <si>
    <t>O&amp;M\[KAWC 2023 Rate Case - PSC Fees Exhibit.xlsx]Exhibit</t>
  </si>
  <si>
    <t>W/P - 3-10 , W/P - 5-2 &amp; W/P - 6-1</t>
  </si>
  <si>
    <t>335000-Hydrants</t>
  </si>
  <si>
    <t>334300-Meter Vaults</t>
  </si>
  <si>
    <t>334200-Meter Installations</t>
  </si>
  <si>
    <t>334100-Meters</t>
  </si>
  <si>
    <t>333000-Services</t>
  </si>
  <si>
    <t>331xxx - Mains</t>
  </si>
  <si>
    <t>13 mo avg</t>
  </si>
  <si>
    <t>Forecasted</t>
  </si>
  <si>
    <t>Actual</t>
  </si>
  <si>
    <t>Net Utility Plant In-Service</t>
  </si>
  <si>
    <t>Accumulated Depreciation</t>
  </si>
  <si>
    <t>Depr Rate</t>
  </si>
  <si>
    <t>Test Year</t>
  </si>
  <si>
    <t>Proposed (Eff 02/24)</t>
  </si>
  <si>
    <t>Existing</t>
  </si>
  <si>
    <t>Depreciation Expense</t>
  </si>
  <si>
    <t>Gross Utility Plant In-Service</t>
  </si>
  <si>
    <t>Utility Plant In-Service Additions</t>
  </si>
  <si>
    <t>Cost of Removal</t>
  </si>
  <si>
    <t>Assumption</t>
  </si>
  <si>
    <t>Utility Plant Retirements</t>
  </si>
  <si>
    <t>GRC</t>
  </si>
  <si>
    <t>Property Tax Expense</t>
  </si>
  <si>
    <t>KAW_R_PSCDR3_NUM001_092123</t>
  </si>
  <si>
    <t>As Filed</t>
  </si>
  <si>
    <t>Deferred Income Taxes</t>
  </si>
  <si>
    <t>QIP 3</t>
  </si>
  <si>
    <t>July - Dec 2020</t>
  </si>
  <si>
    <t>Jan - June 2021</t>
  </si>
  <si>
    <t>July - Dec 2021</t>
  </si>
  <si>
    <t>Jan - June 2022</t>
  </si>
  <si>
    <t>July - Dec 2022</t>
  </si>
  <si>
    <t>Jan - June 2023</t>
  </si>
  <si>
    <t>July - Dec 2023</t>
  </si>
  <si>
    <t>Jan - June 2024</t>
  </si>
  <si>
    <t>July - Dec 2024</t>
  </si>
  <si>
    <t>Tax Basis</t>
  </si>
  <si>
    <t>Tax Depreciation</t>
  </si>
  <si>
    <t>Year</t>
  </si>
  <si>
    <t>Additions</t>
  </si>
  <si>
    <t>July-Dec 2020</t>
  </si>
  <si>
    <t>Deferred Tax Calculation</t>
  </si>
  <si>
    <t>Jan-June 2021</t>
  </si>
  <si>
    <t>July 2024 - 
Jan 2025</t>
  </si>
  <si>
    <t>Jan 2025</t>
  </si>
  <si>
    <t>July-Dec 2021</t>
  </si>
  <si>
    <t>Utility Plant in Service</t>
  </si>
  <si>
    <t>Jan-June 2022</t>
  </si>
  <si>
    <t>Beginning Balance</t>
  </si>
  <si>
    <t>July-Dec 2022</t>
  </si>
  <si>
    <t>Plant Additions</t>
  </si>
  <si>
    <t>Jan-June 2023</t>
  </si>
  <si>
    <t>July-Dec 2023</t>
  </si>
  <si>
    <t>Ending Balance</t>
  </si>
  <si>
    <t>Jan-June 2024</t>
  </si>
  <si>
    <t>July-Dec 2024</t>
  </si>
  <si>
    <t>January 2025</t>
  </si>
  <si>
    <t>Total Tax Depreciation</t>
  </si>
  <si>
    <t>Depreciation Accrual</t>
  </si>
  <si>
    <t>Tax Repairs Deduction</t>
  </si>
  <si>
    <t>CIAC</t>
  </si>
  <si>
    <t>Book Depreciation</t>
  </si>
  <si>
    <t>Temporary Timing Difference</t>
  </si>
  <si>
    <t>Effective Tax Rate</t>
  </si>
  <si>
    <t>Based on 3 year average</t>
  </si>
  <si>
    <t>Annual Accrued Tax</t>
  </si>
  <si>
    <t>Prorated Deferred Income Taxes</t>
  </si>
  <si>
    <t>Prorated Accrued Tax</t>
  </si>
  <si>
    <t>Estimate per month</t>
  </si>
  <si>
    <t>Actual Deferred Tax Activity</t>
  </si>
  <si>
    <t>Total days per month</t>
  </si>
  <si>
    <t>Cumulative Days</t>
  </si>
  <si>
    <t>Prorated Days</t>
  </si>
  <si>
    <t>Proration %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</si>
  <si>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</si>
  <si>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</si>
  <si>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</si>
  <si>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</si>
  <si>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</si>
  <si>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</si>
  <si>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</si>
  <si>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</si>
  <si>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</si>
  <si>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</si>
  <si>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</si>
  <si>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</si>
  <si>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Days in Year</t>
  </si>
  <si>
    <t>Other Revenue</t>
  </si>
  <si>
    <t>Total Revenue</t>
  </si>
  <si>
    <t>All Usage</t>
  </si>
  <si>
    <t>Forecast Year Operating Revenues at Present Rates &amp; Proposed Rates</t>
  </si>
  <si>
    <t>ALL CUSTOMERS</t>
  </si>
  <si>
    <t>Exhibit 37, Schedule M-2</t>
  </si>
  <si>
    <t>Base Period at Present Rates</t>
  </si>
  <si>
    <t>Base Period at Proposed Rates</t>
  </si>
  <si>
    <t>Test Year at Present Rates</t>
  </si>
  <si>
    <t>Test Year at Proposed Rates</t>
  </si>
  <si>
    <t>Class/</t>
  </si>
  <si>
    <t>Sales</t>
  </si>
  <si>
    <t>Dollar</t>
  </si>
  <si>
    <t>%</t>
  </si>
  <si>
    <t>(000 Gal)</t>
  </si>
  <si>
    <t>Change</t>
  </si>
  <si>
    <t>Monthly Billing:</t>
  </si>
  <si>
    <t>Municipal &amp; OPA</t>
  </si>
  <si>
    <t>Sales For Resale</t>
  </si>
  <si>
    <t>Private Fire Service:</t>
  </si>
  <si>
    <t>Public Fire Service</t>
  </si>
  <si>
    <t>Miscellaneous Revenues:</t>
  </si>
  <si>
    <t>Total Other Revenue</t>
  </si>
  <si>
    <t>Difference</t>
  </si>
  <si>
    <t>RESIDENTIAL CLASS</t>
  </si>
  <si>
    <t>Exhibit 37, Schedule M-3</t>
  </si>
  <si>
    <t>Normalized</t>
  </si>
  <si>
    <t>Attrition Year at Present Rates</t>
  </si>
  <si>
    <t>Attrition Year at Proposed Rates</t>
  </si>
  <si>
    <t>Customer</t>
  </si>
  <si>
    <t>Meter</t>
  </si>
  <si>
    <t>Current</t>
  </si>
  <si>
    <t xml:space="preserve">Proposed </t>
  </si>
  <si>
    <t>Proposed</t>
  </si>
  <si>
    <t>Billings</t>
  </si>
  <si>
    <t>Minimum Charge: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</si>
  <si>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</si>
  <si>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</si>
  <si>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</si>
  <si>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</si>
  <si>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</si>
  <si>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</si>
  <si>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</si>
  <si>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</si>
  <si>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</si>
  <si>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Universal Affordability:</t>
  </si>
  <si>
    <t>5/8" Monthly (0%-50% FPL)</t>
  </si>
  <si>
    <t>5/8" Monthly (50%-100% FPL)</t>
  </si>
  <si>
    <t>Volumetric Charges:</t>
  </si>
  <si>
    <t>Usage (0-50% FPL)</t>
  </si>
  <si>
    <t>Usage (50-100% FPL)</t>
  </si>
  <si>
    <t>QIP Surcharge</t>
  </si>
  <si>
    <t>COMMERCIAL CLASS</t>
  </si>
  <si>
    <t>INDUSTRIAL CLASS</t>
  </si>
  <si>
    <t>MUNICIPAL &amp; OTHER PUBLIC AUTHORITY CLASS</t>
  </si>
  <si>
    <t>SALES FOR RESALE</t>
  </si>
  <si>
    <t>All SA1 Usage</t>
  </si>
  <si>
    <t>Water Sold to Judy WA</t>
  </si>
  <si>
    <t>First 70,000 Gal/day</t>
  </si>
  <si>
    <t>Over 70,000 Gal/day</t>
  </si>
  <si>
    <t>Special SFR Contract</t>
  </si>
  <si>
    <t>MISCELLANEOUS CLASS (BULK SALES THROUGH LOADING STATIONS)</t>
  </si>
  <si>
    <t>FIRE SERVICES</t>
  </si>
  <si>
    <t>Connection</t>
  </si>
  <si>
    <t>of</t>
  </si>
  <si>
    <t>Size</t>
  </si>
  <si>
    <t>Connections</t>
  </si>
  <si>
    <t>Hydrant</t>
  </si>
  <si>
    <t>2"</t>
  </si>
  <si>
    <t>4"</t>
  </si>
  <si>
    <t>6"</t>
  </si>
  <si>
    <t>8"</t>
  </si>
  <si>
    <t>10"</t>
  </si>
  <si>
    <t>12"</t>
  </si>
  <si>
    <t>14"</t>
  </si>
  <si>
    <t>16"</t>
  </si>
  <si>
    <t xml:space="preserve">Total Private Fire </t>
  </si>
  <si>
    <t>Public Fire Protection:</t>
  </si>
  <si>
    <t>Public Fire Hydrants</t>
  </si>
  <si>
    <t>Total Public Fire</t>
  </si>
  <si>
    <t>Total Fire Services</t>
  </si>
  <si>
    <t>Base Year (12 Months Ending September 30, 2023)</t>
  </si>
  <si>
    <t>Forecast Year (12 Months Ending January 31, 2025)</t>
  </si>
  <si>
    <t>Revenue at Present Rates</t>
  </si>
  <si>
    <t>Revenue Deficiency / Increase</t>
  </si>
  <si>
    <t>Revenue at Proposed Rates</t>
  </si>
  <si>
    <t>Added in KAW_R_PSCRR_NUM001_061924</t>
  </si>
  <si>
    <t>Revenues\[KAWC 2023 Rate Case - Exhibit 37 (M,N) Revenue Present &amp; Proposed.xlsx]Sch M2-M3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</si>
  <si>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</si>
  <si>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</si>
  <si>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</si>
  <si>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</si>
  <si>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</si>
  <si>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</si>
  <si>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</si>
  <si>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</si>
  <si>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</si>
  <si>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</si>
  <si>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</si>
  <si>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</si>
  <si>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[A]</t>
  </si>
  <si>
    <t>[B]</t>
  </si>
  <si>
    <t>[C] = [A] - [B]</t>
  </si>
  <si>
    <t>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</si>
</sst>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00000%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000_);_(&quot;$&quot;* \(#,##0.0000\);_(&quot;$&quot;* &quot;-&quot;????_);_(@_)"/>
    <numFmt numFmtId="170" formatCode="m/d/yy;@"/>
    <numFmt numFmtId="171" formatCode="[$-409]mmmm\ d\,\ yyyy;@"/>
    <numFmt numFmtId="172" formatCode="&quot;$&quot;#,##0"/>
    <numFmt numFmtId="173" formatCode="&quot;$&quot;#,##0.00"/>
    <numFmt numFmtId="174" formatCode="&quot;N/A&quot;"/>
    <numFmt numFmtId="175" formatCode="0.00000"/>
    <numFmt numFmtId="176" formatCode="#,##0.0000_);\(#,##0.0000\)"/>
    <numFmt numFmtId="177" formatCode="&quot;$&quot;#,##0.0000_);\(&quot;$&quot;#,##0.0000\)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</font>
    <font>
      <b/>
      <u/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3" fontId="1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8" fillId="0" borderId="0"/>
    <xf numFmtId="0" fontId="39" fillId="0" borderId="0"/>
    <xf numFmtId="43" fontId="3" fillId="0" borderId="0" applyFont="0" applyFill="0" applyBorder="0" applyAlignment="0" applyProtection="0"/>
    <xf numFmtId="0" fontId="40" fillId="0" borderId="0"/>
  </cellStyleXfs>
  <cellXfs count="334">
    <xf numFmtId="0" fontId="0" fillId="0" borderId="0" xfId="0"/>
    <xf numFmtId="0" fontId="1" fillId="0" borderId="0" xfId="0" applyFont="1"/>
    <xf numFmtId="10" fontId="0" fillId="0" borderId="0" xfId="3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right"/>
    </xf>
    <xf numFmtId="37" fontId="1" fillId="0" borderId="0" xfId="0" applyNumberFormat="1" applyFont="1"/>
    <xf numFmtId="37" fontId="0" fillId="0" borderId="0" xfId="0" applyNumberFormat="1"/>
    <xf numFmtId="37" fontId="1" fillId="0" borderId="0" xfId="0" applyNumberFormat="1" applyFont="1" applyAlignment="1">
      <alignment horizontal="center"/>
    </xf>
    <xf numFmtId="37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5" fontId="0" fillId="0" borderId="0" xfId="0" applyNumberFormat="1"/>
    <xf numFmtId="10" fontId="0" fillId="0" borderId="2" xfId="3" applyNumberFormat="1" applyFont="1" applyFill="1" applyBorder="1"/>
    <xf numFmtId="0" fontId="9" fillId="0" borderId="0" xfId="6" applyFont="1"/>
    <xf numFmtId="0" fontId="8" fillId="0" borderId="0" xfId="6" applyFont="1"/>
    <xf numFmtId="0" fontId="2" fillId="0" borderId="0" xfId="0" applyFont="1"/>
    <xf numFmtId="0" fontId="9" fillId="0" borderId="0" xfId="6" applyFont="1" applyAlignment="1">
      <alignment horizontal="right"/>
    </xf>
    <xf numFmtId="0" fontId="9" fillId="0" borderId="0" xfId="4" applyFont="1" applyAlignment="1">
      <alignment horizontal="right"/>
    </xf>
    <xf numFmtId="0" fontId="9" fillId="0" borderId="0" xfId="6" applyFont="1" applyAlignment="1">
      <alignment horizontal="center"/>
    </xf>
    <xf numFmtId="3" fontId="11" fillId="0" borderId="0" xfId="7" applyFont="1"/>
    <xf numFmtId="3" fontId="9" fillId="0" borderId="0" xfId="0" applyNumberFormat="1" applyFont="1"/>
    <xf numFmtId="0" fontId="2" fillId="0" borderId="0" xfId="8" applyFont="1"/>
    <xf numFmtId="0" fontId="1" fillId="0" borderId="0" xfId="8" applyFont="1" applyAlignment="1">
      <alignment horizontal="center"/>
    </xf>
    <xf numFmtId="0" fontId="9" fillId="0" borderId="2" xfId="6" applyFont="1" applyBorder="1" applyAlignment="1">
      <alignment horizontal="center"/>
    </xf>
    <xf numFmtId="0" fontId="1" fillId="0" borderId="2" xfId="8" applyFont="1" applyBorder="1" applyAlignment="1">
      <alignment horizontal="center"/>
    </xf>
    <xf numFmtId="0" fontId="8" fillId="0" borderId="0" xfId="6" applyFont="1" applyAlignment="1">
      <alignment horizontal="center"/>
    </xf>
    <xf numFmtId="0" fontId="9" fillId="0" borderId="0" xfId="9" applyFont="1"/>
    <xf numFmtId="5" fontId="8" fillId="0" borderId="0" xfId="6" applyNumberFormat="1" applyFont="1"/>
    <xf numFmtId="44" fontId="2" fillId="0" borderId="0" xfId="0" applyNumberFormat="1" applyFont="1"/>
    <xf numFmtId="0" fontId="9" fillId="0" borderId="2" xfId="9" applyFont="1" applyBorder="1"/>
    <xf numFmtId="41" fontId="8" fillId="0" borderId="0" xfId="6" applyNumberFormat="1" applyFont="1"/>
    <xf numFmtId="0" fontId="9" fillId="0" borderId="0" xfId="9" applyFont="1" applyAlignment="1">
      <alignment horizontal="right"/>
    </xf>
    <xf numFmtId="5" fontId="8" fillId="0" borderId="5" xfId="6" applyNumberFormat="1" applyFont="1" applyBorder="1"/>
    <xf numFmtId="0" fontId="15" fillId="0" borderId="0" xfId="10" applyFont="1" applyAlignment="1">
      <alignment horizontal="left"/>
    </xf>
    <xf numFmtId="0" fontId="15" fillId="0" borderId="0" xfId="6" applyFont="1" applyAlignment="1">
      <alignment horizontal="left"/>
    </xf>
    <xf numFmtId="165" fontId="8" fillId="0" borderId="0" xfId="6" applyNumberFormat="1" applyFont="1"/>
    <xf numFmtId="43" fontId="2" fillId="0" borderId="0" xfId="1" applyFont="1"/>
    <xf numFmtId="0" fontId="8" fillId="0" borderId="2" xfId="6" applyFont="1" applyBorder="1"/>
    <xf numFmtId="165" fontId="8" fillId="0" borderId="2" xfId="6" applyNumberFormat="1" applyFont="1" applyBorder="1"/>
    <xf numFmtId="41" fontId="8" fillId="0" borderId="2" xfId="6" applyNumberFormat="1" applyFont="1" applyBorder="1"/>
    <xf numFmtId="166" fontId="8" fillId="0" borderId="0" xfId="6" applyNumberFormat="1" applyFont="1"/>
    <xf numFmtId="165" fontId="8" fillId="0" borderId="4" xfId="6" applyNumberFormat="1" applyFont="1" applyBorder="1"/>
    <xf numFmtId="5" fontId="8" fillId="0" borderId="4" xfId="6" applyNumberFormat="1" applyFont="1" applyBorder="1"/>
    <xf numFmtId="42" fontId="8" fillId="0" borderId="0" xfId="6" applyNumberFormat="1" applyFont="1"/>
    <xf numFmtId="0" fontId="15" fillId="0" borderId="0" xfId="6" applyFont="1"/>
    <xf numFmtId="5" fontId="2" fillId="0" borderId="0" xfId="0" applyNumberFormat="1" applyFont="1"/>
    <xf numFmtId="0" fontId="8" fillId="0" borderId="0" xfId="9" applyFont="1"/>
    <xf numFmtId="0" fontId="2" fillId="0" borderId="0" xfId="0" applyFont="1" applyAlignment="1">
      <alignment horizontal="center"/>
    </xf>
    <xf numFmtId="0" fontId="5" fillId="0" borderId="0" xfId="9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9" applyFont="1" applyAlignment="1">
      <alignment horizontal="center"/>
    </xf>
    <xf numFmtId="0" fontId="2" fillId="0" borderId="0" xfId="0" applyFont="1" applyAlignment="1">
      <alignment horizontal="right"/>
    </xf>
    <xf numFmtId="3" fontId="16" fillId="0" borderId="0" xfId="7" applyFont="1"/>
    <xf numFmtId="3" fontId="8" fillId="0" borderId="0" xfId="0" applyNumberFormat="1" applyFont="1"/>
    <xf numFmtId="0" fontId="5" fillId="0" borderId="0" xfId="9" applyFont="1" applyAlignment="1">
      <alignment horizontal="center"/>
    </xf>
    <xf numFmtId="0" fontId="9" fillId="0" borderId="2" xfId="9" applyFont="1" applyBorder="1" applyAlignment="1">
      <alignment horizontal="center"/>
    </xf>
    <xf numFmtId="0" fontId="9" fillId="0" borderId="2" xfId="9" applyFont="1" applyBorder="1" applyAlignment="1">
      <alignment horizontal="left"/>
    </xf>
    <xf numFmtId="0" fontId="5" fillId="0" borderId="2" xfId="9" applyFont="1" applyBorder="1" applyAlignment="1">
      <alignment horizontal="center"/>
    </xf>
    <xf numFmtId="49" fontId="9" fillId="0" borderId="2" xfId="9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9" applyFont="1" applyAlignment="1">
      <alignment horizontal="center"/>
    </xf>
    <xf numFmtId="0" fontId="15" fillId="0" borderId="0" xfId="9" applyFont="1"/>
    <xf numFmtId="0" fontId="20" fillId="0" borderId="0" xfId="9" applyFont="1" applyAlignment="1">
      <alignment horizontal="center"/>
    </xf>
    <xf numFmtId="0" fontId="15" fillId="0" borderId="0" xfId="9" applyFont="1" applyAlignment="1">
      <alignment horizontal="center"/>
    </xf>
    <xf numFmtId="0" fontId="9" fillId="0" borderId="0" xfId="9" applyFont="1" applyAlignment="1">
      <alignment horizontal="left" indent="1"/>
    </xf>
    <xf numFmtId="0" fontId="7" fillId="0" borderId="0" xfId="9" applyFont="1" applyAlignment="1">
      <alignment horizontal="center"/>
    </xf>
    <xf numFmtId="5" fontId="8" fillId="0" borderId="4" xfId="9" applyNumberFormat="1" applyFont="1" applyBorder="1"/>
    <xf numFmtId="0" fontId="8" fillId="0" borderId="0" xfId="9" applyFont="1" applyAlignment="1">
      <alignment horizontal="left" indent="1"/>
    </xf>
    <xf numFmtId="0" fontId="15" fillId="0" borderId="0" xfId="9" applyFont="1" applyAlignment="1">
      <alignment horizontal="left" indent="1"/>
    </xf>
    <xf numFmtId="0" fontId="21" fillId="0" borderId="0" xfId="9" applyFont="1" applyAlignment="1">
      <alignment horizontal="center"/>
    </xf>
    <xf numFmtId="0" fontId="22" fillId="0" borderId="0" xfId="9" applyFont="1" applyAlignment="1">
      <alignment horizontal="center"/>
    </xf>
    <xf numFmtId="5" fontId="8" fillId="0" borderId="0" xfId="9" applyNumberFormat="1" applyFont="1"/>
    <xf numFmtId="167" fontId="8" fillId="0" borderId="0" xfId="9" applyNumberFormat="1" applyFont="1"/>
    <xf numFmtId="0" fontId="8" fillId="0" borderId="2" xfId="9" applyFont="1" applyBorder="1" applyAlignment="1">
      <alignment horizontal="left" indent="1"/>
    </xf>
    <xf numFmtId="0" fontId="9" fillId="0" borderId="0" xfId="9" applyFont="1" applyAlignment="1">
      <alignment horizontal="left"/>
    </xf>
    <xf numFmtId="5" fontId="8" fillId="0" borderId="5" xfId="9" applyNumberFormat="1" applyFont="1" applyBorder="1"/>
    <xf numFmtId="42" fontId="8" fillId="0" borderId="0" xfId="9" applyNumberFormat="1" applyFont="1"/>
    <xf numFmtId="39" fontId="2" fillId="0" borderId="0" xfId="0" applyNumberFormat="1" applyFont="1"/>
    <xf numFmtId="10" fontId="8" fillId="0" borderId="2" xfId="9" applyNumberFormat="1" applyFont="1" applyBorder="1"/>
    <xf numFmtId="3" fontId="2" fillId="0" borderId="0" xfId="0" applyNumberFormat="1" applyFont="1"/>
    <xf numFmtId="10" fontId="8" fillId="0" borderId="0" xfId="9" applyNumberFormat="1" applyFont="1"/>
    <xf numFmtId="168" fontId="8" fillId="0" borderId="0" xfId="9" applyNumberFormat="1" applyFont="1"/>
    <xf numFmtId="0" fontId="8" fillId="0" borderId="0" xfId="9" applyFont="1" applyAlignment="1">
      <alignment horizontal="right"/>
    </xf>
    <xf numFmtId="5" fontId="8" fillId="0" borderId="2" xfId="9" applyNumberFormat="1" applyFont="1" applyBorder="1"/>
    <xf numFmtId="5" fontId="9" fillId="0" borderId="4" xfId="9" applyNumberFormat="1" applyFont="1" applyBorder="1"/>
    <xf numFmtId="41" fontId="8" fillId="0" borderId="0" xfId="9" applyNumberFormat="1" applyFont="1"/>
    <xf numFmtId="165" fontId="8" fillId="0" borderId="2" xfId="9" applyNumberFormat="1" applyFont="1" applyBorder="1"/>
    <xf numFmtId="0" fontId="2" fillId="0" borderId="0" xfId="0" applyFont="1" applyAlignment="1">
      <alignment horizontal="left" wrapText="1"/>
    </xf>
    <xf numFmtId="5" fontId="8" fillId="0" borderId="0" xfId="9" applyNumberFormat="1" applyFont="1" applyAlignment="1">
      <alignment horizontal="center"/>
    </xf>
    <xf numFmtId="169" fontId="2" fillId="0" borderId="0" xfId="0" applyNumberFormat="1" applyFont="1"/>
    <xf numFmtId="167" fontId="8" fillId="0" borderId="0" xfId="1" applyNumberFormat="1" applyFont="1" applyFill="1"/>
    <xf numFmtId="167" fontId="8" fillId="0" borderId="0" xfId="9" applyNumberFormat="1" applyFont="1" applyAlignment="1">
      <alignment horizontal="center"/>
    </xf>
    <xf numFmtId="0" fontId="9" fillId="0" borderId="0" xfId="9" applyFont="1" applyAlignment="1">
      <alignment horizontal="right" wrapText="1"/>
    </xf>
    <xf numFmtId="10" fontId="9" fillId="0" borderId="4" xfId="3" applyNumberFormat="1" applyFont="1" applyFill="1" applyBorder="1"/>
    <xf numFmtId="5" fontId="9" fillId="0" borderId="0" xfId="9" applyNumberFormat="1" applyFont="1"/>
    <xf numFmtId="14" fontId="8" fillId="0" borderId="0" xfId="9" applyNumberFormat="1" applyFont="1"/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5" fillId="0" borderId="0" xfId="4" applyFont="1" applyAlignment="1">
      <alignment horizontal="right"/>
    </xf>
    <xf numFmtId="0" fontId="23" fillId="0" borderId="0" xfId="4" applyFont="1"/>
    <xf numFmtId="0" fontId="9" fillId="0" borderId="0" xfId="4" applyFont="1"/>
    <xf numFmtId="0" fontId="8" fillId="0" borderId="0" xfId="4" applyFont="1" applyAlignment="1">
      <alignment horizontal="right"/>
    </xf>
    <xf numFmtId="0" fontId="9" fillId="0" borderId="2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10" fontId="8" fillId="0" borderId="0" xfId="3" applyNumberFormat="1" applyFont="1"/>
    <xf numFmtId="165" fontId="8" fillId="0" borderId="0" xfId="5" applyNumberFormat="1" applyFont="1" applyFill="1"/>
    <xf numFmtId="165" fontId="8" fillId="0" borderId="0" xfId="3" applyNumberFormat="1" applyFont="1" applyFill="1"/>
    <xf numFmtId="165" fontId="8" fillId="0" borderId="0" xfId="5" applyNumberFormat="1" applyFont="1" applyFill="1" applyBorder="1"/>
    <xf numFmtId="165" fontId="8" fillId="0" borderId="0" xfId="5" applyNumberFormat="1" applyFont="1" applyFill="1" applyBorder="1" applyAlignment="1">
      <alignment horizontal="center"/>
    </xf>
    <xf numFmtId="0" fontId="8" fillId="0" borderId="2" xfId="4" applyFont="1" applyBorder="1"/>
    <xf numFmtId="165" fontId="8" fillId="0" borderId="2" xfId="3" applyNumberFormat="1" applyFont="1" applyFill="1" applyBorder="1"/>
    <xf numFmtId="10" fontId="8" fillId="0" borderId="0" xfId="3" applyNumberFormat="1" applyFont="1" applyFill="1" applyBorder="1"/>
    <xf numFmtId="165" fontId="8" fillId="0" borderId="3" xfId="4" applyNumberFormat="1" applyFont="1" applyBorder="1"/>
    <xf numFmtId="165" fontId="8" fillId="0" borderId="0" xfId="4" applyNumberFormat="1" applyFont="1"/>
    <xf numFmtId="10" fontId="23" fillId="0" borderId="0" xfId="3" applyNumberFormat="1" applyFont="1" applyBorder="1"/>
    <xf numFmtId="10" fontId="8" fillId="0" borderId="2" xfId="3" applyNumberFormat="1" applyFont="1" applyFill="1" applyBorder="1"/>
    <xf numFmtId="10" fontId="8" fillId="0" borderId="0" xfId="3" applyNumberFormat="1" applyFont="1" applyBorder="1"/>
    <xf numFmtId="165" fontId="8" fillId="0" borderId="3" xfId="5" applyNumberFormat="1" applyFont="1" applyFill="1" applyBorder="1"/>
    <xf numFmtId="10" fontId="8" fillId="0" borderId="2" xfId="3" applyNumberFormat="1" applyFont="1" applyBorder="1"/>
    <xf numFmtId="165" fontId="8" fillId="0" borderId="2" xfId="5" applyNumberFormat="1" applyFont="1" applyFill="1" applyBorder="1"/>
    <xf numFmtId="0" fontId="8" fillId="0" borderId="0" xfId="4" applyFont="1" applyAlignment="1">
      <alignment horizontal="left" wrapText="1"/>
    </xf>
    <xf numFmtId="165" fontId="8" fillId="0" borderId="4" xfId="5" applyNumberFormat="1" applyFont="1" applyFill="1" applyBorder="1"/>
    <xf numFmtId="10" fontId="23" fillId="0" borderId="0" xfId="3" applyNumberFormat="1" applyFont="1"/>
    <xf numFmtId="41" fontId="8" fillId="0" borderId="0" xfId="4" applyNumberFormat="1" applyFont="1"/>
    <xf numFmtId="168" fontId="0" fillId="0" borderId="0" xfId="0" applyNumberFormat="1"/>
    <xf numFmtId="3" fontId="11" fillId="0" borderId="0" xfId="7" applyFont="1" applyAlignment="1">
      <alignment horizontal="center"/>
    </xf>
    <xf numFmtId="0" fontId="8" fillId="0" borderId="0" xfId="11" applyFont="1"/>
    <xf numFmtId="37" fontId="9" fillId="0" borderId="0" xfId="11" applyNumberFormat="1" applyFont="1" applyAlignment="1">
      <alignment horizontal="right"/>
    </xf>
    <xf numFmtId="3" fontId="16" fillId="0" borderId="0" xfId="7" applyFont="1" applyAlignment="1">
      <alignment horizontal="center"/>
    </xf>
    <xf numFmtId="3" fontId="11" fillId="0" borderId="2" xfId="7" applyFont="1" applyBorder="1" applyAlignment="1">
      <alignment horizontal="center"/>
    </xf>
    <xf numFmtId="170" fontId="11" fillId="0" borderId="2" xfId="7" applyNumberFormat="1" applyFont="1" applyBorder="1" applyAlignment="1">
      <alignment horizontal="center"/>
    </xf>
    <xf numFmtId="37" fontId="16" fillId="0" borderId="0" xfId="7" applyNumberFormat="1" applyFont="1"/>
    <xf numFmtId="37" fontId="25" fillId="0" borderId="0" xfId="7" applyNumberFormat="1" applyFont="1"/>
    <xf numFmtId="5" fontId="16" fillId="0" borderId="0" xfId="7" applyNumberFormat="1" applyFont="1"/>
    <xf numFmtId="37" fontId="16" fillId="0" borderId="6" xfId="7" applyNumberFormat="1" applyFont="1" applyBorder="1"/>
    <xf numFmtId="5" fontId="16" fillId="0" borderId="6" xfId="7" applyNumberFormat="1" applyFont="1" applyBorder="1"/>
    <xf numFmtId="3" fontId="6" fillId="0" borderId="0" xfId="7" applyFont="1"/>
    <xf numFmtId="37" fontId="6" fillId="0" borderId="7" xfId="7" applyNumberFormat="1" applyFont="1" applyBorder="1"/>
    <xf numFmtId="37" fontId="6" fillId="0" borderId="0" xfId="7" applyNumberFormat="1" applyFont="1"/>
    <xf numFmtId="3" fontId="26" fillId="0" borderId="0" xfId="7" applyFont="1" applyAlignment="1">
      <alignment horizontal="center"/>
    </xf>
    <xf numFmtId="0" fontId="27" fillId="0" borderId="0" xfId="4" applyFont="1"/>
    <xf numFmtId="3" fontId="26" fillId="0" borderId="0" xfId="7" applyFont="1"/>
    <xf numFmtId="0" fontId="28" fillId="0" borderId="0" xfId="4" applyFont="1"/>
    <xf numFmtId="3" fontId="26" fillId="0" borderId="0" xfId="7" applyFont="1" applyAlignment="1">
      <alignment horizontal="right"/>
    </xf>
    <xf numFmtId="0" fontId="28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28" fillId="0" borderId="2" xfId="4" applyFont="1" applyBorder="1" applyAlignment="1">
      <alignment horizontal="center"/>
    </xf>
    <xf numFmtId="0" fontId="27" fillId="0" borderId="0" xfId="4" applyFont="1" applyAlignment="1">
      <alignment horizontal="center"/>
    </xf>
    <xf numFmtId="0" fontId="27" fillId="0" borderId="0" xfId="4" applyFont="1" applyAlignment="1">
      <alignment wrapText="1"/>
    </xf>
    <xf numFmtId="3" fontId="27" fillId="0" borderId="0" xfId="4" applyNumberFormat="1" applyFont="1" applyAlignment="1">
      <alignment wrapText="1"/>
    </xf>
    <xf numFmtId="5" fontId="27" fillId="0" borderId="0" xfId="4" applyNumberFormat="1" applyFont="1"/>
    <xf numFmtId="3" fontId="27" fillId="0" borderId="0" xfId="4" applyNumberFormat="1" applyFont="1"/>
    <xf numFmtId="37" fontId="27" fillId="0" borderId="0" xfId="4" applyNumberFormat="1" applyFont="1"/>
    <xf numFmtId="5" fontId="27" fillId="0" borderId="5" xfId="4" applyNumberFormat="1" applyFont="1" applyBorder="1"/>
    <xf numFmtId="3" fontId="26" fillId="0" borderId="0" xfId="7" applyFont="1" applyAlignment="1">
      <alignment horizontal="center" wrapText="1"/>
    </xf>
    <xf numFmtId="41" fontId="27" fillId="0" borderId="0" xfId="4" applyNumberFormat="1" applyFont="1"/>
    <xf numFmtId="42" fontId="27" fillId="0" borderId="0" xfId="4" applyNumberFormat="1" applyFont="1"/>
    <xf numFmtId="0" fontId="30" fillId="0" borderId="0" xfId="0" applyFont="1"/>
    <xf numFmtId="167" fontId="31" fillId="0" borderId="0" xfId="1" applyNumberFormat="1" applyFont="1"/>
    <xf numFmtId="164" fontId="0" fillId="0" borderId="0" xfId="0" applyNumberFormat="1"/>
    <xf numFmtId="0" fontId="24" fillId="0" borderId="0" xfId="4" applyFont="1"/>
    <xf numFmtId="3" fontId="8" fillId="0" borderId="0" xfId="4" applyNumberFormat="1" applyFont="1" applyAlignment="1">
      <alignment horizontal="centerContinuous"/>
    </xf>
    <xf numFmtId="3" fontId="8" fillId="0" borderId="0" xfId="4" applyNumberFormat="1" applyFont="1" applyProtection="1">
      <protection locked="0"/>
    </xf>
    <xf numFmtId="3" fontId="8" fillId="0" borderId="0" xfId="4" applyNumberFormat="1" applyFont="1" applyAlignment="1">
      <alignment horizontal="right"/>
    </xf>
    <xf numFmtId="3" fontId="8" fillId="0" borderId="0" xfId="4" applyNumberFormat="1" applyFont="1"/>
    <xf numFmtId="0" fontId="0" fillId="0" borderId="0" xfId="4" applyFont="1" applyAlignment="1">
      <alignment horizontal="right"/>
    </xf>
    <xf numFmtId="3" fontId="8" fillId="0" borderId="0" xfId="4" applyNumberFormat="1" applyFont="1" applyAlignment="1">
      <alignment horizontal="center"/>
    </xf>
    <xf numFmtId="3" fontId="8" fillId="0" borderId="8" xfId="4" applyNumberFormat="1" applyFont="1" applyBorder="1" applyAlignment="1">
      <alignment horizontal="center"/>
    </xf>
    <xf numFmtId="172" fontId="8" fillId="0" borderId="0" xfId="4" applyNumberFormat="1" applyFont="1"/>
    <xf numFmtId="42" fontId="8" fillId="0" borderId="0" xfId="4" applyNumberFormat="1" applyFont="1"/>
    <xf numFmtId="10" fontId="8" fillId="0" borderId="0" xfId="4" applyNumberFormat="1" applyFont="1"/>
    <xf numFmtId="164" fontId="8" fillId="0" borderId="0" xfId="4" applyNumberFormat="1" applyFont="1"/>
    <xf numFmtId="173" fontId="8" fillId="0" borderId="0" xfId="4" applyNumberFormat="1" applyFont="1"/>
    <xf numFmtId="0" fontId="32" fillId="0" borderId="0" xfId="4" applyFont="1"/>
    <xf numFmtId="37" fontId="8" fillId="0" borderId="0" xfId="4" applyNumberFormat="1" applyFont="1"/>
    <xf numFmtId="4" fontId="8" fillId="0" borderId="0" xfId="4" applyNumberFormat="1" applyFont="1"/>
    <xf numFmtId="3" fontId="8" fillId="0" borderId="2" xfId="4" applyNumberFormat="1" applyFont="1" applyBorder="1"/>
    <xf numFmtId="10" fontId="8" fillId="0" borderId="2" xfId="4" applyNumberFormat="1" applyFont="1" applyBorder="1"/>
    <xf numFmtId="4" fontId="8" fillId="0" borderId="2" xfId="4" applyNumberFormat="1" applyFont="1" applyBorder="1"/>
    <xf numFmtId="164" fontId="8" fillId="0" borderId="2" xfId="4" applyNumberFormat="1" applyFont="1" applyBorder="1"/>
    <xf numFmtId="172" fontId="8" fillId="0" borderId="4" xfId="4" applyNumberFormat="1" applyFont="1" applyBorder="1"/>
    <xf numFmtId="164" fontId="8" fillId="0" borderId="4" xfId="4" applyNumberFormat="1" applyFont="1" applyBorder="1"/>
    <xf numFmtId="173" fontId="8" fillId="0" borderId="4" xfId="4" applyNumberFormat="1" applyFont="1" applyBorder="1"/>
    <xf numFmtId="5" fontId="8" fillId="0" borderId="0" xfId="4" applyNumberFormat="1" applyFont="1"/>
    <xf numFmtId="0" fontId="33" fillId="0" borderId="0" xfId="4" applyFont="1"/>
    <xf numFmtId="0" fontId="0" fillId="0" borderId="0" xfId="0" applyAlignment="1">
      <alignment horizontal="left" indent="2"/>
    </xf>
    <xf numFmtId="167" fontId="0" fillId="0" borderId="0" xfId="0" applyNumberFormat="1"/>
    <xf numFmtId="167" fontId="0" fillId="0" borderId="9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8" fillId="0" borderId="0" xfId="0" applyNumberFormat="1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7" fontId="34" fillId="0" borderId="0" xfId="0" applyNumberFormat="1" applyFont="1" applyAlignment="1">
      <alignment horizontal="center"/>
    </xf>
    <xf numFmtId="167" fontId="0" fillId="0" borderId="0" xfId="1" applyNumberFormat="1" applyFont="1" applyFill="1"/>
    <xf numFmtId="167" fontId="0" fillId="0" borderId="9" xfId="0" applyNumberFormat="1" applyBorder="1"/>
    <xf numFmtId="167" fontId="0" fillId="0" borderId="2" xfId="1" applyNumberFormat="1" applyFont="1" applyFill="1" applyBorder="1"/>
    <xf numFmtId="167" fontId="0" fillId="0" borderId="2" xfId="1" applyNumberFormat="1" applyFont="1" applyBorder="1" applyAlignment="1">
      <alignment horizontal="center"/>
    </xf>
    <xf numFmtId="10" fontId="34" fillId="0" borderId="0" xfId="3" applyNumberFormat="1" applyFont="1" applyAlignment="1">
      <alignment horizontal="center"/>
    </xf>
    <xf numFmtId="0" fontId="0" fillId="0" borderId="0" xfId="0" applyAlignment="1">
      <alignment horizontal="left"/>
    </xf>
    <xf numFmtId="167" fontId="0" fillId="0" borderId="0" xfId="1" applyNumberFormat="1" applyFont="1" applyAlignment="1">
      <alignment horizontal="center"/>
    </xf>
    <xf numFmtId="167" fontId="8" fillId="0" borderId="1" xfId="1" applyNumberFormat="1" applyFont="1" applyBorder="1" applyAlignment="1">
      <alignment horizontal="center"/>
    </xf>
    <xf numFmtId="167" fontId="34" fillId="0" borderId="0" xfId="1" applyNumberFormat="1" applyFont="1" applyAlignment="1">
      <alignment horizontal="center"/>
    </xf>
    <xf numFmtId="167" fontId="0" fillId="0" borderId="0" xfId="1" applyNumberFormat="1" applyFont="1"/>
    <xf numFmtId="9" fontId="34" fillId="0" borderId="0" xfId="0" applyNumberFormat="1" applyFont="1" applyAlignment="1">
      <alignment horizontal="center"/>
    </xf>
    <xf numFmtId="167" fontId="8" fillId="0" borderId="0" xfId="1" applyNumberFormat="1" applyFont="1" applyAlignment="1">
      <alignment horizontal="center"/>
    </xf>
    <xf numFmtId="167" fontId="8" fillId="0" borderId="10" xfId="1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0" fillId="0" borderId="1" xfId="0" applyNumberFormat="1" applyBorder="1"/>
    <xf numFmtId="167" fontId="0" fillId="0" borderId="10" xfId="0" applyNumberFormat="1" applyBorder="1"/>
    <xf numFmtId="167" fontId="8" fillId="0" borderId="0" xfId="1" applyNumberFormat="1" applyFont="1" applyBorder="1" applyAlignment="1">
      <alignment horizontal="center"/>
    </xf>
    <xf numFmtId="10" fontId="34" fillId="0" borderId="0" xfId="0" applyNumberFormat="1" applyFont="1" applyAlignment="1">
      <alignment horizontal="center"/>
    </xf>
    <xf numFmtId="174" fontId="34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37" fontId="0" fillId="0" borderId="0" xfId="0" applyNumberFormat="1" applyAlignment="1">
      <alignment horizontal="right"/>
    </xf>
    <xf numFmtId="167" fontId="1" fillId="0" borderId="0" xfId="1" applyNumberFormat="1" applyFont="1" applyAlignment="1">
      <alignment horizontal="center"/>
    </xf>
    <xf numFmtId="0" fontId="1" fillId="0" borderId="2" xfId="0" quotePrefix="1" applyFont="1" applyBorder="1" applyAlignment="1">
      <alignment horizontal="center" wrapText="1"/>
    </xf>
    <xf numFmtId="167" fontId="0" fillId="0" borderId="0" xfId="1" applyNumberFormat="1" applyFont="1" applyAlignment="1">
      <alignment horizontal="right"/>
    </xf>
    <xf numFmtId="37" fontId="0" fillId="0" borderId="5" xfId="0" applyNumberFormat="1" applyBorder="1"/>
    <xf numFmtId="17" fontId="0" fillId="0" borderId="0" xfId="0" quotePrefix="1" applyNumberFormat="1" applyAlignment="1">
      <alignment horizontal="center"/>
    </xf>
    <xf numFmtId="37" fontId="0" fillId="0" borderId="2" xfId="0" applyNumberFormat="1" applyBorder="1" applyAlignment="1">
      <alignment horizontal="right"/>
    </xf>
    <xf numFmtId="10" fontId="0" fillId="0" borderId="0" xfId="3" applyNumberFormat="1" applyFont="1" applyFill="1" applyBorder="1"/>
    <xf numFmtId="10" fontId="0" fillId="0" borderId="2" xfId="3" applyNumberFormat="1" applyFont="1" applyBorder="1"/>
    <xf numFmtId="5" fontId="0" fillId="0" borderId="5" xfId="0" applyNumberFormat="1" applyBorder="1"/>
    <xf numFmtId="167" fontId="0" fillId="0" borderId="5" xfId="1" applyNumberFormat="1" applyFont="1" applyBorder="1"/>
    <xf numFmtId="167" fontId="35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6" fillId="0" borderId="0" xfId="0" applyFont="1" applyAlignment="1">
      <alignment horizontal="center" wrapText="1"/>
    </xf>
    <xf numFmtId="167" fontId="36" fillId="0" borderId="0" xfId="1" applyNumberFormat="1" applyFont="1" applyAlignment="1">
      <alignment horizontal="center" wrapText="1"/>
    </xf>
    <xf numFmtId="0" fontId="35" fillId="0" borderId="0" xfId="0" applyFont="1" applyAlignment="1">
      <alignment horizontal="center" wrapText="1"/>
    </xf>
    <xf numFmtId="167" fontId="0" fillId="0" borderId="0" xfId="1" applyNumberFormat="1" applyFont="1" applyAlignment="1">
      <alignment wrapText="1"/>
    </xf>
    <xf numFmtId="175" fontId="0" fillId="0" borderId="0" xfId="0" applyNumberFormat="1"/>
    <xf numFmtId="0" fontId="0" fillId="0" borderId="5" xfId="0" applyBorder="1"/>
    <xf numFmtId="167" fontId="1" fillId="0" borderId="0" xfId="0" applyNumberFormat="1" applyFont="1"/>
    <xf numFmtId="17" fontId="1" fillId="0" borderId="0" xfId="0" applyNumberFormat="1" applyFont="1" applyAlignment="1">
      <alignment horizontal="center" wrapText="1"/>
    </xf>
    <xf numFmtId="5" fontId="0" fillId="0" borderId="1" xfId="2" applyNumberFormat="1" applyFont="1" applyFill="1" applyBorder="1"/>
    <xf numFmtId="5" fontId="0" fillId="0" borderId="1" xfId="0" applyNumberFormat="1" applyBorder="1"/>
    <xf numFmtId="5" fontId="0" fillId="0" borderId="1" xfId="2" applyNumberFormat="1" applyFont="1" applyBorder="1"/>
    <xf numFmtId="5" fontId="1" fillId="0" borderId="1" xfId="0" applyNumberFormat="1" applyFont="1" applyBorder="1"/>
    <xf numFmtId="0" fontId="37" fillId="2" borderId="0" xfId="0" applyFont="1" applyFill="1"/>
    <xf numFmtId="0" fontId="6" fillId="2" borderId="0" xfId="0" applyFont="1" applyFill="1"/>
    <xf numFmtId="167" fontId="6" fillId="2" borderId="0" xfId="1" applyNumberFormat="1" applyFont="1" applyFill="1"/>
    <xf numFmtId="0" fontId="37" fillId="2" borderId="1" xfId="0" applyFont="1" applyFill="1" applyBorder="1"/>
    <xf numFmtId="0" fontId="0" fillId="2" borderId="0" xfId="0" applyFill="1"/>
    <xf numFmtId="168" fontId="6" fillId="2" borderId="0" xfId="2" applyNumberFormat="1" applyFont="1" applyFill="1"/>
    <xf numFmtId="168" fontId="37" fillId="2" borderId="1" xfId="2" applyNumberFormat="1" applyFont="1" applyFill="1" applyBorder="1"/>
    <xf numFmtId="37" fontId="9" fillId="2" borderId="0" xfId="12" applyNumberFormat="1" applyFont="1" applyFill="1" applyAlignment="1">
      <alignment horizontal="center"/>
    </xf>
    <xf numFmtId="37" fontId="8" fillId="2" borderId="0" xfId="12" applyNumberFormat="1" applyFont="1" applyFill="1"/>
    <xf numFmtId="37" fontId="9" fillId="2" borderId="0" xfId="12" applyNumberFormat="1" applyFont="1" applyFill="1"/>
    <xf numFmtId="37" fontId="9" fillId="2" borderId="0" xfId="12" applyNumberFormat="1" applyFont="1" applyFill="1" applyAlignment="1">
      <alignment horizontal="right"/>
    </xf>
    <xf numFmtId="37" fontId="37" fillId="2" borderId="0" xfId="12" applyNumberFormat="1" applyFont="1" applyFill="1"/>
    <xf numFmtId="37" fontId="8" fillId="2" borderId="2" xfId="12" applyNumberFormat="1" applyFont="1" applyFill="1" applyBorder="1" applyAlignment="1">
      <alignment horizontal="center"/>
    </xf>
    <xf numFmtId="37" fontId="8" fillId="2" borderId="2" xfId="12" applyNumberFormat="1" applyFont="1" applyFill="1" applyBorder="1"/>
    <xf numFmtId="6" fontId="8" fillId="2" borderId="2" xfId="12" applyNumberFormat="1" applyFont="1" applyFill="1" applyBorder="1"/>
    <xf numFmtId="42" fontId="8" fillId="2" borderId="2" xfId="12" applyNumberFormat="1" applyFont="1" applyFill="1" applyBorder="1"/>
    <xf numFmtId="40" fontId="8" fillId="2" borderId="2" xfId="12" applyNumberFormat="1" applyFont="1" applyFill="1" applyBorder="1"/>
    <xf numFmtId="37" fontId="8" fillId="2" borderId="2" xfId="12" applyNumberFormat="1" applyFont="1" applyFill="1" applyBorder="1" applyAlignment="1">
      <alignment horizontal="right" vertical="top"/>
    </xf>
    <xf numFmtId="10" fontId="8" fillId="2" borderId="2" xfId="12" applyNumberFormat="1" applyFont="1" applyFill="1" applyBorder="1"/>
    <xf numFmtId="37" fontId="8" fillId="2" borderId="0" xfId="12" applyNumberFormat="1" applyFont="1" applyFill="1" applyAlignment="1">
      <alignment horizontal="center"/>
    </xf>
    <xf numFmtId="37" fontId="8" fillId="2" borderId="0" xfId="12" applyNumberFormat="1" applyFont="1" applyFill="1" applyAlignment="1">
      <alignment horizontal="centerContinuous"/>
    </xf>
    <xf numFmtId="37" fontId="22" fillId="2" borderId="0" xfId="12" applyNumberFormat="1" applyFont="1" applyFill="1"/>
    <xf numFmtId="5" fontId="8" fillId="2" borderId="0" xfId="12" applyNumberFormat="1" applyFont="1" applyFill="1" applyAlignment="1">
      <alignment horizontal="right" vertical="top"/>
    </xf>
    <xf numFmtId="37" fontId="8" fillId="2" borderId="0" xfId="12" applyNumberFormat="1" applyFont="1" applyFill="1" applyAlignment="1">
      <alignment horizontal="right" vertical="top"/>
    </xf>
    <xf numFmtId="37" fontId="8" fillId="2" borderId="0" xfId="12" applyNumberFormat="1" applyFont="1" applyFill="1" applyAlignment="1">
      <alignment horizontal="left" vertical="top"/>
    </xf>
    <xf numFmtId="10" fontId="8" fillId="2" borderId="0" xfId="12" applyNumberFormat="1" applyFont="1" applyFill="1"/>
    <xf numFmtId="39" fontId="8" fillId="2" borderId="0" xfId="12" applyNumberFormat="1" applyFont="1" applyFill="1" applyAlignment="1">
      <alignment horizontal="right" vertical="top"/>
    </xf>
    <xf numFmtId="37" fontId="8" fillId="2" borderId="1" xfId="12" applyNumberFormat="1" applyFont="1" applyFill="1" applyBorder="1" applyAlignment="1">
      <alignment horizontal="right" vertical="top"/>
    </xf>
    <xf numFmtId="5" fontId="8" fillId="2" borderId="1" xfId="12" applyNumberFormat="1" applyFont="1" applyFill="1" applyBorder="1" applyAlignment="1">
      <alignment horizontal="right" vertical="top"/>
    </xf>
    <xf numFmtId="10" fontId="8" fillId="2" borderId="1" xfId="12" applyNumberFormat="1" applyFont="1" applyFill="1" applyBorder="1"/>
    <xf numFmtId="42" fontId="2" fillId="2" borderId="0" xfId="13" applyNumberFormat="1" applyFont="1" applyFill="1" applyAlignment="1">
      <alignment horizontal="left" indent="1"/>
    </xf>
    <xf numFmtId="176" fontId="8" fillId="2" borderId="0" xfId="12" applyNumberFormat="1" applyFont="1" applyFill="1" applyAlignment="1">
      <alignment horizontal="right" vertical="top"/>
    </xf>
    <xf numFmtId="5" fontId="8" fillId="2" borderId="0" xfId="12" quotePrefix="1" applyNumberFormat="1" applyFont="1" applyFill="1" applyAlignment="1">
      <alignment horizontal="right" vertical="top"/>
    </xf>
    <xf numFmtId="10" fontId="8" fillId="2" borderId="0" xfId="5" applyNumberFormat="1" applyFont="1" applyFill="1"/>
    <xf numFmtId="37" fontId="8" fillId="2" borderId="0" xfId="12" applyNumberFormat="1" applyFont="1" applyFill="1" applyAlignment="1">
      <alignment horizontal="right"/>
    </xf>
    <xf numFmtId="37" fontId="22" fillId="2" borderId="0" xfId="12" applyNumberFormat="1" applyFont="1" applyFill="1" applyAlignment="1">
      <alignment horizontal="center"/>
    </xf>
    <xf numFmtId="43" fontId="8" fillId="2" borderId="0" xfId="12" applyNumberFormat="1" applyFont="1" applyFill="1"/>
    <xf numFmtId="6" fontId="8" fillId="2" borderId="0" xfId="12" applyNumberFormat="1" applyFont="1" applyFill="1"/>
    <xf numFmtId="42" fontId="8" fillId="2" borderId="0" xfId="12" applyNumberFormat="1" applyFont="1" applyFill="1"/>
    <xf numFmtId="176" fontId="8" fillId="2" borderId="0" xfId="12" applyNumberFormat="1" applyFont="1" applyFill="1"/>
    <xf numFmtId="5" fontId="8" fillId="2" borderId="0" xfId="12" applyNumberFormat="1" applyFont="1" applyFill="1"/>
    <xf numFmtId="42" fontId="8" fillId="2" borderId="1" xfId="12" applyNumberFormat="1" applyFont="1" applyFill="1" applyBorder="1" applyAlignment="1">
      <alignment horizontal="right" vertical="top"/>
    </xf>
    <xf numFmtId="42" fontId="8" fillId="2" borderId="5" xfId="12" applyNumberFormat="1" applyFont="1" applyFill="1" applyBorder="1" applyAlignment="1">
      <alignment horizontal="right" vertical="top"/>
    </xf>
    <xf numFmtId="42" fontId="8" fillId="2" borderId="0" xfId="12" applyNumberFormat="1" applyFont="1" applyFill="1" applyAlignment="1">
      <alignment horizontal="center"/>
    </xf>
    <xf numFmtId="5" fontId="8" fillId="2" borderId="5" xfId="12" applyNumberFormat="1" applyFont="1" applyFill="1" applyBorder="1" applyAlignment="1">
      <alignment horizontal="right" vertical="top"/>
    </xf>
    <xf numFmtId="10" fontId="8" fillId="2" borderId="5" xfId="12" applyNumberFormat="1" applyFont="1" applyFill="1" applyBorder="1"/>
    <xf numFmtId="40" fontId="8" fillId="2" borderId="0" xfId="12" applyNumberFormat="1" applyFont="1" applyFill="1"/>
    <xf numFmtId="7" fontId="8" fillId="2" borderId="0" xfId="12" applyNumberFormat="1" applyFont="1" applyFill="1" applyAlignment="1">
      <alignment horizontal="right" vertical="top"/>
    </xf>
    <xf numFmtId="177" fontId="8" fillId="2" borderId="0" xfId="12" applyNumberFormat="1" applyFont="1" applyFill="1" applyAlignment="1">
      <alignment horizontal="right" vertical="top"/>
    </xf>
    <xf numFmtId="10" fontId="8" fillId="2" borderId="0" xfId="5" applyNumberFormat="1" applyFont="1" applyFill="1" applyBorder="1" applyAlignment="1">
      <alignment horizontal="right" vertical="top"/>
    </xf>
    <xf numFmtId="37" fontId="8" fillId="2" borderId="0" xfId="12" applyNumberFormat="1" applyFont="1" applyFill="1" applyAlignment="1">
      <alignment horizontal="left"/>
    </xf>
    <xf numFmtId="37" fontId="8" fillId="2" borderId="5" xfId="12" applyNumberFormat="1" applyFont="1" applyFill="1" applyBorder="1"/>
    <xf numFmtId="6" fontId="8" fillId="2" borderId="5" xfId="12" applyNumberFormat="1" applyFont="1" applyFill="1" applyBorder="1"/>
    <xf numFmtId="39" fontId="8" fillId="2" borderId="0" xfId="12" applyNumberFormat="1" applyFont="1" applyFill="1"/>
    <xf numFmtId="43" fontId="8" fillId="2" borderId="0" xfId="14" applyFont="1" applyFill="1" applyBorder="1"/>
    <xf numFmtId="5" fontId="8" fillId="2" borderId="0" xfId="12" applyNumberFormat="1" applyFont="1" applyFill="1" applyAlignment="1">
      <alignment horizontal="right"/>
    </xf>
    <xf numFmtId="37" fontId="8" fillId="2" borderId="5" xfId="12" applyNumberFormat="1" applyFont="1" applyFill="1" applyBorder="1" applyAlignment="1">
      <alignment horizontal="right" vertical="top"/>
    </xf>
    <xf numFmtId="5" fontId="8" fillId="2" borderId="13" xfId="12" applyNumberFormat="1" applyFont="1" applyFill="1" applyBorder="1" applyAlignment="1">
      <alignment horizontal="right"/>
    </xf>
    <xf numFmtId="37" fontId="9" fillId="2" borderId="13" xfId="12" applyNumberFormat="1" applyFont="1" applyFill="1" applyBorder="1" applyAlignment="1">
      <alignment horizontal="right" vertical="top"/>
    </xf>
    <xf numFmtId="37" fontId="9" fillId="2" borderId="0" xfId="12" applyNumberFormat="1" applyFont="1" applyFill="1" applyAlignment="1">
      <alignment horizontal="right" vertical="top"/>
    </xf>
    <xf numFmtId="176" fontId="9" fillId="2" borderId="0" xfId="12" applyNumberFormat="1" applyFont="1" applyFill="1" applyAlignment="1">
      <alignment horizontal="right" vertical="top"/>
    </xf>
    <xf numFmtId="39" fontId="9" fillId="2" borderId="0" xfId="12" applyNumberFormat="1" applyFont="1" applyFill="1" applyAlignment="1">
      <alignment horizontal="right" vertical="top"/>
    </xf>
    <xf numFmtId="10" fontId="9" fillId="2" borderId="5" xfId="12" applyNumberFormat="1" applyFont="1" applyFill="1" applyBorder="1"/>
    <xf numFmtId="0" fontId="8" fillId="2" borderId="0" xfId="15" applyFont="1" applyFill="1"/>
    <xf numFmtId="10" fontId="9" fillId="2" borderId="0" xfId="5" applyNumberFormat="1" applyFont="1" applyFill="1" applyBorder="1" applyAlignment="1">
      <alignment horizontal="right" vertical="top"/>
    </xf>
    <xf numFmtId="6" fontId="9" fillId="2" borderId="5" xfId="12" applyNumberFormat="1" applyFont="1" applyFill="1" applyBorder="1"/>
    <xf numFmtId="6" fontId="9" fillId="2" borderId="0" xfId="12" applyNumberFormat="1" applyFont="1" applyFill="1"/>
    <xf numFmtId="167" fontId="8" fillId="2" borderId="0" xfId="14" applyNumberFormat="1" applyFont="1" applyFill="1" applyBorder="1"/>
    <xf numFmtId="0" fontId="1" fillId="2" borderId="0" xfId="0" applyFont="1" applyFill="1"/>
    <xf numFmtId="37" fontId="9" fillId="2" borderId="0" xfId="0" applyNumberFormat="1" applyFont="1" applyFill="1" applyAlignment="1">
      <alignment horizontal="right"/>
    </xf>
    <xf numFmtId="0" fontId="37" fillId="2" borderId="0" xfId="0" applyFont="1" applyFill="1" applyAlignment="1">
      <alignment horizontal="right"/>
    </xf>
    <xf numFmtId="0" fontId="37" fillId="2" borderId="1" xfId="0" applyFont="1" applyFill="1" applyBorder="1" applyAlignment="1">
      <alignment horizontal="right"/>
    </xf>
    <xf numFmtId="0" fontId="3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7" fontId="9" fillId="2" borderId="0" xfId="12" applyNumberFormat="1" applyFont="1" applyFill="1" applyAlignment="1">
      <alignment horizontal="center"/>
    </xf>
    <xf numFmtId="37" fontId="8" fillId="2" borderId="2" xfId="12" applyNumberFormat="1" applyFont="1" applyFill="1" applyBorder="1" applyAlignment="1">
      <alignment horizontal="center"/>
    </xf>
    <xf numFmtId="37" fontId="9" fillId="2" borderId="0" xfId="12" applyNumberFormat="1" applyFont="1" applyFill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0" xfId="9" applyFont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6" applyFont="1" applyAlignment="1">
      <alignment horizontal="center"/>
    </xf>
    <xf numFmtId="3" fontId="9" fillId="0" borderId="0" xfId="4" applyNumberFormat="1" applyFont="1" applyAlignment="1">
      <alignment horizontal="center"/>
    </xf>
    <xf numFmtId="171" fontId="9" fillId="0" borderId="0" xfId="4" applyNumberFormat="1" applyFont="1" applyAlignment="1">
      <alignment horizontal="center"/>
    </xf>
    <xf numFmtId="3" fontId="26" fillId="0" borderId="0" xfId="7" applyFont="1" applyAlignment="1">
      <alignment horizontal="center"/>
    </xf>
    <xf numFmtId="3" fontId="11" fillId="0" borderId="0" xfId="7" applyFont="1" applyAlignment="1">
      <alignment horizontal="center"/>
    </xf>
  </cellXfs>
  <cellStyles count="16">
    <cellStyle name="Comma" xfId="1" builtinId="3"/>
    <cellStyle name="Comma 2" xfId="14" xr:uid="{098F9458-928B-4115-A90A-C8789A2D01F2}"/>
    <cellStyle name="Currency" xfId="2" builtinId="4"/>
    <cellStyle name="Normal" xfId="0" builtinId="0"/>
    <cellStyle name="Normal 2" xfId="4" xr:uid="{60760ED5-4099-4967-BD44-AD25505D9C43}"/>
    <cellStyle name="Normal 2 4" xfId="8" xr:uid="{AB4F8AFB-C33A-4AE0-A81A-07A516D67C9A}"/>
    <cellStyle name="Normal 3" xfId="11" xr:uid="{1B43EFC7-97FF-4A60-94D3-65562BE19EC3}"/>
    <cellStyle name="Normal 3 2" xfId="13" xr:uid="{750D08CA-ED5E-4D0F-8B74-ACA2997F3760}"/>
    <cellStyle name="Normal 4" xfId="9" xr:uid="{55A751E2-4EBA-49DB-9408-952AD34C9AFD}"/>
    <cellStyle name="Normal 5" xfId="6" xr:uid="{5659B0CF-D559-4E1E-986D-3E66EBA7C80E}"/>
    <cellStyle name="Normal 6" xfId="10" xr:uid="{87428B8C-C9F7-4A42-AB23-3942C503ECA3}"/>
    <cellStyle name="Normal 7" xfId="12" xr:uid="{1F1EF05E-71C2-432E-A6F6-DE43AA355AD0}"/>
    <cellStyle name="Normal_Exhibits" xfId="7" xr:uid="{2D7DBF36-8635-4B36-8564-3D771DFD9469}"/>
    <cellStyle name="Normal_revenue detail model v2.0" xfId="15" xr:uid="{182C373E-D69A-4105-B405-3761FEDD0075}"/>
    <cellStyle name="Percent" xfId="3" builtinId="5"/>
    <cellStyle name="Percent 2" xfId="5" xr:uid="{74BA8BAB-98BE-4171-ABDE-EB17BDC32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F947-2FCA-4ED3-A396-6980FFA69E52}">
  <sheetPr>
    <tabColor rgb="FFFFFF00"/>
    <pageSetUpPr fitToPage="1"/>
  </sheetPr>
  <dimension ref="A1:T38"/>
  <sheetViews>
    <sheetView tabSelected="1" topLeftCell="A8" zoomScaleNormal="100" zoomScaleSheetLayoutView="90" workbookViewId="0">
      <selection activeCell="H16" sqref="H16"/>
    </sheetView>
  </sheetViews>
  <sheetFormatPr defaultRowHeight="15" x14ac:dyDescent="0.25"/>
  <cols>
    <col min="2" max="2" width="22.5703125" bestFit="1" customWidth="1"/>
    <col min="3" max="4" width="2.7109375" customWidth="1"/>
    <col min="5" max="5" width="15.5703125" customWidth="1"/>
    <col min="6" max="7" width="2.7109375" customWidth="1"/>
    <col min="8" max="8" width="15.5703125" customWidth="1"/>
    <col min="9" max="10" width="2.7109375" customWidth="1"/>
    <col min="11" max="11" width="15.5703125" customWidth="1"/>
    <col min="12" max="13" width="2.7109375" customWidth="1"/>
    <col min="14" max="14" width="15.5703125" customWidth="1"/>
    <col min="15" max="16" width="2.7109375" customWidth="1"/>
    <col min="17" max="17" width="15.5703125" customWidth="1"/>
    <col min="18" max="19" width="2.7109375" customWidth="1"/>
    <col min="20" max="20" width="15.5703125" customWidth="1"/>
  </cols>
  <sheetData>
    <row r="1" spans="1:20" x14ac:dyDescent="0.25">
      <c r="A1" s="1" t="s">
        <v>224</v>
      </c>
      <c r="N1" s="163"/>
      <c r="Q1" s="2"/>
      <c r="T1" s="2"/>
    </row>
    <row r="2" spans="1:20" x14ac:dyDescent="0.25">
      <c r="A2" s="1" t="s">
        <v>256</v>
      </c>
      <c r="E2" s="317" t="s">
        <v>420</v>
      </c>
      <c r="F2" s="3"/>
      <c r="G2" s="3"/>
      <c r="H2" s="317" t="s">
        <v>421</v>
      </c>
      <c r="K2" s="317" t="s">
        <v>422</v>
      </c>
      <c r="N2" s="163"/>
      <c r="Q2" s="2"/>
      <c r="T2" s="2"/>
    </row>
    <row r="3" spans="1:20" x14ac:dyDescent="0.25">
      <c r="A3" s="313" t="s">
        <v>406</v>
      </c>
      <c r="B3" s="249"/>
      <c r="C3" s="249"/>
      <c r="D3" s="249"/>
      <c r="E3" s="318"/>
      <c r="F3" s="3"/>
      <c r="G3" s="3"/>
      <c r="H3" s="317" t="s">
        <v>423</v>
      </c>
      <c r="K3" s="249"/>
      <c r="N3" s="163"/>
      <c r="Q3" s="2"/>
      <c r="T3" s="2"/>
    </row>
    <row r="4" spans="1:20" x14ac:dyDescent="0.25">
      <c r="B4" s="4"/>
      <c r="C4" s="1"/>
      <c r="D4" s="1"/>
      <c r="E4" s="5" t="s">
        <v>257</v>
      </c>
      <c r="F4" s="1"/>
      <c r="G4" s="1"/>
      <c r="H4" s="5" t="s">
        <v>4</v>
      </c>
      <c r="I4" s="1"/>
      <c r="J4" s="1"/>
      <c r="K4" s="5" t="s">
        <v>5</v>
      </c>
      <c r="N4" s="163"/>
      <c r="Q4" s="2"/>
      <c r="T4" s="2"/>
    </row>
    <row r="5" spans="1:20" x14ac:dyDescent="0.25">
      <c r="B5" s="1"/>
      <c r="C5" s="1"/>
      <c r="D5" s="1"/>
      <c r="E5" s="5" t="s">
        <v>1</v>
      </c>
      <c r="F5" s="1"/>
      <c r="G5" s="1"/>
      <c r="H5" s="5" t="s">
        <v>1</v>
      </c>
      <c r="I5" s="1"/>
      <c r="J5" s="1"/>
      <c r="K5" s="5" t="s">
        <v>1</v>
      </c>
      <c r="N5" s="163"/>
      <c r="Q5" s="2"/>
      <c r="T5" s="2"/>
    </row>
    <row r="6" spans="1:20" x14ac:dyDescent="0.25">
      <c r="B6" s="1" t="s">
        <v>2</v>
      </c>
      <c r="C6" s="1"/>
      <c r="D6" s="1"/>
      <c r="E6" s="5" t="s">
        <v>3</v>
      </c>
      <c r="F6" s="1"/>
      <c r="G6" s="1"/>
      <c r="H6" s="5" t="s">
        <v>3</v>
      </c>
      <c r="I6" s="1"/>
      <c r="J6" s="1"/>
      <c r="K6" s="5" t="s">
        <v>3</v>
      </c>
      <c r="N6" s="163"/>
      <c r="Q6" s="2"/>
      <c r="T6" s="2"/>
    </row>
    <row r="7" spans="1:20" x14ac:dyDescent="0.25">
      <c r="B7" s="6" t="s">
        <v>74</v>
      </c>
      <c r="C7" s="6"/>
      <c r="D7" s="6"/>
      <c r="E7" s="241">
        <f>'Rev Requirement - SCH A'!F37</f>
        <v>588397565.83035445</v>
      </c>
      <c r="F7" s="242"/>
      <c r="G7" s="242"/>
      <c r="H7" s="241">
        <f>'PSC 3-1, part b'!W67+'PSC 3-1, part b ADIT'!R38</f>
        <v>67449229.814765841</v>
      </c>
      <c r="I7" s="242"/>
      <c r="J7" s="242"/>
      <c r="K7" s="243">
        <f>E7-H7</f>
        <v>520948336.01558864</v>
      </c>
      <c r="N7" s="163"/>
      <c r="Q7" s="2"/>
      <c r="T7" s="2"/>
    </row>
    <row r="8" spans="1:20" x14ac:dyDescent="0.25">
      <c r="B8" t="s">
        <v>76</v>
      </c>
      <c r="E8" s="164">
        <f>'Rev Requirement - SCH A'!F38</f>
        <v>7.8700000000000006E-2</v>
      </c>
      <c r="H8" s="164">
        <f>'Rev Requirement - SCH A'!F38</f>
        <v>7.8700000000000006E-2</v>
      </c>
      <c r="K8" s="129"/>
      <c r="N8" s="163"/>
      <c r="Q8" s="2"/>
      <c r="T8" s="2"/>
    </row>
    <row r="9" spans="1:20" x14ac:dyDescent="0.25">
      <c r="B9" s="7" t="s">
        <v>111</v>
      </c>
      <c r="C9" s="6"/>
      <c r="D9" s="6"/>
      <c r="E9" s="244">
        <f>E7*E8</f>
        <v>46306888.430848897</v>
      </c>
      <c r="F9" s="242"/>
      <c r="G9" s="242"/>
      <c r="H9" s="244">
        <f>H7*H8</f>
        <v>5308254.3864220725</v>
      </c>
      <c r="I9" s="242"/>
      <c r="J9" s="242"/>
      <c r="K9" s="244">
        <f t="shared" ref="K9:K19" si="0">E9-H9</f>
        <v>40998634.044426821</v>
      </c>
      <c r="N9" s="163"/>
      <c r="Q9" s="2"/>
      <c r="T9" s="2"/>
    </row>
    <row r="10" spans="1:20" x14ac:dyDescent="0.25">
      <c r="B10" t="s">
        <v>66</v>
      </c>
      <c r="E10" s="198">
        <f>'Proposed Rate Adjustments'!E37</f>
        <v>46623490.167384081</v>
      </c>
      <c r="F10" s="207"/>
      <c r="G10" s="207"/>
      <c r="H10" s="198">
        <f ca="1">H16*'Rev Conversion Factor - SCH H'!C19</f>
        <v>50502.113802050866</v>
      </c>
      <c r="I10" s="207"/>
      <c r="J10" s="207"/>
      <c r="K10" s="207">
        <f t="shared" ca="1" si="0"/>
        <v>46572988.053582028</v>
      </c>
      <c r="N10" s="163"/>
      <c r="Q10" s="2"/>
      <c r="T10" s="2"/>
    </row>
    <row r="11" spans="1:20" x14ac:dyDescent="0.25">
      <c r="B11" t="s">
        <v>41</v>
      </c>
      <c r="E11" s="198">
        <f>'Rev Requirement - SCH A'!F22</f>
        <v>28740336.021431103</v>
      </c>
      <c r="F11" s="207"/>
      <c r="G11" s="207"/>
      <c r="H11" s="198">
        <f>'PSC 3-1, part b'!W78</f>
        <v>1024576.9790227197</v>
      </c>
      <c r="I11" s="207"/>
      <c r="J11" s="207"/>
      <c r="K11" s="207">
        <f t="shared" si="0"/>
        <v>27715759.042408384</v>
      </c>
      <c r="N11" s="163"/>
      <c r="Q11" s="2"/>
      <c r="T11" s="2"/>
    </row>
    <row r="12" spans="1:20" x14ac:dyDescent="0.25">
      <c r="B12" t="s">
        <v>67</v>
      </c>
      <c r="E12" s="198">
        <f>'Rev Requirement - SCH A'!F23</f>
        <v>14722.919999999998</v>
      </c>
      <c r="F12" s="207"/>
      <c r="G12" s="207"/>
      <c r="H12" s="198">
        <v>0</v>
      </c>
      <c r="I12" s="207"/>
      <c r="J12" s="207"/>
      <c r="K12" s="207">
        <f t="shared" si="0"/>
        <v>14722.919999999998</v>
      </c>
      <c r="N12" s="163"/>
      <c r="Q12" s="2"/>
      <c r="T12" s="2"/>
    </row>
    <row r="13" spans="1:20" x14ac:dyDescent="0.25">
      <c r="B13" t="s">
        <v>68</v>
      </c>
      <c r="E13" s="198">
        <f>'Rev Requirement - SCH A'!F24</f>
        <v>57080.039999999986</v>
      </c>
      <c r="F13" s="207"/>
      <c r="G13" s="207"/>
      <c r="H13" s="198">
        <v>0</v>
      </c>
      <c r="I13" s="207"/>
      <c r="J13" s="207"/>
      <c r="K13" s="207">
        <f t="shared" si="0"/>
        <v>57080.039999999986</v>
      </c>
      <c r="N13" s="163"/>
      <c r="Q13" s="2"/>
      <c r="T13" s="2"/>
    </row>
    <row r="14" spans="1:20" x14ac:dyDescent="0.25">
      <c r="B14" t="s">
        <v>43</v>
      </c>
      <c r="E14" s="198">
        <f>'Proposed Rate Adjustments'!E40</f>
        <v>10690489.624022618</v>
      </c>
      <c r="F14" s="207"/>
      <c r="G14" s="207"/>
      <c r="H14" s="198">
        <f ca="1">'PSC 3-1, part b'!W89+H16*'Rev Conversion Factor - SCH H'!C20</f>
        <v>1023777.7269414905</v>
      </c>
      <c r="I14" s="207"/>
      <c r="J14" s="207"/>
      <c r="K14" s="207">
        <f t="shared" ca="1" si="0"/>
        <v>9666711.8970811274</v>
      </c>
      <c r="N14" s="163"/>
      <c r="Q14" s="2"/>
      <c r="T14" s="2"/>
    </row>
    <row r="15" spans="1:20" x14ac:dyDescent="0.25">
      <c r="B15" t="s">
        <v>112</v>
      </c>
      <c r="E15" s="198">
        <f>SUM('Proposed Rate Adjustments'!E41:E42)</f>
        <v>9832119.8196092695</v>
      </c>
      <c r="F15" s="207"/>
      <c r="G15" s="207"/>
      <c r="H15" s="198">
        <f>SUM('Sch J-1'!Q22,'Sch J-1'!Q24)*H7*('Rev Conversion Factor - SCH H'!C24+('Rev Conversion Factor - SCH H'!D18-'Rev Conversion Factor - SCH H'!C24)*'Rev Conversion Factor - SCH H'!C27)</f>
        <v>954180.64695905719</v>
      </c>
      <c r="I15" s="207"/>
      <c r="J15" s="207"/>
      <c r="K15" s="207">
        <f t="shared" si="0"/>
        <v>8877939.1726502124</v>
      </c>
      <c r="N15" s="163"/>
      <c r="Q15" s="2"/>
      <c r="T15" s="2"/>
    </row>
    <row r="16" spans="1:20" x14ac:dyDescent="0.25">
      <c r="B16" s="7" t="s">
        <v>211</v>
      </c>
      <c r="C16" s="6"/>
      <c r="D16" s="6"/>
      <c r="E16" s="244">
        <f>SUM(E9:E15)</f>
        <v>142265127.023296</v>
      </c>
      <c r="F16" s="248" t="s">
        <v>408</v>
      </c>
      <c r="G16" s="242"/>
      <c r="H16" s="244">
        <f ca="1">SUM(H9:H15)</f>
        <v>8361291.8531473912</v>
      </c>
      <c r="I16" s="248" t="s">
        <v>412</v>
      </c>
      <c r="J16" s="242"/>
      <c r="K16" s="244">
        <f t="shared" ca="1" si="0"/>
        <v>133903835.17014861</v>
      </c>
      <c r="L16" s="245" t="s">
        <v>416</v>
      </c>
      <c r="N16" s="163"/>
      <c r="Q16" s="2"/>
      <c r="T16" s="2"/>
    </row>
    <row r="17" spans="1:20" x14ac:dyDescent="0.25">
      <c r="A17" s="8"/>
      <c r="B17" t="s">
        <v>212</v>
      </c>
      <c r="E17" s="198">
        <f>-'Sch M1'!H38</f>
        <v>-2694212.813333333</v>
      </c>
      <c r="F17" s="245" t="s">
        <v>409</v>
      </c>
      <c r="G17" s="207"/>
      <c r="H17" s="198">
        <v>0</v>
      </c>
      <c r="I17" s="245" t="s">
        <v>413</v>
      </c>
      <c r="J17" s="207"/>
      <c r="K17" s="207">
        <f t="shared" si="0"/>
        <v>-2694212.813333333</v>
      </c>
      <c r="L17" s="245" t="s">
        <v>417</v>
      </c>
      <c r="N17" s="163"/>
      <c r="Q17" s="2"/>
      <c r="T17" s="2"/>
    </row>
    <row r="18" spans="1:20" x14ac:dyDescent="0.25">
      <c r="B18" s="190" t="s">
        <v>0</v>
      </c>
      <c r="E18" s="198">
        <f>'Sch M1'!H41-'PSC 3-1, part a'!E16</f>
        <v>-1672091.209962666</v>
      </c>
      <c r="F18" s="245" t="s">
        <v>410</v>
      </c>
      <c r="G18" s="207"/>
      <c r="H18" s="198">
        <v>0</v>
      </c>
      <c r="I18" s="245" t="s">
        <v>414</v>
      </c>
      <c r="J18" s="207"/>
      <c r="K18" s="207">
        <f t="shared" si="0"/>
        <v>-1672091.209962666</v>
      </c>
      <c r="L18" s="245" t="s">
        <v>418</v>
      </c>
      <c r="N18" s="163"/>
      <c r="Q18" s="2"/>
      <c r="T18" s="2"/>
    </row>
    <row r="19" spans="1:20" x14ac:dyDescent="0.25">
      <c r="B19" s="7" t="s">
        <v>213</v>
      </c>
      <c r="C19" s="6"/>
      <c r="D19" s="6"/>
      <c r="E19" s="244">
        <f>SUM(E16:E18)</f>
        <v>137898823</v>
      </c>
      <c r="F19" s="248" t="s">
        <v>411</v>
      </c>
      <c r="G19" s="242"/>
      <c r="H19" s="244">
        <f ca="1">SUM(H16:H18)</f>
        <v>8361291.8531473912</v>
      </c>
      <c r="I19" s="248" t="s">
        <v>415</v>
      </c>
      <c r="J19" s="242"/>
      <c r="K19" s="244">
        <f t="shared" ca="1" si="0"/>
        <v>129537531.14685261</v>
      </c>
      <c r="L19" s="245" t="s">
        <v>419</v>
      </c>
      <c r="N19" s="163"/>
      <c r="Q19" s="2"/>
      <c r="T19" s="2"/>
    </row>
    <row r="20" spans="1:20" x14ac:dyDescent="0.25">
      <c r="B20" s="162" t="s">
        <v>187</v>
      </c>
      <c r="E20" s="163">
        <f>'Sch M1'!H24-E19</f>
        <v>0</v>
      </c>
      <c r="H20" s="2"/>
      <c r="K20" s="2"/>
      <c r="N20" s="163"/>
      <c r="Q20" s="2"/>
      <c r="T20" s="2"/>
    </row>
    <row r="21" spans="1:20" x14ac:dyDescent="0.25">
      <c r="B21" s="245" t="s">
        <v>403</v>
      </c>
      <c r="C21" s="246"/>
      <c r="D21" s="246"/>
      <c r="E21" s="246"/>
      <c r="F21" s="246"/>
      <c r="G21" s="246"/>
      <c r="H21" s="246"/>
      <c r="I21" s="246"/>
      <c r="J21" s="246"/>
      <c r="K21" s="246"/>
      <c r="N21" s="163"/>
      <c r="Q21" s="2"/>
      <c r="T21" s="2"/>
    </row>
    <row r="22" spans="1:20" x14ac:dyDescent="0.25">
      <c r="B22" s="246" t="s">
        <v>213</v>
      </c>
      <c r="C22" s="246"/>
      <c r="D22" s="246"/>
      <c r="E22" s="250">
        <f>'PSC RR 1-1, Sch M2-M3'!Q25</f>
        <v>112035654</v>
      </c>
      <c r="F22" s="250"/>
      <c r="G22" s="250"/>
      <c r="H22" s="250">
        <f>'PSC RR 1-1, Sch M2-M3'!Q82+'PSC RR 1-1, Sch M2-M3'!Q124+'PSC RR 1-1, Sch M2-M3'!Q166+'PSC RR 1-1, Sch M2-M3'!Q208+'PSC RR 1-1, Sch M2-M3'!Q252+'PSC RR 1-1, Sch M2-M3'!Q292+'PSC RR 1-1, Sch M2-M3'!Q335+'PSC RR 1-1, Sch M2-M3'!Q345</f>
        <v>9851113.0899999999</v>
      </c>
      <c r="I22" s="250"/>
      <c r="J22" s="250"/>
      <c r="K22" s="250">
        <f t="shared" ref="K22:K24" si="1">E22-H22</f>
        <v>102184540.91</v>
      </c>
      <c r="N22" s="163"/>
      <c r="Q22" s="2"/>
      <c r="T22" s="2"/>
    </row>
    <row r="23" spans="1:20" x14ac:dyDescent="0.25">
      <c r="B23" s="246" t="s">
        <v>320</v>
      </c>
      <c r="C23" s="246"/>
      <c r="D23" s="246"/>
      <c r="E23" s="247">
        <f>'PSC RR 1-1, Sch M2-M3'!Q39</f>
        <v>2505392.1761519765</v>
      </c>
      <c r="F23" s="247"/>
      <c r="G23" s="247"/>
      <c r="H23" s="247">
        <v>0</v>
      </c>
      <c r="I23" s="247"/>
      <c r="J23" s="247"/>
      <c r="K23" s="247">
        <f t="shared" si="1"/>
        <v>2505392.1761519765</v>
      </c>
      <c r="N23" s="163"/>
      <c r="Q23" s="2"/>
      <c r="T23" s="2"/>
    </row>
    <row r="24" spans="1:20" x14ac:dyDescent="0.25">
      <c r="B24" s="246" t="s">
        <v>0</v>
      </c>
      <c r="C24" s="246"/>
      <c r="D24" s="246"/>
      <c r="E24" s="247">
        <f>-E18</f>
        <v>1672091.209962666</v>
      </c>
      <c r="F24" s="247"/>
      <c r="G24" s="247"/>
      <c r="H24" s="247">
        <v>0</v>
      </c>
      <c r="I24" s="247"/>
      <c r="J24" s="247"/>
      <c r="K24" s="247">
        <f t="shared" si="1"/>
        <v>1672091.209962666</v>
      </c>
      <c r="N24" s="163"/>
      <c r="Q24" s="2"/>
      <c r="T24" s="2"/>
    </row>
    <row r="25" spans="1:20" x14ac:dyDescent="0.25">
      <c r="B25" s="248" t="s">
        <v>321</v>
      </c>
      <c r="C25" s="248"/>
      <c r="D25" s="248"/>
      <c r="E25" s="251">
        <f>SUM(E22:E24)</f>
        <v>116213137.38611464</v>
      </c>
      <c r="F25" s="251"/>
      <c r="G25" s="251"/>
      <c r="H25" s="251">
        <f>SUM(H22:H24)</f>
        <v>9851113.0899999999</v>
      </c>
      <c r="I25" s="251"/>
      <c r="J25" s="251"/>
      <c r="K25" s="251">
        <f>SUM(K22:K24)</f>
        <v>106362024.29611464</v>
      </c>
      <c r="N25" s="163"/>
      <c r="Q25" s="2"/>
      <c r="T25" s="2"/>
    </row>
    <row r="26" spans="1:20" x14ac:dyDescent="0.25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N26" s="163"/>
      <c r="Q26" s="2"/>
      <c r="T26" s="2"/>
    </row>
    <row r="27" spans="1:20" x14ac:dyDescent="0.25">
      <c r="B27" s="245" t="s">
        <v>404</v>
      </c>
      <c r="C27" s="246"/>
      <c r="D27" s="246"/>
      <c r="E27" s="246"/>
      <c r="F27" s="246"/>
      <c r="G27" s="246"/>
      <c r="H27" s="246"/>
      <c r="I27" s="246"/>
      <c r="J27" s="246"/>
      <c r="K27" s="246"/>
      <c r="N27" s="163"/>
      <c r="Q27" s="2"/>
      <c r="T27" s="2"/>
    </row>
    <row r="28" spans="1:20" x14ac:dyDescent="0.25">
      <c r="B28" s="246" t="s">
        <v>213</v>
      </c>
      <c r="C28" s="246"/>
      <c r="D28" s="246"/>
      <c r="E28" s="250">
        <f>E19-E22</f>
        <v>25863169</v>
      </c>
      <c r="F28" s="250"/>
      <c r="G28" s="250"/>
      <c r="H28" s="250">
        <f ca="1">H19-H22</f>
        <v>-1489821.2368526086</v>
      </c>
      <c r="I28" s="250"/>
      <c r="J28" s="250"/>
      <c r="K28" s="250">
        <f ca="1">K19-K22</f>
        <v>27352990.236852616</v>
      </c>
      <c r="N28" s="163"/>
      <c r="Q28" s="2"/>
      <c r="T28" s="2"/>
    </row>
    <row r="29" spans="1:20" x14ac:dyDescent="0.25">
      <c r="B29" s="246" t="s">
        <v>320</v>
      </c>
      <c r="C29" s="246"/>
      <c r="D29" s="246"/>
      <c r="E29" s="247">
        <f>-E17-E23</f>
        <v>188820.63718135655</v>
      </c>
      <c r="F29" s="247"/>
      <c r="G29" s="247"/>
      <c r="H29" s="247">
        <f>-H17-H23</f>
        <v>0</v>
      </c>
      <c r="I29" s="247"/>
      <c r="J29" s="247"/>
      <c r="K29" s="247">
        <f>-K17-K23</f>
        <v>188820.63718135655</v>
      </c>
      <c r="N29" s="163"/>
      <c r="Q29" s="2"/>
      <c r="T29" s="2"/>
    </row>
    <row r="30" spans="1:20" x14ac:dyDescent="0.25">
      <c r="B30" s="246" t="s">
        <v>0</v>
      </c>
      <c r="C30" s="246"/>
      <c r="D30" s="246"/>
      <c r="E30" s="247">
        <f>-E18-E24</f>
        <v>0</v>
      </c>
      <c r="F30" s="247"/>
      <c r="G30" s="247"/>
      <c r="H30" s="247">
        <f>-H18-H24</f>
        <v>0</v>
      </c>
      <c r="I30" s="247"/>
      <c r="J30" s="247"/>
      <c r="K30" s="247">
        <f>-K18-K24</f>
        <v>0</v>
      </c>
      <c r="N30" s="163"/>
      <c r="Q30" s="2"/>
      <c r="T30" s="2"/>
    </row>
    <row r="31" spans="1:20" x14ac:dyDescent="0.25">
      <c r="B31" s="248" t="s">
        <v>321</v>
      </c>
      <c r="C31" s="248"/>
      <c r="D31" s="248"/>
      <c r="E31" s="251">
        <f>SUM(E28:E30)</f>
        <v>26051989.637181357</v>
      </c>
      <c r="F31" s="251"/>
      <c r="G31" s="251"/>
      <c r="H31" s="251">
        <f ca="1">SUM(H28:H30)</f>
        <v>-1489821.2368526086</v>
      </c>
      <c r="I31" s="251"/>
      <c r="J31" s="251"/>
      <c r="K31" s="251">
        <f ca="1">SUM(K28:K30)</f>
        <v>27541810.874033973</v>
      </c>
      <c r="N31" s="163"/>
      <c r="Q31" s="2"/>
      <c r="T31" s="2"/>
    </row>
    <row r="32" spans="1:20" x14ac:dyDescent="0.25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N32" s="163"/>
      <c r="Q32" s="2"/>
      <c r="T32" s="2"/>
    </row>
    <row r="33" spans="2:20" x14ac:dyDescent="0.25">
      <c r="B33" s="245" t="s">
        <v>405</v>
      </c>
      <c r="C33" s="246"/>
      <c r="D33" s="246"/>
      <c r="E33" s="246"/>
      <c r="F33" s="246"/>
      <c r="G33" s="246"/>
      <c r="H33" s="246"/>
      <c r="I33" s="246"/>
      <c r="J33" s="246"/>
      <c r="K33" s="246"/>
      <c r="N33" s="163"/>
      <c r="Q33" s="2"/>
      <c r="T33" s="2"/>
    </row>
    <row r="34" spans="2:20" x14ac:dyDescent="0.25">
      <c r="B34" s="246" t="s">
        <v>213</v>
      </c>
      <c r="C34" s="246"/>
      <c r="D34" s="315" t="s">
        <v>411</v>
      </c>
      <c r="E34" s="250">
        <f>E22+E28</f>
        <v>137898823</v>
      </c>
      <c r="F34" s="245"/>
      <c r="G34" s="315" t="s">
        <v>415</v>
      </c>
      <c r="H34" s="250">
        <f ca="1">H22+H28</f>
        <v>8361291.8531473912</v>
      </c>
      <c r="I34" s="250"/>
      <c r="J34" s="315" t="s">
        <v>419</v>
      </c>
      <c r="K34" s="250">
        <f ca="1">K22+K28</f>
        <v>129537531.14685261</v>
      </c>
      <c r="N34" s="163"/>
      <c r="Q34" s="2"/>
      <c r="T34" s="2"/>
    </row>
    <row r="35" spans="2:20" x14ac:dyDescent="0.25">
      <c r="B35" s="246" t="s">
        <v>320</v>
      </c>
      <c r="C35" s="246"/>
      <c r="D35" s="315" t="s">
        <v>409</v>
      </c>
      <c r="E35" s="247">
        <f>E23+E29</f>
        <v>2694212.813333333</v>
      </c>
      <c r="F35" s="245"/>
      <c r="G35" s="315" t="s">
        <v>413</v>
      </c>
      <c r="H35" s="247">
        <f>H23+H29</f>
        <v>0</v>
      </c>
      <c r="I35" s="247"/>
      <c r="J35" s="315" t="s">
        <v>417</v>
      </c>
      <c r="K35" s="247">
        <f>K23+K29</f>
        <v>2694212.813333333</v>
      </c>
      <c r="N35" s="163"/>
      <c r="Q35" s="2"/>
      <c r="T35" s="2"/>
    </row>
    <row r="36" spans="2:20" x14ac:dyDescent="0.25">
      <c r="B36" s="246" t="s">
        <v>0</v>
      </c>
      <c r="C36" s="246"/>
      <c r="D36" s="315" t="s">
        <v>410</v>
      </c>
      <c r="E36" s="247">
        <f>E24+E30</f>
        <v>1672091.209962666</v>
      </c>
      <c r="F36" s="245"/>
      <c r="G36" s="315" t="s">
        <v>414</v>
      </c>
      <c r="H36" s="247">
        <f>H24+H30</f>
        <v>0</v>
      </c>
      <c r="I36" s="247"/>
      <c r="J36" s="315" t="s">
        <v>418</v>
      </c>
      <c r="K36" s="247">
        <f>K24+K30</f>
        <v>1672091.209962666</v>
      </c>
      <c r="N36" s="163"/>
      <c r="Q36" s="2"/>
      <c r="T36" s="2"/>
    </row>
    <row r="37" spans="2:20" x14ac:dyDescent="0.25">
      <c r="B37" s="248" t="s">
        <v>321</v>
      </c>
      <c r="C37" s="248"/>
      <c r="D37" s="316" t="s">
        <v>408</v>
      </c>
      <c r="E37" s="251">
        <f>SUM(E34:E36)</f>
        <v>142265127.023296</v>
      </c>
      <c r="F37" s="248"/>
      <c r="G37" s="316" t="s">
        <v>412</v>
      </c>
      <c r="H37" s="251">
        <f ca="1">SUM(H34:H36)</f>
        <v>8361291.8531473912</v>
      </c>
      <c r="I37" s="251"/>
      <c r="J37" s="316" t="s">
        <v>416</v>
      </c>
      <c r="K37" s="251">
        <f ca="1">SUM(K34:K36)</f>
        <v>133903835.17014861</v>
      </c>
      <c r="N37" s="163"/>
      <c r="Q37" s="2"/>
      <c r="T37" s="2"/>
    </row>
    <row r="38" spans="2:20" x14ac:dyDescent="0.25">
      <c r="N38" s="163"/>
      <c r="Q38" s="2"/>
      <c r="T38" s="2"/>
    </row>
  </sheetData>
  <pageMargins left="0.7" right="0.7" top="0.75" bottom="0.75" header="0.3" footer="0.3"/>
  <pageSetup scale="9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8493-6FC4-4228-871F-9A191FD1B92F}">
  <sheetPr>
    <tabColor rgb="FFFFFF00"/>
  </sheetPr>
  <dimension ref="A1:AD356"/>
  <sheetViews>
    <sheetView zoomScale="80" zoomScaleNormal="80" workbookViewId="0">
      <selection sqref="A1:Z1"/>
    </sheetView>
  </sheetViews>
  <sheetFormatPr defaultColWidth="14.7109375" defaultRowHeight="15" x14ac:dyDescent="0.25"/>
  <cols>
    <col min="1" max="1" width="5.7109375" style="253" customWidth="1"/>
    <col min="2" max="2" width="15.140625" style="253" customWidth="1"/>
    <col min="3" max="3" width="1.7109375" style="253" customWidth="1"/>
    <col min="4" max="4" width="10.5703125" style="253" bestFit="1" customWidth="1"/>
    <col min="5" max="5" width="13" style="253" customWidth="1"/>
    <col min="6" max="6" width="11.7109375" style="253" customWidth="1"/>
    <col min="7" max="7" width="14.42578125" style="253" bestFit="1" customWidth="1"/>
    <col min="8" max="8" width="1.7109375" style="253" customWidth="1"/>
    <col min="9" max="9" width="10.5703125" style="253" bestFit="1" customWidth="1"/>
    <col min="10" max="10" width="13.140625" style="253" bestFit="1" customWidth="1"/>
    <col min="11" max="11" width="11.7109375" style="253" customWidth="1"/>
    <col min="12" max="12" width="13.5703125" style="253" customWidth="1"/>
    <col min="13" max="13" width="1.7109375" style="253" customWidth="1"/>
    <col min="14" max="14" width="10.5703125" style="253" bestFit="1" customWidth="1"/>
    <col min="15" max="15" width="13.140625" style="253" bestFit="1" customWidth="1"/>
    <col min="16" max="16" width="11.7109375" style="253" customWidth="1"/>
    <col min="17" max="17" width="13.7109375" style="253" bestFit="1" customWidth="1"/>
    <col min="18" max="18" width="1.7109375" style="253" customWidth="1"/>
    <col min="19" max="19" width="12.7109375" style="253" bestFit="1" customWidth="1"/>
    <col min="20" max="20" width="13.140625" style="253" bestFit="1" customWidth="1"/>
    <col min="21" max="21" width="11.7109375" style="253" customWidth="1"/>
    <col min="22" max="22" width="13.7109375" style="253" bestFit="1" customWidth="1"/>
    <col min="23" max="23" width="1.7109375" style="253" customWidth="1"/>
    <col min="24" max="24" width="12.28515625" style="253" bestFit="1" customWidth="1"/>
    <col min="25" max="25" width="1.7109375" style="253" customWidth="1"/>
    <col min="26" max="26" width="10.85546875" style="253" customWidth="1"/>
    <col min="27" max="16384" width="14.7109375" style="253"/>
  </cols>
  <sheetData>
    <row r="1" spans="1:26" x14ac:dyDescent="0.25">
      <c r="A1" s="319" t="s">
        <v>224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</row>
    <row r="2" spans="1:26" x14ac:dyDescent="0.25">
      <c r="A2" s="321" t="s">
        <v>323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</row>
    <row r="3" spans="1:26" x14ac:dyDescent="0.25">
      <c r="A3" s="319" t="s">
        <v>401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</row>
    <row r="4" spans="1:26" x14ac:dyDescent="0.25">
      <c r="A4" s="319" t="s">
        <v>402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</row>
    <row r="5" spans="1:26" x14ac:dyDescent="0.25">
      <c r="A5" s="254"/>
      <c r="I5" s="319" t="s">
        <v>324</v>
      </c>
      <c r="J5" s="319"/>
      <c r="K5" s="319"/>
      <c r="L5" s="319"/>
      <c r="M5" s="319"/>
      <c r="N5" s="319"/>
      <c r="O5" s="319"/>
      <c r="P5" s="319"/>
      <c r="Q5" s="319"/>
    </row>
    <row r="6" spans="1:26" x14ac:dyDescent="0.25">
      <c r="A6" s="254"/>
      <c r="I6" s="252"/>
      <c r="J6" s="252"/>
      <c r="K6" s="252"/>
      <c r="L6" s="252"/>
      <c r="M6" s="252"/>
      <c r="N6" s="252"/>
      <c r="O6" s="252"/>
      <c r="P6" s="252"/>
      <c r="Q6" s="252"/>
      <c r="Z6" s="255" t="s">
        <v>325</v>
      </c>
    </row>
    <row r="7" spans="1:26" x14ac:dyDescent="0.25">
      <c r="A7" s="254"/>
      <c r="I7" s="252"/>
      <c r="J7" s="252"/>
      <c r="K7" s="252"/>
      <c r="L7" s="252"/>
      <c r="M7" s="252"/>
      <c r="N7" s="252"/>
      <c r="O7" s="252"/>
      <c r="P7" s="252"/>
      <c r="Q7" s="252"/>
      <c r="Z7" s="255" t="s">
        <v>115</v>
      </c>
    </row>
    <row r="8" spans="1:26" x14ac:dyDescent="0.25">
      <c r="A8" s="254"/>
      <c r="I8" s="252"/>
      <c r="J8" s="252"/>
      <c r="K8" s="252"/>
      <c r="L8" s="252"/>
      <c r="M8" s="252"/>
      <c r="N8" s="252"/>
      <c r="O8" s="252"/>
      <c r="P8" s="252"/>
      <c r="Q8" s="252"/>
      <c r="X8" s="256"/>
      <c r="Y8" s="256"/>
      <c r="Z8" s="314" t="s">
        <v>407</v>
      </c>
    </row>
    <row r="9" spans="1:26" x14ac:dyDescent="0.25">
      <c r="A9" s="257"/>
      <c r="B9" s="258"/>
      <c r="C9" s="259"/>
      <c r="D9" s="260"/>
      <c r="E9" s="258"/>
      <c r="F9" s="261"/>
      <c r="G9" s="259"/>
      <c r="H9" s="259"/>
      <c r="I9" s="259"/>
      <c r="J9" s="259"/>
      <c r="K9" s="259"/>
      <c r="L9" s="259"/>
      <c r="M9" s="259"/>
      <c r="N9" s="259"/>
      <c r="O9" s="258"/>
      <c r="P9" s="261"/>
      <c r="Q9" s="259"/>
      <c r="R9" s="259"/>
      <c r="S9" s="259"/>
      <c r="T9" s="260"/>
      <c r="U9" s="261"/>
      <c r="V9" s="260"/>
      <c r="W9" s="260"/>
      <c r="X9" s="262"/>
      <c r="Y9" s="260"/>
      <c r="Z9" s="263"/>
    </row>
    <row r="10" spans="1:26" x14ac:dyDescent="0.25">
      <c r="C10" s="264"/>
      <c r="E10" s="320" t="s">
        <v>326</v>
      </c>
      <c r="F10" s="320"/>
      <c r="G10" s="320"/>
      <c r="H10" s="264"/>
      <c r="I10" s="264"/>
      <c r="J10" s="320" t="s">
        <v>327</v>
      </c>
      <c r="K10" s="320"/>
      <c r="L10" s="320"/>
      <c r="M10" s="264"/>
      <c r="O10" s="320" t="s">
        <v>328</v>
      </c>
      <c r="P10" s="320"/>
      <c r="Q10" s="320"/>
      <c r="R10" s="264"/>
      <c r="T10" s="320" t="s">
        <v>329</v>
      </c>
      <c r="U10" s="320"/>
      <c r="V10" s="320"/>
      <c r="X10" s="265"/>
    </row>
    <row r="11" spans="1:26" x14ac:dyDescent="0.25">
      <c r="C11" s="264"/>
      <c r="E11" s="264"/>
      <c r="F11" s="264"/>
      <c r="G11" s="264"/>
      <c r="H11" s="264"/>
      <c r="I11" s="264"/>
      <c r="J11" s="264"/>
      <c r="K11" s="264"/>
      <c r="L11" s="264"/>
      <c r="M11" s="264"/>
      <c r="O11" s="264"/>
      <c r="P11" s="264"/>
      <c r="Q11" s="264"/>
      <c r="R11" s="264"/>
      <c r="T11" s="264"/>
      <c r="U11" s="264"/>
      <c r="V11" s="264"/>
      <c r="X11" s="264"/>
    </row>
    <row r="12" spans="1:26" x14ac:dyDescent="0.25">
      <c r="B12" s="264" t="s">
        <v>330</v>
      </c>
      <c r="C12" s="264"/>
      <c r="E12" s="264" t="s">
        <v>331</v>
      </c>
      <c r="F12" s="264"/>
      <c r="G12" s="264" t="s">
        <v>19</v>
      </c>
      <c r="H12" s="264"/>
      <c r="I12" s="264"/>
      <c r="J12" s="264" t="s">
        <v>331</v>
      </c>
      <c r="K12" s="264"/>
      <c r="L12" s="264" t="s">
        <v>19</v>
      </c>
      <c r="M12" s="264"/>
      <c r="N12" s="264"/>
      <c r="O12" s="264" t="s">
        <v>331</v>
      </c>
      <c r="P12" s="264"/>
      <c r="Q12" s="264" t="s">
        <v>19</v>
      </c>
      <c r="R12" s="264"/>
      <c r="S12" s="264"/>
      <c r="T12" s="264" t="s">
        <v>331</v>
      </c>
      <c r="U12" s="264"/>
      <c r="V12" s="264" t="s">
        <v>19</v>
      </c>
      <c r="W12" s="264"/>
      <c r="X12" s="264" t="s">
        <v>332</v>
      </c>
      <c r="Z12" s="264" t="s">
        <v>333</v>
      </c>
    </row>
    <row r="13" spans="1:26" x14ac:dyDescent="0.25">
      <c r="A13" s="264" t="s">
        <v>57</v>
      </c>
      <c r="B13" s="257" t="s">
        <v>21</v>
      </c>
      <c r="C13" s="264"/>
      <c r="E13" s="257" t="s">
        <v>334</v>
      </c>
      <c r="F13" s="257"/>
      <c r="G13" s="257" t="s">
        <v>91</v>
      </c>
      <c r="H13" s="264"/>
      <c r="I13" s="264"/>
      <c r="J13" s="257" t="s">
        <v>334</v>
      </c>
      <c r="K13" s="257"/>
      <c r="L13" s="257" t="s">
        <v>91</v>
      </c>
      <c r="M13" s="264"/>
      <c r="N13" s="264"/>
      <c r="O13" s="257" t="s">
        <v>334</v>
      </c>
      <c r="P13" s="257"/>
      <c r="Q13" s="257" t="s">
        <v>91</v>
      </c>
      <c r="R13" s="264"/>
      <c r="S13" s="264"/>
      <c r="T13" s="257" t="str">
        <f>O13</f>
        <v>(000 Gal)</v>
      </c>
      <c r="U13" s="257"/>
      <c r="V13" s="257" t="s">
        <v>91</v>
      </c>
      <c r="W13" s="264"/>
      <c r="X13" s="257" t="s">
        <v>335</v>
      </c>
      <c r="Y13" s="258"/>
      <c r="Z13" s="257" t="s">
        <v>335</v>
      </c>
    </row>
    <row r="14" spans="1:26" x14ac:dyDescent="0.25">
      <c r="A14" s="264">
        <v>1</v>
      </c>
      <c r="B14" s="254" t="s">
        <v>336</v>
      </c>
      <c r="C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Z14" s="264"/>
    </row>
    <row r="15" spans="1:26" x14ac:dyDescent="0.25">
      <c r="A15" s="264">
        <v>2</v>
      </c>
      <c r="B15" s="266"/>
    </row>
    <row r="16" spans="1:26" x14ac:dyDescent="0.25">
      <c r="A16" s="264">
        <v>3</v>
      </c>
      <c r="B16" s="253" t="s">
        <v>156</v>
      </c>
      <c r="C16" s="267"/>
      <c r="D16" s="268"/>
      <c r="E16" s="268">
        <f>+E86</f>
        <v>6033379.921896995</v>
      </c>
      <c r="F16" s="268"/>
      <c r="G16" s="267">
        <f>ROUND(+G86,0)</f>
        <v>61416885</v>
      </c>
      <c r="H16" s="267"/>
      <c r="I16" s="267"/>
      <c r="J16" s="268">
        <f>+J86</f>
        <v>6033379.921896995</v>
      </c>
      <c r="K16" s="268"/>
      <c r="L16" s="267">
        <f>ROUND(+L86,0)</f>
        <v>78484894</v>
      </c>
      <c r="M16" s="267"/>
      <c r="N16" s="267"/>
      <c r="O16" s="268">
        <f>+O86</f>
        <v>5748449.2500000009</v>
      </c>
      <c r="P16" s="268"/>
      <c r="Q16" s="267">
        <f>ROUND(+Q86,0)</f>
        <v>61978034</v>
      </c>
      <c r="R16" s="267"/>
      <c r="S16" s="268"/>
      <c r="T16" s="268">
        <f>+T86</f>
        <v>5748449.2500000009</v>
      </c>
      <c r="U16" s="268"/>
      <c r="V16" s="267">
        <f>ROUND(+V86,0)</f>
        <v>76108081</v>
      </c>
      <c r="W16" s="267"/>
      <c r="X16" s="267">
        <f>+V16-Q16</f>
        <v>14130047</v>
      </c>
      <c r="Y16" s="269"/>
      <c r="Z16" s="270">
        <f t="shared" ref="Z16:Z22" si="0">IF(Q16=0,0,ROUND((X16/Q16),4))</f>
        <v>0.22800000000000001</v>
      </c>
    </row>
    <row r="17" spans="1:28" x14ac:dyDescent="0.25">
      <c r="A17" s="264">
        <v>4</v>
      </c>
      <c r="B17" s="253" t="s">
        <v>157</v>
      </c>
      <c r="C17" s="268"/>
      <c r="D17" s="268"/>
      <c r="E17" s="268">
        <f>+E128</f>
        <v>4175826.0917406371</v>
      </c>
      <c r="F17" s="268"/>
      <c r="G17" s="268">
        <f>ROUND(+G128,0)</f>
        <v>29059208</v>
      </c>
      <c r="H17" s="268"/>
      <c r="I17" s="268"/>
      <c r="J17" s="268">
        <f>+J128</f>
        <v>4175826.0917406371</v>
      </c>
      <c r="K17" s="268"/>
      <c r="L17" s="268">
        <f>ROUND(+L128,0)</f>
        <v>37244321</v>
      </c>
      <c r="M17" s="268"/>
      <c r="N17" s="268"/>
      <c r="O17" s="268">
        <f>+O128</f>
        <v>4111315.8800000004</v>
      </c>
      <c r="P17" s="268"/>
      <c r="Q17" s="268">
        <f>ROUND(+Q128,0)</f>
        <v>29876720</v>
      </c>
      <c r="R17" s="268"/>
      <c r="S17" s="268"/>
      <c r="T17" s="268">
        <f>+T128</f>
        <v>4111315.8800000004</v>
      </c>
      <c r="U17" s="268"/>
      <c r="V17" s="268">
        <f>ROUND(+V128,0)</f>
        <v>36863228</v>
      </c>
      <c r="W17" s="268"/>
      <c r="X17" s="268">
        <f t="shared" ref="X17:X22" si="1">+V17-Q17</f>
        <v>6986508</v>
      </c>
      <c r="Y17" s="269"/>
      <c r="Z17" s="270">
        <f t="shared" si="0"/>
        <v>0.23380000000000001</v>
      </c>
    </row>
    <row r="18" spans="1:28" x14ac:dyDescent="0.25">
      <c r="A18" s="264">
        <v>5</v>
      </c>
      <c r="B18" s="253" t="s">
        <v>158</v>
      </c>
      <c r="C18" s="268"/>
      <c r="D18" s="268"/>
      <c r="E18" s="268">
        <f>+E170</f>
        <v>570014.38900000008</v>
      </c>
      <c r="F18" s="268"/>
      <c r="G18" s="268">
        <f>ROUND(+G170,0)</f>
        <v>2767939</v>
      </c>
      <c r="H18" s="268"/>
      <c r="I18" s="268"/>
      <c r="J18" s="268">
        <f>+J170</f>
        <v>570014.38900000008</v>
      </c>
      <c r="K18" s="268"/>
      <c r="L18" s="268">
        <f>ROUND(+L170,0)</f>
        <v>3557022</v>
      </c>
      <c r="M18" s="268"/>
      <c r="N18" s="268"/>
      <c r="O18" s="268">
        <f>+O170</f>
        <v>571807.07000000007</v>
      </c>
      <c r="P18" s="268"/>
      <c r="Q18" s="268">
        <f>ROUND(+Q170,0)</f>
        <v>2876520</v>
      </c>
      <c r="R18" s="268"/>
      <c r="S18" s="268"/>
      <c r="T18" s="268">
        <f>+T170</f>
        <v>571807.07000000007</v>
      </c>
      <c r="U18" s="268"/>
      <c r="V18" s="268">
        <f>ROUND(+V170,0)</f>
        <v>3560354</v>
      </c>
      <c r="W18" s="268"/>
      <c r="X18" s="268">
        <f t="shared" si="1"/>
        <v>683834</v>
      </c>
      <c r="Y18" s="269"/>
      <c r="Z18" s="270">
        <f t="shared" si="0"/>
        <v>0.23769999999999999</v>
      </c>
    </row>
    <row r="19" spans="1:28" x14ac:dyDescent="0.25">
      <c r="A19" s="264">
        <v>6</v>
      </c>
      <c r="B19" s="253" t="s">
        <v>337</v>
      </c>
      <c r="C19" s="268"/>
      <c r="D19" s="268"/>
      <c r="E19" s="268">
        <f>+E212</f>
        <v>1204998.791</v>
      </c>
      <c r="F19" s="268"/>
      <c r="G19" s="268">
        <f>ROUND(+G212,0)</f>
        <v>7207271</v>
      </c>
      <c r="H19" s="268"/>
      <c r="I19" s="268"/>
      <c r="J19" s="268">
        <f>+J212</f>
        <v>1204998.791</v>
      </c>
      <c r="K19" s="268"/>
      <c r="L19" s="268">
        <f>ROUND(+L212,0)</f>
        <v>9244699</v>
      </c>
      <c r="M19" s="268"/>
      <c r="N19" s="268"/>
      <c r="O19" s="268">
        <f>+O212</f>
        <v>1209547.46</v>
      </c>
      <c r="P19" s="268"/>
      <c r="Q19" s="268">
        <f>ROUND(+Q212,0)</f>
        <v>7475823</v>
      </c>
      <c r="R19" s="268"/>
      <c r="S19" s="268"/>
      <c r="T19" s="268">
        <f>+T212</f>
        <v>1209547.46</v>
      </c>
      <c r="U19" s="268"/>
      <c r="V19" s="268">
        <f>ROUND(+V212,0)</f>
        <v>9236167</v>
      </c>
      <c r="W19" s="268"/>
      <c r="X19" s="268">
        <f t="shared" si="1"/>
        <v>1760344</v>
      </c>
      <c r="Y19" s="269"/>
      <c r="Z19" s="270">
        <f t="shared" si="0"/>
        <v>0.23549999999999999</v>
      </c>
    </row>
    <row r="20" spans="1:28" x14ac:dyDescent="0.25">
      <c r="A20" s="264">
        <v>7</v>
      </c>
      <c r="B20" s="253" t="s">
        <v>338</v>
      </c>
      <c r="C20" s="268"/>
      <c r="D20" s="268"/>
      <c r="E20" s="268">
        <f>+E254</f>
        <v>299791.57590637601</v>
      </c>
      <c r="F20" s="268"/>
      <c r="G20" s="268">
        <f>ROUND(+G254,0)</f>
        <v>1374712</v>
      </c>
      <c r="H20" s="268"/>
      <c r="I20" s="268"/>
      <c r="J20" s="268">
        <f>+J254</f>
        <v>299791.57590637601</v>
      </c>
      <c r="K20" s="268"/>
      <c r="L20" s="268">
        <f>ROUND(+L254,0)</f>
        <v>1732607</v>
      </c>
      <c r="M20" s="268"/>
      <c r="N20" s="268"/>
      <c r="O20" s="268">
        <f>+O254</f>
        <v>269884.87599999993</v>
      </c>
      <c r="P20" s="268"/>
      <c r="Q20" s="268">
        <f>ROUND(+Q254,0)</f>
        <v>1282287</v>
      </c>
      <c r="R20" s="268"/>
      <c r="S20" s="268"/>
      <c r="T20" s="268">
        <f>+T254</f>
        <v>269884.87599999993</v>
      </c>
      <c r="U20" s="268"/>
      <c r="V20" s="268">
        <f>ROUND(+V254,0)</f>
        <v>1549304</v>
      </c>
      <c r="W20" s="268"/>
      <c r="X20" s="268">
        <f t="shared" si="1"/>
        <v>267017</v>
      </c>
      <c r="Y20" s="269"/>
      <c r="Z20" s="270">
        <f t="shared" si="0"/>
        <v>0.2082</v>
      </c>
    </row>
    <row r="21" spans="1:28" x14ac:dyDescent="0.25">
      <c r="A21" s="264">
        <v>8</v>
      </c>
      <c r="B21" s="253" t="s">
        <v>339</v>
      </c>
      <c r="C21" s="268"/>
      <c r="D21" s="269"/>
      <c r="E21" s="268">
        <f>+E333</f>
        <v>9684.3372247403913</v>
      </c>
      <c r="F21" s="271"/>
      <c r="G21" s="268">
        <f>ROUND(+G337,0)</f>
        <v>3374437</v>
      </c>
      <c r="H21" s="268"/>
      <c r="I21" s="268"/>
      <c r="J21" s="268">
        <f>+J333</f>
        <v>9684.3372247403913</v>
      </c>
      <c r="K21" s="271"/>
      <c r="L21" s="268">
        <f>ROUND(+L337,0)</f>
        <v>4351819</v>
      </c>
      <c r="M21" s="268"/>
      <c r="N21" s="268"/>
      <c r="O21" s="268">
        <f>+O333</f>
        <v>6379.4384494807882</v>
      </c>
      <c r="P21" s="271"/>
      <c r="Q21" s="268">
        <f>ROUND(+Q337,0)</f>
        <v>3532895</v>
      </c>
      <c r="R21" s="268"/>
      <c r="S21" s="268"/>
      <c r="T21" s="268">
        <f>+T333</f>
        <v>6379.4384494807882</v>
      </c>
      <c r="U21" s="271"/>
      <c r="V21" s="268">
        <f>ROUND(+V337,0)</f>
        <v>4384732</v>
      </c>
      <c r="W21" s="268"/>
      <c r="X21" s="268">
        <f t="shared" si="1"/>
        <v>851837</v>
      </c>
      <c r="Y21" s="269"/>
      <c r="Z21" s="270">
        <f t="shared" si="0"/>
        <v>0.24110000000000001</v>
      </c>
    </row>
    <row r="22" spans="1:28" x14ac:dyDescent="0.25">
      <c r="A22" s="264">
        <v>9</v>
      </c>
      <c r="B22" s="253" t="s">
        <v>340</v>
      </c>
      <c r="E22" s="253">
        <v>0</v>
      </c>
      <c r="G22" s="268">
        <f>ROUND(+G347,0)</f>
        <v>4694791</v>
      </c>
      <c r="J22" s="253">
        <v>0</v>
      </c>
      <c r="L22" s="268">
        <f>ROUND(+L347,0)</f>
        <v>6031646</v>
      </c>
      <c r="O22" s="253">
        <v>0</v>
      </c>
      <c r="Q22" s="268">
        <f>ROUND(+Q347,0)</f>
        <v>4907201</v>
      </c>
      <c r="T22" s="253">
        <v>0</v>
      </c>
      <c r="V22" s="268">
        <f>ROUND(+V347,0)</f>
        <v>6067167</v>
      </c>
      <c r="X22" s="268">
        <f t="shared" si="1"/>
        <v>1159966</v>
      </c>
      <c r="Z22" s="270">
        <f t="shared" si="0"/>
        <v>0.2364</v>
      </c>
    </row>
    <row r="23" spans="1:28" x14ac:dyDescent="0.25">
      <c r="A23" s="264">
        <v>10</v>
      </c>
      <c r="B23" s="253" t="s">
        <v>168</v>
      </c>
      <c r="C23" s="268"/>
      <c r="D23" s="269"/>
      <c r="E23" s="268">
        <f>+E296</f>
        <v>15246.863999999998</v>
      </c>
      <c r="F23" s="271"/>
      <c r="G23" s="268">
        <f>ROUND(+G296,0)</f>
        <v>126202</v>
      </c>
      <c r="H23" s="268"/>
      <c r="I23" s="268"/>
      <c r="J23" s="268">
        <f>+J296</f>
        <v>15246.863999999998</v>
      </c>
      <c r="K23" s="271"/>
      <c r="L23" s="268">
        <f>ROUND(+L296,0)</f>
        <v>160846</v>
      </c>
      <c r="M23" s="268"/>
      <c r="N23" s="268"/>
      <c r="O23" s="268">
        <f>+O296</f>
        <v>8989.6000000000022</v>
      </c>
      <c r="P23" s="271"/>
      <c r="Q23" s="268">
        <f>ROUND(+Q296,0)</f>
        <v>106174</v>
      </c>
      <c r="R23" s="268"/>
      <c r="S23" s="268"/>
      <c r="T23" s="268">
        <f>+T296</f>
        <v>8989.6000000000022</v>
      </c>
      <c r="U23" s="271"/>
      <c r="V23" s="268">
        <f>ROUND(+V296,0)</f>
        <v>129790</v>
      </c>
      <c r="W23" s="268"/>
      <c r="X23" s="268">
        <f>+V23-Q23</f>
        <v>23616</v>
      </c>
      <c r="Y23" s="269"/>
      <c r="Z23" s="270">
        <f>IF(Q23=0,0,ROUND((X23/Q23),4))</f>
        <v>0.22239999999999999</v>
      </c>
    </row>
    <row r="24" spans="1:28" x14ac:dyDescent="0.25">
      <c r="A24" s="264">
        <v>11</v>
      </c>
      <c r="X24" s="268"/>
      <c r="Z24" s="270"/>
    </row>
    <row r="25" spans="1:28" x14ac:dyDescent="0.25">
      <c r="A25" s="264">
        <v>12</v>
      </c>
      <c r="B25" s="253" t="s">
        <v>19</v>
      </c>
      <c r="C25" s="267"/>
      <c r="D25" s="268"/>
      <c r="E25" s="272">
        <f>SUM(E16:E24)</f>
        <v>12308941.970768748</v>
      </c>
      <c r="F25" s="268"/>
      <c r="G25" s="273">
        <f>SUM(G16:G24)</f>
        <v>110021445</v>
      </c>
      <c r="H25" s="267"/>
      <c r="I25" s="267"/>
      <c r="J25" s="272">
        <f>SUM(J16:J24)</f>
        <v>12308941.970768748</v>
      </c>
      <c r="K25" s="268"/>
      <c r="L25" s="273">
        <f>SUM(L16:L24)</f>
        <v>140807854</v>
      </c>
      <c r="M25" s="267"/>
      <c r="N25" s="267"/>
      <c r="O25" s="272">
        <f>SUM(O16:O24)</f>
        <v>11926373.574449481</v>
      </c>
      <c r="P25" s="268"/>
      <c r="Q25" s="273">
        <f>SUM(Q16:Q24)</f>
        <v>112035654</v>
      </c>
      <c r="R25" s="267"/>
      <c r="S25" s="268"/>
      <c r="T25" s="272">
        <f>SUM(T16:T24)</f>
        <v>11926373.574449481</v>
      </c>
      <c r="U25" s="271"/>
      <c r="V25" s="273">
        <f>SUM(V16:V24)</f>
        <v>137898823</v>
      </c>
      <c r="W25" s="268"/>
      <c r="X25" s="273">
        <f>+V25-Q25</f>
        <v>25863169</v>
      </c>
      <c r="Y25" s="269"/>
      <c r="Z25" s="274">
        <f>IF(Q25=0,0,ROUND((X25/Q25),4))</f>
        <v>0.23080000000000001</v>
      </c>
    </row>
    <row r="26" spans="1:28" x14ac:dyDescent="0.25">
      <c r="A26" s="264">
        <v>13</v>
      </c>
    </row>
    <row r="27" spans="1:28" x14ac:dyDescent="0.25">
      <c r="A27" s="264">
        <v>14</v>
      </c>
      <c r="B27" s="254" t="s">
        <v>341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8"/>
      <c r="U27" s="271"/>
      <c r="V27" s="269"/>
      <c r="W27" s="269"/>
      <c r="X27" s="268"/>
      <c r="Y27" s="269"/>
      <c r="Z27" s="270"/>
    </row>
    <row r="28" spans="1:28" x14ac:dyDescent="0.25">
      <c r="A28" s="264">
        <v>15</v>
      </c>
      <c r="B28" s="275" t="s">
        <v>142</v>
      </c>
      <c r="C28" s="268"/>
      <c r="D28" s="269"/>
      <c r="E28" s="268"/>
      <c r="F28" s="276"/>
      <c r="G28" s="277">
        <v>809820.49133746536</v>
      </c>
      <c r="H28" s="267"/>
      <c r="I28" s="268"/>
      <c r="J28" s="268"/>
      <c r="K28" s="276"/>
      <c r="L28" s="267">
        <f>+L25*AB28</f>
        <v>1028003.5080167749</v>
      </c>
      <c r="M28" s="268"/>
      <c r="N28" s="268"/>
      <c r="O28" s="268"/>
      <c r="P28" s="276"/>
      <c r="Q28" s="267">
        <f>+Q25*AB28</f>
        <v>817944.75281864335</v>
      </c>
      <c r="R28" s="268"/>
      <c r="S28" s="268"/>
      <c r="T28" s="268"/>
      <c r="U28" s="276"/>
      <c r="V28" s="267">
        <f>ROUND(V25*AB28,2)</f>
        <v>1006765.39</v>
      </c>
      <c r="W28" s="268"/>
      <c r="X28" s="268">
        <f>+V28-Q28</f>
        <v>188820.63718135667</v>
      </c>
      <c r="Z28" s="270">
        <f t="shared" ref="Z28:Z35" si="2">IF(Q28=0,0,ROUND((X28/Q28),4))</f>
        <v>0.23080000000000001</v>
      </c>
      <c r="AB28" s="278">
        <v>7.3007540333423085E-3</v>
      </c>
    </row>
    <row r="29" spans="1:28" x14ac:dyDescent="0.25">
      <c r="A29" s="264">
        <v>16</v>
      </c>
      <c r="B29" s="275" t="s">
        <v>143</v>
      </c>
      <c r="C29" s="267"/>
      <c r="E29" s="268"/>
      <c r="F29" s="276"/>
      <c r="G29" s="268">
        <v>164957.26</v>
      </c>
      <c r="H29" s="268"/>
      <c r="I29" s="267"/>
      <c r="J29" s="268"/>
      <c r="K29" s="276"/>
      <c r="L29" s="268">
        <f>+G29</f>
        <v>164957.26</v>
      </c>
      <c r="M29" s="267"/>
      <c r="N29" s="267"/>
      <c r="O29" s="268"/>
      <c r="P29" s="276"/>
      <c r="Q29" s="268">
        <v>197563.56000000003</v>
      </c>
      <c r="R29" s="267"/>
      <c r="S29" s="268"/>
      <c r="T29" s="268"/>
      <c r="U29" s="276"/>
      <c r="V29" s="268">
        <f>+Q29</f>
        <v>197563.56000000003</v>
      </c>
      <c r="W29" s="268"/>
      <c r="X29" s="268">
        <f>+V29-Q29</f>
        <v>0</v>
      </c>
      <c r="Z29" s="270">
        <f t="shared" si="2"/>
        <v>0</v>
      </c>
    </row>
    <row r="30" spans="1:28" x14ac:dyDescent="0.25">
      <c r="A30" s="264">
        <v>17</v>
      </c>
      <c r="B30" s="275" t="s">
        <v>144</v>
      </c>
      <c r="C30" s="268"/>
      <c r="E30" s="268"/>
      <c r="F30" s="276"/>
      <c r="G30" s="268">
        <v>207454.7699999999</v>
      </c>
      <c r="H30" s="268"/>
      <c r="I30" s="268"/>
      <c r="J30" s="268"/>
      <c r="K30" s="276"/>
      <c r="L30" s="268">
        <f t="shared" ref="L30:L35" si="3">+G30</f>
        <v>207454.7699999999</v>
      </c>
      <c r="M30" s="268"/>
      <c r="N30" s="268"/>
      <c r="O30" s="268"/>
      <c r="P30" s="276"/>
      <c r="Q30" s="268">
        <v>224963.03999999992</v>
      </c>
      <c r="R30" s="268"/>
      <c r="S30" s="268"/>
      <c r="T30" s="268"/>
      <c r="U30" s="276"/>
      <c r="V30" s="268">
        <f t="shared" ref="V30:V35" si="4">+Q30</f>
        <v>224963.03999999992</v>
      </c>
      <c r="W30" s="268"/>
      <c r="X30" s="268">
        <f t="shared" ref="X30:X35" si="5">+V30-Q30</f>
        <v>0</v>
      </c>
      <c r="Z30" s="270">
        <f t="shared" si="2"/>
        <v>0</v>
      </c>
    </row>
    <row r="31" spans="1:28" x14ac:dyDescent="0.25">
      <c r="A31" s="264">
        <v>18</v>
      </c>
      <c r="B31" s="275" t="s">
        <v>145</v>
      </c>
      <c r="C31" s="268"/>
      <c r="E31" s="268"/>
      <c r="F31" s="276"/>
      <c r="G31" s="268">
        <v>32388</v>
      </c>
      <c r="H31" s="268"/>
      <c r="I31" s="268"/>
      <c r="J31" s="268"/>
      <c r="K31" s="276"/>
      <c r="L31" s="268">
        <f t="shared" si="3"/>
        <v>32388</v>
      </c>
      <c r="M31" s="268"/>
      <c r="N31" s="268"/>
      <c r="O31" s="268"/>
      <c r="P31" s="276"/>
      <c r="Q31" s="268">
        <v>31484</v>
      </c>
      <c r="R31" s="268"/>
      <c r="S31" s="268"/>
      <c r="T31" s="268"/>
      <c r="U31" s="276"/>
      <c r="V31" s="268">
        <f t="shared" si="4"/>
        <v>31484</v>
      </c>
      <c r="W31" s="268"/>
      <c r="X31" s="268">
        <f t="shared" si="5"/>
        <v>0</v>
      </c>
      <c r="Z31" s="270">
        <f t="shared" si="2"/>
        <v>0</v>
      </c>
    </row>
    <row r="32" spans="1:28" x14ac:dyDescent="0.25">
      <c r="A32" s="264">
        <v>19</v>
      </c>
      <c r="B32" s="275" t="s">
        <v>146</v>
      </c>
      <c r="C32" s="268"/>
      <c r="D32" s="264"/>
      <c r="E32" s="268"/>
      <c r="F32" s="264"/>
      <c r="G32" s="268">
        <v>650498.23333333328</v>
      </c>
      <c r="H32" s="268"/>
      <c r="I32" s="268"/>
      <c r="J32" s="268"/>
      <c r="K32" s="264"/>
      <c r="L32" s="268">
        <f t="shared" si="3"/>
        <v>650498.23333333328</v>
      </c>
      <c r="M32" s="268"/>
      <c r="N32" s="268"/>
      <c r="O32" s="268"/>
      <c r="P32" s="264"/>
      <c r="Q32" s="268">
        <v>671412.02333333332</v>
      </c>
      <c r="R32" s="268"/>
      <c r="S32" s="264"/>
      <c r="T32" s="279"/>
      <c r="U32" s="279"/>
      <c r="V32" s="268">
        <f t="shared" si="4"/>
        <v>671412.02333333332</v>
      </c>
      <c r="W32" s="279"/>
      <c r="X32" s="268">
        <f t="shared" si="5"/>
        <v>0</v>
      </c>
      <c r="Z32" s="270">
        <f t="shared" si="2"/>
        <v>0</v>
      </c>
    </row>
    <row r="33" spans="1:30" x14ac:dyDescent="0.25">
      <c r="A33" s="264">
        <v>20</v>
      </c>
      <c r="B33" s="275" t="s">
        <v>147</v>
      </c>
      <c r="C33" s="268"/>
      <c r="D33" s="280"/>
      <c r="F33" s="280"/>
      <c r="G33" s="268">
        <v>59632.350000000006</v>
      </c>
      <c r="H33" s="268"/>
      <c r="I33" s="268"/>
      <c r="K33" s="280"/>
      <c r="L33" s="268">
        <f t="shared" si="3"/>
        <v>59632.350000000006</v>
      </c>
      <c r="M33" s="268"/>
      <c r="N33" s="268"/>
      <c r="P33" s="280"/>
      <c r="Q33" s="268">
        <v>60013.80000000001</v>
      </c>
      <c r="R33" s="268"/>
      <c r="S33" s="280"/>
      <c r="T33" s="280"/>
      <c r="U33" s="280"/>
      <c r="V33" s="268">
        <f t="shared" si="4"/>
        <v>60013.80000000001</v>
      </c>
      <c r="W33" s="280"/>
      <c r="X33" s="268">
        <f t="shared" si="5"/>
        <v>0</v>
      </c>
      <c r="Z33" s="270">
        <f t="shared" si="2"/>
        <v>0</v>
      </c>
    </row>
    <row r="34" spans="1:30" x14ac:dyDescent="0.25">
      <c r="A34" s="264">
        <v>21</v>
      </c>
      <c r="B34" s="275" t="s">
        <v>148</v>
      </c>
      <c r="C34" s="281"/>
      <c r="D34" s="282"/>
      <c r="F34" s="282"/>
      <c r="G34" s="268">
        <v>475447.80333333334</v>
      </c>
      <c r="H34" s="268"/>
      <c r="I34" s="281"/>
      <c r="K34" s="282"/>
      <c r="L34" s="268">
        <f t="shared" si="3"/>
        <v>475447.80333333334</v>
      </c>
      <c r="M34" s="281"/>
      <c r="N34" s="281"/>
      <c r="P34" s="282"/>
      <c r="Q34" s="268">
        <v>479040.70000000007</v>
      </c>
      <c r="R34" s="281"/>
      <c r="S34" s="282"/>
      <c r="U34" s="282"/>
      <c r="V34" s="268">
        <f t="shared" si="4"/>
        <v>479040.70000000007</v>
      </c>
      <c r="W34" s="282"/>
      <c r="X34" s="268">
        <f t="shared" si="5"/>
        <v>0</v>
      </c>
      <c r="Z34" s="270">
        <f t="shared" si="2"/>
        <v>0</v>
      </c>
    </row>
    <row r="35" spans="1:30" x14ac:dyDescent="0.25">
      <c r="A35" s="264">
        <v>22</v>
      </c>
      <c r="B35" s="275" t="s">
        <v>149</v>
      </c>
      <c r="C35" s="268"/>
      <c r="D35" s="283"/>
      <c r="G35" s="268">
        <v>55128.719999999994</v>
      </c>
      <c r="H35" s="268"/>
      <c r="I35" s="268"/>
      <c r="L35" s="268">
        <f t="shared" si="3"/>
        <v>55128.719999999994</v>
      </c>
      <c r="M35" s="268"/>
      <c r="N35" s="268"/>
      <c r="Q35" s="268">
        <v>22970.300000000003</v>
      </c>
      <c r="R35" s="268"/>
      <c r="S35" s="283"/>
      <c r="U35" s="284"/>
      <c r="V35" s="268">
        <f t="shared" si="4"/>
        <v>22970.300000000003</v>
      </c>
      <c r="W35" s="283"/>
      <c r="X35" s="268">
        <f t="shared" si="5"/>
        <v>0</v>
      </c>
      <c r="Z35" s="270">
        <f t="shared" si="2"/>
        <v>0</v>
      </c>
    </row>
    <row r="36" spans="1:30" x14ac:dyDescent="0.25">
      <c r="A36" s="264">
        <v>23</v>
      </c>
      <c r="B36" s="275"/>
      <c r="C36" s="285"/>
      <c r="G36" s="268"/>
      <c r="H36" s="268"/>
      <c r="I36" s="285"/>
      <c r="L36" s="268"/>
      <c r="M36" s="285"/>
      <c r="N36" s="285"/>
      <c r="Q36" s="268"/>
      <c r="R36" s="285"/>
      <c r="V36" s="268"/>
      <c r="X36" s="268"/>
      <c r="Z36" s="270"/>
    </row>
    <row r="37" spans="1:30" x14ac:dyDescent="0.25">
      <c r="A37" s="264">
        <v>24</v>
      </c>
      <c r="B37" s="275"/>
      <c r="C37" s="268"/>
      <c r="F37" s="284"/>
      <c r="G37" s="268"/>
      <c r="H37" s="268"/>
      <c r="I37" s="268"/>
      <c r="K37" s="284"/>
      <c r="L37" s="268"/>
      <c r="M37" s="268"/>
      <c r="N37" s="268"/>
      <c r="P37" s="284"/>
      <c r="Q37" s="268"/>
      <c r="R37" s="268"/>
      <c r="U37" s="284"/>
      <c r="V37" s="268"/>
      <c r="X37" s="268"/>
      <c r="Z37" s="270"/>
    </row>
    <row r="38" spans="1:30" x14ac:dyDescent="0.25">
      <c r="A38" s="264">
        <v>25</v>
      </c>
      <c r="B38" s="275"/>
      <c r="C38" s="268"/>
      <c r="D38" s="283"/>
      <c r="F38" s="284"/>
      <c r="G38" s="268"/>
      <c r="H38" s="268"/>
      <c r="I38" s="268"/>
      <c r="K38" s="284"/>
      <c r="L38" s="268"/>
      <c r="M38" s="268"/>
      <c r="N38" s="268"/>
      <c r="P38" s="284"/>
      <c r="Q38" s="268"/>
      <c r="R38" s="268"/>
      <c r="S38" s="283"/>
      <c r="U38" s="284"/>
      <c r="V38" s="268"/>
      <c r="W38" s="283"/>
      <c r="X38" s="268"/>
      <c r="Z38" s="270"/>
    </row>
    <row r="39" spans="1:30" x14ac:dyDescent="0.25">
      <c r="A39" s="264">
        <v>26</v>
      </c>
      <c r="B39" s="253" t="s">
        <v>342</v>
      </c>
      <c r="C39" s="268"/>
      <c r="F39" s="284"/>
      <c r="G39" s="286">
        <f>SUM(G28:G38)</f>
        <v>2455327.6280041323</v>
      </c>
      <c r="H39" s="267"/>
      <c r="I39" s="268"/>
      <c r="K39" s="284"/>
      <c r="L39" s="273">
        <f>SUM(L28:L38)</f>
        <v>2673510.6446834416</v>
      </c>
      <c r="M39" s="268"/>
      <c r="N39" s="268"/>
      <c r="P39" s="284"/>
      <c r="Q39" s="273">
        <f>SUM(Q28:Q38)</f>
        <v>2505392.1761519765</v>
      </c>
      <c r="R39" s="268"/>
      <c r="U39" s="284"/>
      <c r="V39" s="273">
        <f>SUM(V28:V38)</f>
        <v>2694212.813333333</v>
      </c>
      <c r="X39" s="273">
        <f>V39-Q39</f>
        <v>188820.63718135655</v>
      </c>
      <c r="Z39" s="274">
        <f>IF(Q39=0,0,ROUND((X39/Q39),4))</f>
        <v>7.5399999999999995E-2</v>
      </c>
    </row>
    <row r="40" spans="1:30" x14ac:dyDescent="0.25">
      <c r="A40" s="264">
        <v>27</v>
      </c>
      <c r="C40" s="268"/>
      <c r="D40" s="264"/>
      <c r="F40" s="284"/>
      <c r="G40" s="268"/>
      <c r="H40" s="268"/>
      <c r="I40" s="268"/>
      <c r="K40" s="284"/>
      <c r="L40" s="268"/>
      <c r="M40" s="268"/>
      <c r="N40" s="268"/>
      <c r="P40" s="284"/>
      <c r="Q40" s="268"/>
      <c r="R40" s="268"/>
      <c r="S40" s="264"/>
      <c r="U40" s="284"/>
      <c r="V40" s="268"/>
      <c r="X40" s="268"/>
      <c r="Z40" s="270"/>
    </row>
    <row r="41" spans="1:30" ht="15.75" thickBot="1" x14ac:dyDescent="0.3">
      <c r="A41" s="264">
        <v>28</v>
      </c>
      <c r="B41" s="253" t="s">
        <v>321</v>
      </c>
      <c r="C41" s="280"/>
      <c r="D41" s="280"/>
      <c r="F41" s="280"/>
      <c r="G41" s="287">
        <f>G39+G25</f>
        <v>112476772.62800413</v>
      </c>
      <c r="H41" s="288"/>
      <c r="I41" s="280"/>
      <c r="K41" s="280"/>
      <c r="L41" s="289">
        <f>L39+L25</f>
        <v>143481364.64468345</v>
      </c>
      <c r="M41" s="280"/>
      <c r="N41" s="280"/>
      <c r="P41" s="280"/>
      <c r="Q41" s="289">
        <f>Q39+Q25</f>
        <v>114541046.17615198</v>
      </c>
      <c r="R41" s="280"/>
      <c r="S41" s="280"/>
      <c r="T41" s="266"/>
      <c r="U41" s="266"/>
      <c r="V41" s="289">
        <f>V39+V25</f>
        <v>140593035.81333333</v>
      </c>
      <c r="W41" s="266"/>
      <c r="X41" s="289">
        <f>V41-Q41</f>
        <v>26051989.637181357</v>
      </c>
      <c r="Y41" s="264"/>
      <c r="Z41" s="290">
        <f>IF(Q41=0,0,ROUND((X41/Q41),4))</f>
        <v>0.22739999999999999</v>
      </c>
      <c r="AB41" s="253">
        <v>142265127.02329597</v>
      </c>
      <c r="AC41" s="253">
        <f>+AB41-V41</f>
        <v>1672091.2099626362</v>
      </c>
    </row>
    <row r="42" spans="1:30" ht="15.75" thickTop="1" x14ac:dyDescent="0.25">
      <c r="A42" s="264"/>
      <c r="C42" s="282"/>
      <c r="D42" s="283"/>
      <c r="F42" s="291"/>
      <c r="G42" s="282"/>
      <c r="H42" s="282"/>
      <c r="I42" s="282"/>
      <c r="J42" s="282"/>
      <c r="K42" s="282"/>
      <c r="L42" s="282"/>
      <c r="M42" s="282"/>
      <c r="N42" s="282"/>
      <c r="P42" s="291"/>
      <c r="Q42" s="282"/>
      <c r="R42" s="282"/>
      <c r="S42" s="282"/>
      <c r="T42" s="283"/>
      <c r="U42" s="291"/>
      <c r="V42" s="283"/>
      <c r="W42" s="283"/>
      <c r="X42" s="268"/>
      <c r="Y42" s="283"/>
      <c r="Z42" s="270"/>
      <c r="AC42" s="253">
        <v>1672091</v>
      </c>
      <c r="AD42" s="253" t="s">
        <v>0</v>
      </c>
    </row>
    <row r="43" spans="1:30" x14ac:dyDescent="0.25">
      <c r="A43" s="264"/>
      <c r="C43" s="282"/>
      <c r="D43" s="283"/>
      <c r="F43" s="291"/>
      <c r="G43" s="282"/>
      <c r="H43" s="282"/>
      <c r="I43" s="282"/>
      <c r="J43" s="282"/>
      <c r="K43" s="282"/>
      <c r="L43" s="282"/>
      <c r="M43" s="282"/>
      <c r="N43" s="282"/>
      <c r="P43" s="291"/>
      <c r="Q43" s="282"/>
      <c r="R43" s="282"/>
      <c r="S43" s="282"/>
      <c r="T43" s="283"/>
      <c r="U43" s="291"/>
      <c r="V43" s="283"/>
      <c r="W43" s="283"/>
      <c r="X43" s="268"/>
      <c r="Y43" s="283"/>
      <c r="Z43" s="270"/>
      <c r="AC43" s="253">
        <f>+AC41-AC42</f>
        <v>0.2099626362323761</v>
      </c>
      <c r="AD43" s="253" t="s">
        <v>343</v>
      </c>
    </row>
    <row r="44" spans="1:30" x14ac:dyDescent="0.25">
      <c r="A44" s="319" t="str">
        <f>A$1</f>
        <v>Kentucky-American Water Company</v>
      </c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</row>
    <row r="45" spans="1:30" x14ac:dyDescent="0.25">
      <c r="A45" s="319" t="str">
        <f>+$A$2</f>
        <v>Forecast Year Operating Revenues at Present Rates &amp; Proposed Rates</v>
      </c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</row>
    <row r="46" spans="1:30" x14ac:dyDescent="0.25">
      <c r="A46" s="319" t="str">
        <f>+$A$3</f>
        <v>Base Year (12 Months Ending September 30, 2023)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</row>
    <row r="47" spans="1:30" x14ac:dyDescent="0.25">
      <c r="A47" s="319" t="str">
        <f>+$A$4</f>
        <v>Forecast Year (12 Months Ending January 31, 2025)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</row>
    <row r="48" spans="1:30" x14ac:dyDescent="0.25">
      <c r="A48" s="254"/>
      <c r="I48" s="319" t="s">
        <v>344</v>
      </c>
      <c r="J48" s="319"/>
      <c r="K48" s="319"/>
      <c r="L48" s="319"/>
      <c r="M48" s="319"/>
      <c r="N48" s="319"/>
      <c r="O48" s="319"/>
      <c r="P48" s="319"/>
      <c r="Q48" s="319"/>
    </row>
    <row r="49" spans="1:26" x14ac:dyDescent="0.25">
      <c r="A49" s="254"/>
      <c r="I49" s="252"/>
      <c r="J49" s="252"/>
      <c r="K49" s="252"/>
      <c r="L49" s="252"/>
      <c r="M49" s="252"/>
      <c r="N49" s="252"/>
      <c r="O49" s="252"/>
      <c r="P49" s="252"/>
      <c r="Q49" s="252"/>
      <c r="Z49" s="255" t="s">
        <v>345</v>
      </c>
    </row>
    <row r="50" spans="1:26" x14ac:dyDescent="0.25">
      <c r="A50" s="254"/>
      <c r="I50" s="252"/>
      <c r="J50" s="252"/>
      <c r="K50" s="252"/>
      <c r="L50" s="252"/>
      <c r="M50" s="252"/>
      <c r="N50" s="252"/>
      <c r="O50" s="252"/>
      <c r="P50" s="252"/>
      <c r="Q50" s="252"/>
      <c r="Z50" s="255" t="str">
        <f>+Z$7</f>
        <v>Witness Responsible:  Chuck Rea</v>
      </c>
    </row>
    <row r="51" spans="1:26" x14ac:dyDescent="0.25">
      <c r="A51" s="254"/>
      <c r="Z51" s="255" t="str">
        <f>$Z$8</f>
        <v>Revenues\[KAWC 2023 Rate Case - Exhibit 37 (M,N) Revenue Present &amp; Proposed.xlsx]Sch M2-M3</v>
      </c>
    </row>
    <row r="52" spans="1:26" x14ac:dyDescent="0.25">
      <c r="A52" s="257"/>
      <c r="B52" s="258"/>
      <c r="C52" s="259"/>
      <c r="D52" s="260"/>
      <c r="E52" s="258"/>
      <c r="F52" s="261"/>
      <c r="G52" s="259"/>
      <c r="H52" s="259"/>
      <c r="I52" s="259"/>
      <c r="J52" s="259"/>
      <c r="K52" s="259"/>
      <c r="L52" s="259"/>
      <c r="M52" s="259"/>
      <c r="N52" s="259"/>
      <c r="O52" s="258"/>
      <c r="P52" s="261"/>
      <c r="Q52" s="259"/>
      <c r="R52" s="259"/>
      <c r="S52" s="259"/>
      <c r="T52" s="260"/>
      <c r="U52" s="261"/>
      <c r="V52" s="260"/>
      <c r="W52" s="260"/>
      <c r="X52" s="262"/>
      <c r="Y52" s="260"/>
      <c r="Z52" s="263"/>
    </row>
    <row r="53" spans="1:26" x14ac:dyDescent="0.25">
      <c r="C53" s="264"/>
      <c r="D53" s="320" t="s">
        <v>326</v>
      </c>
      <c r="E53" s="320" t="s">
        <v>346</v>
      </c>
      <c r="F53" s="320"/>
      <c r="G53" s="320"/>
      <c r="H53" s="264"/>
      <c r="I53" s="320" t="s">
        <v>327</v>
      </c>
      <c r="J53" s="320" t="s">
        <v>346</v>
      </c>
      <c r="K53" s="320"/>
      <c r="L53" s="320"/>
      <c r="M53" s="264"/>
      <c r="N53" s="320" t="s">
        <v>328</v>
      </c>
      <c r="O53" s="320" t="s">
        <v>347</v>
      </c>
      <c r="P53" s="320"/>
      <c r="Q53" s="320"/>
      <c r="R53" s="264"/>
      <c r="S53" s="320" t="s">
        <v>329</v>
      </c>
      <c r="T53" s="320" t="s">
        <v>348</v>
      </c>
      <c r="U53" s="320"/>
      <c r="V53" s="320"/>
      <c r="W53" s="265"/>
      <c r="X53" s="265"/>
    </row>
    <row r="54" spans="1:26" x14ac:dyDescent="0.25">
      <c r="C54" s="264"/>
      <c r="D54" s="264" t="s">
        <v>349</v>
      </c>
      <c r="E54" s="264"/>
      <c r="F54" s="264"/>
      <c r="G54" s="264"/>
      <c r="H54" s="264"/>
      <c r="I54" s="264" t="s">
        <v>349</v>
      </c>
      <c r="J54" s="264"/>
      <c r="K54" s="264"/>
      <c r="L54" s="264"/>
      <c r="M54" s="264"/>
      <c r="N54" s="264" t="s">
        <v>349</v>
      </c>
      <c r="O54" s="264"/>
      <c r="P54" s="264"/>
      <c r="Q54" s="264"/>
      <c r="R54" s="264"/>
      <c r="S54" s="264" t="s">
        <v>349</v>
      </c>
      <c r="T54" s="264"/>
      <c r="U54" s="264"/>
      <c r="V54" s="264"/>
      <c r="W54" s="264"/>
      <c r="X54" s="264"/>
    </row>
    <row r="55" spans="1:26" x14ac:dyDescent="0.25">
      <c r="B55" s="264" t="s">
        <v>330</v>
      </c>
      <c r="C55" s="264"/>
      <c r="D55" s="264" t="s">
        <v>350</v>
      </c>
      <c r="E55" s="264" t="s">
        <v>331</v>
      </c>
      <c r="F55" s="264" t="s">
        <v>351</v>
      </c>
      <c r="G55" s="264" t="s">
        <v>19</v>
      </c>
      <c r="H55" s="264"/>
      <c r="I55" s="264" t="s">
        <v>350</v>
      </c>
      <c r="J55" s="264" t="s">
        <v>331</v>
      </c>
      <c r="K55" s="264" t="s">
        <v>352</v>
      </c>
      <c r="L55" s="264" t="s">
        <v>19</v>
      </c>
      <c r="M55" s="264"/>
      <c r="N55" s="264" t="s">
        <v>350</v>
      </c>
      <c r="O55" s="264" t="s">
        <v>331</v>
      </c>
      <c r="P55" s="264" t="s">
        <v>351</v>
      </c>
      <c r="Q55" s="264" t="s">
        <v>19</v>
      </c>
      <c r="R55" s="264"/>
      <c r="S55" s="264" t="s">
        <v>350</v>
      </c>
      <c r="T55" s="264" t="s">
        <v>331</v>
      </c>
      <c r="U55" s="264" t="s">
        <v>353</v>
      </c>
      <c r="V55" s="264" t="s">
        <v>19</v>
      </c>
      <c r="W55" s="264"/>
      <c r="X55" s="264" t="s">
        <v>332</v>
      </c>
      <c r="Z55" s="264" t="s">
        <v>333</v>
      </c>
    </row>
    <row r="56" spans="1:26" x14ac:dyDescent="0.25">
      <c r="A56" s="257" t="s">
        <v>57</v>
      </c>
      <c r="B56" s="257" t="s">
        <v>21</v>
      </c>
      <c r="C56" s="264"/>
      <c r="D56" s="257" t="s">
        <v>354</v>
      </c>
      <c r="E56" s="257" t="str">
        <f>E13</f>
        <v>(000 Gal)</v>
      </c>
      <c r="F56" s="257" t="s">
        <v>97</v>
      </c>
      <c r="G56" s="257" t="s">
        <v>91</v>
      </c>
      <c r="H56" s="264"/>
      <c r="I56" s="257" t="s">
        <v>354</v>
      </c>
      <c r="J56" s="257" t="str">
        <f>J13</f>
        <v>(000 Gal)</v>
      </c>
      <c r="K56" s="257" t="s">
        <v>97</v>
      </c>
      <c r="L56" s="257" t="s">
        <v>91</v>
      </c>
      <c r="M56" s="264"/>
      <c r="N56" s="257" t="s">
        <v>354</v>
      </c>
      <c r="O56" s="257" t="str">
        <f>E56</f>
        <v>(000 Gal)</v>
      </c>
      <c r="P56" s="257" t="s">
        <v>97</v>
      </c>
      <c r="Q56" s="257" t="s">
        <v>91</v>
      </c>
      <c r="R56" s="264"/>
      <c r="S56" s="257" t="s">
        <v>354</v>
      </c>
      <c r="T56" s="257" t="str">
        <f>O56</f>
        <v>(000 Gal)</v>
      </c>
      <c r="U56" s="257" t="s">
        <v>97</v>
      </c>
      <c r="V56" s="257" t="s">
        <v>91</v>
      </c>
      <c r="W56" s="264"/>
      <c r="X56" s="257" t="s">
        <v>335</v>
      </c>
      <c r="Z56" s="257" t="s">
        <v>335</v>
      </c>
    </row>
    <row r="57" spans="1:26" x14ac:dyDescent="0.25">
      <c r="A57" s="264">
        <v>1</v>
      </c>
      <c r="B57" s="254" t="str">
        <f>+I48</f>
        <v>RESIDENTIAL CLASS</v>
      </c>
      <c r="C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Z57" s="264"/>
    </row>
    <row r="58" spans="1:26" x14ac:dyDescent="0.25">
      <c r="A58" s="264">
        <f>+A57+1</f>
        <v>2</v>
      </c>
      <c r="B58" s="266" t="s">
        <v>355</v>
      </c>
    </row>
    <row r="59" spans="1:26" x14ac:dyDescent="0.25">
      <c r="A59" s="264">
        <f t="shared" ref="A59:A86" si="6">+A58+1</f>
        <v>3</v>
      </c>
      <c r="B59" s="253" t="s">
        <v>356</v>
      </c>
      <c r="C59" s="267"/>
      <c r="D59" s="268">
        <v>1487602.15</v>
      </c>
      <c r="E59" s="269"/>
      <c r="F59" s="292">
        <v>15</v>
      </c>
      <c r="G59" s="267">
        <f>ROUND(D59*F59,2)</f>
        <v>22314032.25</v>
      </c>
      <c r="H59" s="267"/>
      <c r="I59" s="268">
        <f>D59</f>
        <v>1487602.15</v>
      </c>
      <c r="J59" s="269"/>
      <c r="K59" s="292">
        <f>U59</f>
        <v>20</v>
      </c>
      <c r="L59" s="267">
        <f>ROUND(I59*K59,2)</f>
        <v>29752043</v>
      </c>
      <c r="M59" s="267"/>
      <c r="N59" s="268">
        <v>1486362.8888888892</v>
      </c>
      <c r="O59" s="269"/>
      <c r="P59" s="292">
        <f>+F59</f>
        <v>15</v>
      </c>
      <c r="Q59" s="267">
        <f>ROUND(N59*P59,2)</f>
        <v>22295443.329999998</v>
      </c>
      <c r="R59" s="267"/>
      <c r="S59" s="268">
        <f>N59</f>
        <v>1486362.8888888892</v>
      </c>
      <c r="T59" s="269"/>
      <c r="U59" s="292">
        <v>20</v>
      </c>
      <c r="V59" s="267">
        <f>ROUND(S59*U59,0)</f>
        <v>29727258</v>
      </c>
      <c r="W59" s="267"/>
      <c r="X59" s="267">
        <f>+V59-Q59</f>
        <v>7431814.6700000018</v>
      </c>
      <c r="Y59" s="269"/>
      <c r="Z59" s="270">
        <f t="shared" ref="Z59:Z67" si="7">IF(Q59=0,0,ROUND((X59/Q59),4))</f>
        <v>0.33329999999999999</v>
      </c>
    </row>
    <row r="60" spans="1:26" x14ac:dyDescent="0.25">
      <c r="A60" s="264">
        <f t="shared" si="6"/>
        <v>4</v>
      </c>
      <c r="B60" s="253" t="s">
        <v>357</v>
      </c>
      <c r="C60" s="268"/>
      <c r="D60" s="268">
        <v>0</v>
      </c>
      <c r="E60" s="269"/>
      <c r="F60" s="271">
        <v>22.4</v>
      </c>
      <c r="G60" s="268">
        <f t="shared" ref="G60:G67" si="8">ROUND(D60*F60,2)</f>
        <v>0</v>
      </c>
      <c r="H60" s="268"/>
      <c r="I60" s="268">
        <f t="shared" ref="I60:I67" si="9">D60</f>
        <v>0</v>
      </c>
      <c r="J60" s="269"/>
      <c r="K60" s="271">
        <f t="shared" ref="K60:K67" si="10">U60</f>
        <v>29.8</v>
      </c>
      <c r="L60" s="268">
        <f t="shared" ref="L60:L67" si="11">ROUND(I60*K60,2)</f>
        <v>0</v>
      </c>
      <c r="M60" s="268"/>
      <c r="N60" s="268">
        <v>0</v>
      </c>
      <c r="O60" s="269"/>
      <c r="P60" s="271">
        <f>+F60</f>
        <v>22.4</v>
      </c>
      <c r="Q60" s="268">
        <f t="shared" ref="Q60:Q67" si="12">ROUND(N60*P60,2)</f>
        <v>0</v>
      </c>
      <c r="R60" s="268"/>
      <c r="S60" s="268">
        <f t="shared" ref="S60:S67" si="13">N60</f>
        <v>0</v>
      </c>
      <c r="T60" s="269"/>
      <c r="U60" s="271">
        <v>29.8</v>
      </c>
      <c r="V60" s="268">
        <f>ROUND(S60*U60,0)</f>
        <v>0</v>
      </c>
      <c r="W60" s="268"/>
      <c r="X60" s="268">
        <f t="shared" ref="X60:X68" si="14">+V60-Q60</f>
        <v>0</v>
      </c>
      <c r="Y60" s="269"/>
      <c r="Z60" s="270">
        <f t="shared" si="7"/>
        <v>0</v>
      </c>
    </row>
    <row r="61" spans="1:26" x14ac:dyDescent="0.25">
      <c r="A61" s="264">
        <f t="shared" si="6"/>
        <v>5</v>
      </c>
      <c r="B61" s="253" t="s">
        <v>358</v>
      </c>
      <c r="C61" s="268"/>
      <c r="D61" s="268">
        <v>24478.41</v>
      </c>
      <c r="E61" s="269"/>
      <c r="F61" s="271">
        <v>37.299999999999997</v>
      </c>
      <c r="G61" s="268">
        <f t="shared" si="8"/>
        <v>913044.69</v>
      </c>
      <c r="H61" s="268"/>
      <c r="I61" s="268">
        <f t="shared" si="9"/>
        <v>24478.41</v>
      </c>
      <c r="J61" s="269"/>
      <c r="K61" s="271">
        <f t="shared" si="10"/>
        <v>49.6</v>
      </c>
      <c r="L61" s="268">
        <f t="shared" si="11"/>
        <v>1214129.1399999999</v>
      </c>
      <c r="M61" s="268"/>
      <c r="N61" s="268">
        <v>24072</v>
      </c>
      <c r="O61" s="269"/>
      <c r="P61" s="271">
        <f t="shared" ref="P61:P67" si="15">+F61</f>
        <v>37.299999999999997</v>
      </c>
      <c r="Q61" s="268">
        <f t="shared" si="12"/>
        <v>897885.6</v>
      </c>
      <c r="R61" s="268"/>
      <c r="S61" s="268">
        <f t="shared" si="13"/>
        <v>24072</v>
      </c>
      <c r="T61" s="269"/>
      <c r="U61" s="271">
        <v>49.6</v>
      </c>
      <c r="V61" s="268">
        <f>ROUND(S61*U61,0)</f>
        <v>1193971</v>
      </c>
      <c r="W61" s="268"/>
      <c r="X61" s="268">
        <f t="shared" si="14"/>
        <v>296085.40000000002</v>
      </c>
      <c r="Y61" s="269"/>
      <c r="Z61" s="270">
        <f t="shared" si="7"/>
        <v>0.32979999999999998</v>
      </c>
    </row>
    <row r="62" spans="1:26" x14ac:dyDescent="0.25">
      <c r="A62" s="264">
        <f t="shared" si="6"/>
        <v>6</v>
      </c>
      <c r="B62" s="253" t="s">
        <v>359</v>
      </c>
      <c r="C62" s="268"/>
      <c r="D62" s="268">
        <v>183.73000000000002</v>
      </c>
      <c r="E62" s="269"/>
      <c r="F62" s="271">
        <v>74.7</v>
      </c>
      <c r="G62" s="268">
        <f t="shared" si="8"/>
        <v>13724.63</v>
      </c>
      <c r="H62" s="268"/>
      <c r="I62" s="268">
        <f t="shared" si="9"/>
        <v>183.73000000000002</v>
      </c>
      <c r="J62" s="269"/>
      <c r="K62" s="271">
        <f t="shared" si="10"/>
        <v>99.4</v>
      </c>
      <c r="L62" s="268">
        <f t="shared" si="11"/>
        <v>18262.759999999998</v>
      </c>
      <c r="M62" s="268"/>
      <c r="N62" s="268">
        <v>180</v>
      </c>
      <c r="O62" s="269"/>
      <c r="P62" s="271">
        <f t="shared" si="15"/>
        <v>74.7</v>
      </c>
      <c r="Q62" s="268">
        <f t="shared" si="12"/>
        <v>13446</v>
      </c>
      <c r="R62" s="268"/>
      <c r="S62" s="268">
        <f t="shared" si="13"/>
        <v>180</v>
      </c>
      <c r="T62" s="269"/>
      <c r="U62" s="271">
        <v>99.4</v>
      </c>
      <c r="V62" s="268">
        <f t="shared" ref="V62:V67" si="16">ROUND(S62*U62,2)</f>
        <v>17892</v>
      </c>
      <c r="W62" s="268"/>
      <c r="X62" s="268">
        <f t="shared" si="14"/>
        <v>4446</v>
      </c>
      <c r="Y62" s="269"/>
      <c r="Z62" s="270">
        <f t="shared" si="7"/>
        <v>0.33069999999999999</v>
      </c>
    </row>
    <row r="63" spans="1:26" x14ac:dyDescent="0.25">
      <c r="A63" s="264">
        <f t="shared" si="6"/>
        <v>7</v>
      </c>
      <c r="B63" s="253" t="s">
        <v>360</v>
      </c>
      <c r="C63" s="268"/>
      <c r="D63" s="268">
        <v>1468.85</v>
      </c>
      <c r="E63" s="269"/>
      <c r="F63" s="271">
        <v>119.5</v>
      </c>
      <c r="G63" s="268">
        <f t="shared" si="8"/>
        <v>175527.58</v>
      </c>
      <c r="H63" s="268"/>
      <c r="I63" s="268">
        <f t="shared" si="9"/>
        <v>1468.85</v>
      </c>
      <c r="J63" s="269"/>
      <c r="K63" s="271">
        <f t="shared" si="10"/>
        <v>158.9</v>
      </c>
      <c r="L63" s="268">
        <f t="shared" si="11"/>
        <v>233400.27</v>
      </c>
      <c r="M63" s="268"/>
      <c r="N63" s="268">
        <v>1488</v>
      </c>
      <c r="O63" s="269"/>
      <c r="P63" s="271">
        <f t="shared" si="15"/>
        <v>119.5</v>
      </c>
      <c r="Q63" s="268">
        <f t="shared" si="12"/>
        <v>177816</v>
      </c>
      <c r="R63" s="268"/>
      <c r="S63" s="268">
        <f t="shared" si="13"/>
        <v>1488</v>
      </c>
      <c r="T63" s="269"/>
      <c r="U63" s="271">
        <v>158.9</v>
      </c>
      <c r="V63" s="268">
        <f t="shared" si="16"/>
        <v>236443.2</v>
      </c>
      <c r="W63" s="268"/>
      <c r="X63" s="268">
        <f t="shared" si="14"/>
        <v>58627.200000000012</v>
      </c>
      <c r="Y63" s="269"/>
      <c r="Z63" s="270">
        <f t="shared" si="7"/>
        <v>0.32969999999999999</v>
      </c>
    </row>
    <row r="64" spans="1:26" x14ac:dyDescent="0.25">
      <c r="A64" s="264">
        <f t="shared" si="6"/>
        <v>8</v>
      </c>
      <c r="B64" s="253" t="s">
        <v>361</v>
      </c>
      <c r="C64" s="268"/>
      <c r="D64" s="268">
        <v>0</v>
      </c>
      <c r="E64" s="269"/>
      <c r="F64" s="271">
        <v>224</v>
      </c>
      <c r="G64" s="268">
        <f t="shared" si="8"/>
        <v>0</v>
      </c>
      <c r="H64" s="268"/>
      <c r="I64" s="268">
        <f t="shared" si="9"/>
        <v>0</v>
      </c>
      <c r="J64" s="269"/>
      <c r="K64" s="271">
        <f t="shared" si="10"/>
        <v>297.89999999999998</v>
      </c>
      <c r="L64" s="268">
        <f t="shared" si="11"/>
        <v>0</v>
      </c>
      <c r="M64" s="268"/>
      <c r="N64" s="268">
        <v>0</v>
      </c>
      <c r="O64" s="269"/>
      <c r="P64" s="271">
        <f t="shared" si="15"/>
        <v>224</v>
      </c>
      <c r="Q64" s="268">
        <f t="shared" si="12"/>
        <v>0</v>
      </c>
      <c r="R64" s="268"/>
      <c r="S64" s="268">
        <f t="shared" si="13"/>
        <v>0</v>
      </c>
      <c r="T64" s="269"/>
      <c r="U64" s="271">
        <v>297.89999999999998</v>
      </c>
      <c r="V64" s="268">
        <f t="shared" si="16"/>
        <v>0</v>
      </c>
      <c r="W64" s="268"/>
      <c r="X64" s="268">
        <f t="shared" si="14"/>
        <v>0</v>
      </c>
      <c r="Y64" s="269"/>
      <c r="Z64" s="270">
        <f t="shared" si="7"/>
        <v>0</v>
      </c>
    </row>
    <row r="65" spans="1:26" x14ac:dyDescent="0.25">
      <c r="A65" s="264">
        <f t="shared" si="6"/>
        <v>9</v>
      </c>
      <c r="B65" s="253" t="s">
        <v>362</v>
      </c>
      <c r="C65" s="268"/>
      <c r="D65" s="268">
        <v>6</v>
      </c>
      <c r="E65" s="269"/>
      <c r="F65" s="271">
        <v>373.4</v>
      </c>
      <c r="G65" s="268">
        <f t="shared" si="8"/>
        <v>2240.4</v>
      </c>
      <c r="H65" s="268"/>
      <c r="I65" s="268">
        <f t="shared" si="9"/>
        <v>6</v>
      </c>
      <c r="J65" s="269"/>
      <c r="K65" s="271">
        <f t="shared" si="10"/>
        <v>496.6</v>
      </c>
      <c r="L65" s="268">
        <f t="shared" si="11"/>
        <v>2979.6</v>
      </c>
      <c r="M65" s="268"/>
      <c r="N65" s="268">
        <v>12</v>
      </c>
      <c r="O65" s="269"/>
      <c r="P65" s="271">
        <f t="shared" si="15"/>
        <v>373.4</v>
      </c>
      <c r="Q65" s="268">
        <f t="shared" si="12"/>
        <v>4480.8</v>
      </c>
      <c r="R65" s="268"/>
      <c r="S65" s="268">
        <f t="shared" si="13"/>
        <v>12</v>
      </c>
      <c r="T65" s="269"/>
      <c r="U65" s="271">
        <v>496.6</v>
      </c>
      <c r="V65" s="268">
        <f t="shared" si="16"/>
        <v>5959.2</v>
      </c>
      <c r="W65" s="268"/>
      <c r="X65" s="268">
        <f t="shared" si="14"/>
        <v>1478.3999999999996</v>
      </c>
      <c r="Y65" s="269"/>
      <c r="Z65" s="270">
        <f t="shared" si="7"/>
        <v>0.32990000000000003</v>
      </c>
    </row>
    <row r="66" spans="1:26" x14ac:dyDescent="0.25">
      <c r="A66" s="264">
        <f t="shared" si="6"/>
        <v>10</v>
      </c>
      <c r="B66" s="253" t="s">
        <v>363</v>
      </c>
      <c r="C66" s="268"/>
      <c r="D66" s="268">
        <v>24</v>
      </c>
      <c r="E66" s="269"/>
      <c r="F66" s="271">
        <v>746.7</v>
      </c>
      <c r="G66" s="268">
        <f t="shared" si="8"/>
        <v>17920.8</v>
      </c>
      <c r="H66" s="268"/>
      <c r="I66" s="268">
        <f t="shared" si="9"/>
        <v>24</v>
      </c>
      <c r="J66" s="269"/>
      <c r="K66" s="271">
        <f t="shared" si="10"/>
        <v>993.1</v>
      </c>
      <c r="L66" s="268">
        <f t="shared" si="11"/>
        <v>23834.400000000001</v>
      </c>
      <c r="M66" s="268"/>
      <c r="N66" s="268">
        <v>24</v>
      </c>
      <c r="O66" s="269"/>
      <c r="P66" s="271">
        <f t="shared" si="15"/>
        <v>746.7</v>
      </c>
      <c r="Q66" s="268">
        <f t="shared" si="12"/>
        <v>17920.8</v>
      </c>
      <c r="R66" s="268"/>
      <c r="S66" s="268">
        <f t="shared" si="13"/>
        <v>24</v>
      </c>
      <c r="T66" s="269"/>
      <c r="U66" s="271">
        <v>993.1</v>
      </c>
      <c r="V66" s="268">
        <f t="shared" si="16"/>
        <v>23834.400000000001</v>
      </c>
      <c r="W66" s="268"/>
      <c r="X66" s="268">
        <f t="shared" si="14"/>
        <v>5913.6000000000022</v>
      </c>
      <c r="Y66" s="269"/>
      <c r="Z66" s="270">
        <f t="shared" si="7"/>
        <v>0.33</v>
      </c>
    </row>
    <row r="67" spans="1:26" x14ac:dyDescent="0.25">
      <c r="A67" s="264">
        <f t="shared" si="6"/>
        <v>11</v>
      </c>
      <c r="B67" s="253" t="s">
        <v>364</v>
      </c>
      <c r="C67" s="268"/>
      <c r="D67" s="268">
        <v>18.66</v>
      </c>
      <c r="E67" s="269"/>
      <c r="F67" s="271">
        <v>1194.7</v>
      </c>
      <c r="G67" s="268">
        <f t="shared" si="8"/>
        <v>22293.1</v>
      </c>
      <c r="H67" s="268"/>
      <c r="I67" s="268">
        <f t="shared" si="9"/>
        <v>18.66</v>
      </c>
      <c r="J67" s="269"/>
      <c r="K67" s="271">
        <f t="shared" si="10"/>
        <v>1589</v>
      </c>
      <c r="L67" s="268">
        <f t="shared" si="11"/>
        <v>29650.74</v>
      </c>
      <c r="M67" s="268"/>
      <c r="N67" s="268">
        <v>24</v>
      </c>
      <c r="O67" s="269"/>
      <c r="P67" s="271">
        <f t="shared" si="15"/>
        <v>1194.7</v>
      </c>
      <c r="Q67" s="268">
        <f t="shared" si="12"/>
        <v>28672.799999999999</v>
      </c>
      <c r="R67" s="268"/>
      <c r="S67" s="268">
        <f t="shared" si="13"/>
        <v>24</v>
      </c>
      <c r="T67" s="269"/>
      <c r="U67" s="271">
        <v>1589</v>
      </c>
      <c r="V67" s="268">
        <f t="shared" si="16"/>
        <v>38136</v>
      </c>
      <c r="W67" s="268"/>
      <c r="X67" s="268">
        <f t="shared" si="14"/>
        <v>9463.2000000000007</v>
      </c>
      <c r="Y67" s="269"/>
      <c r="Z67" s="270">
        <f t="shared" si="7"/>
        <v>0.33</v>
      </c>
    </row>
    <row r="68" spans="1:26" x14ac:dyDescent="0.25">
      <c r="A68" s="264">
        <f t="shared" si="6"/>
        <v>12</v>
      </c>
      <c r="C68" s="268"/>
      <c r="D68" s="268"/>
      <c r="E68" s="269"/>
      <c r="F68" s="271"/>
      <c r="G68" s="268"/>
      <c r="H68" s="268"/>
      <c r="I68" s="268"/>
      <c r="J68" s="269"/>
      <c r="K68" s="271"/>
      <c r="L68" s="268"/>
      <c r="M68" s="268"/>
      <c r="N68" s="268"/>
      <c r="O68" s="269"/>
      <c r="P68" s="271"/>
      <c r="Q68" s="268"/>
      <c r="R68" s="268"/>
      <c r="S68" s="268"/>
      <c r="T68" s="269"/>
      <c r="U68" s="271"/>
      <c r="V68" s="268"/>
      <c r="W68" s="268"/>
      <c r="X68" s="268">
        <f t="shared" si="14"/>
        <v>0</v>
      </c>
      <c r="Y68" s="269"/>
      <c r="Z68" s="270"/>
    </row>
    <row r="69" spans="1:26" x14ac:dyDescent="0.25">
      <c r="A69" s="264">
        <f t="shared" si="6"/>
        <v>13</v>
      </c>
      <c r="B69" s="266" t="s">
        <v>365</v>
      </c>
      <c r="C69" s="268"/>
      <c r="D69" s="268"/>
      <c r="E69" s="269"/>
      <c r="F69" s="271"/>
      <c r="G69" s="268"/>
      <c r="H69" s="268"/>
      <c r="I69" s="268"/>
      <c r="J69" s="269"/>
      <c r="K69" s="271"/>
      <c r="L69" s="268"/>
      <c r="M69" s="268"/>
      <c r="N69" s="268"/>
      <c r="O69" s="269"/>
      <c r="P69" s="271"/>
      <c r="Q69" s="268"/>
      <c r="R69" s="268"/>
      <c r="S69" s="268"/>
      <c r="T69" s="269"/>
      <c r="U69" s="271"/>
      <c r="V69" s="268"/>
      <c r="W69" s="268"/>
      <c r="X69" s="267"/>
      <c r="Y69" s="269"/>
      <c r="Z69" s="270"/>
    </row>
    <row r="70" spans="1:26" x14ac:dyDescent="0.25">
      <c r="A70" s="264">
        <f t="shared" si="6"/>
        <v>14</v>
      </c>
      <c r="B70" s="253" t="s">
        <v>366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8">
        <v>2079</v>
      </c>
      <c r="O70" s="269"/>
      <c r="P70" s="292"/>
      <c r="Q70" s="267">
        <f>ROUND(N70*P70,2)</f>
        <v>0</v>
      </c>
      <c r="R70" s="269"/>
      <c r="S70" s="268">
        <f t="shared" ref="S70" si="17">N70</f>
        <v>2079</v>
      </c>
      <c r="T70" s="269"/>
      <c r="U70" s="292">
        <v>-12</v>
      </c>
      <c r="V70" s="267">
        <f>ROUND(S70*U70,2)</f>
        <v>-24948</v>
      </c>
      <c r="W70" s="268"/>
      <c r="X70" s="268">
        <f t="shared" ref="X70:X71" si="18">+V70-Q70</f>
        <v>-24948</v>
      </c>
      <c r="Y70" s="269"/>
      <c r="Z70" s="270">
        <f>IF(Q70=0,0,ROUND((X70/Q70),4))</f>
        <v>0</v>
      </c>
    </row>
    <row r="71" spans="1:26" x14ac:dyDescent="0.25">
      <c r="A71" s="264">
        <f t="shared" si="6"/>
        <v>15</v>
      </c>
      <c r="B71" s="253" t="s">
        <v>367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8">
        <v>2309</v>
      </c>
      <c r="O71" s="269"/>
      <c r="P71" s="271"/>
      <c r="Q71" s="268">
        <f t="shared" ref="Q71" si="19">ROUND(N71*P71,2)</f>
        <v>0</v>
      </c>
      <c r="R71" s="269"/>
      <c r="S71" s="268">
        <f>+N71</f>
        <v>2309</v>
      </c>
      <c r="T71" s="269"/>
      <c r="U71" s="271">
        <v>-4</v>
      </c>
      <c r="V71" s="268">
        <f t="shared" ref="V71" si="20">ROUND(S71*U71,2)</f>
        <v>-9236</v>
      </c>
      <c r="W71" s="268"/>
      <c r="X71" s="268">
        <f t="shared" si="18"/>
        <v>-9236</v>
      </c>
      <c r="Y71" s="269"/>
      <c r="Z71" s="270">
        <f>IF(Q71=0,0,ROUND((X71/Q71),4))</f>
        <v>0</v>
      </c>
    </row>
    <row r="72" spans="1:26" x14ac:dyDescent="0.25">
      <c r="A72" s="264">
        <f t="shared" si="6"/>
        <v>16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8"/>
      <c r="O72" s="269"/>
      <c r="P72" s="292"/>
      <c r="Q72" s="267"/>
      <c r="R72" s="269"/>
      <c r="S72" s="268"/>
      <c r="T72" s="269"/>
      <c r="U72" s="271"/>
      <c r="V72" s="268"/>
      <c r="W72" s="268"/>
      <c r="X72" s="268"/>
      <c r="Y72" s="269"/>
      <c r="Z72" s="270"/>
    </row>
    <row r="73" spans="1:26" x14ac:dyDescent="0.25">
      <c r="A73" s="264">
        <f t="shared" si="6"/>
        <v>17</v>
      </c>
      <c r="F73" s="269"/>
      <c r="K73" s="269"/>
    </row>
    <row r="74" spans="1:26" x14ac:dyDescent="0.25">
      <c r="A74" s="264">
        <f t="shared" si="6"/>
        <v>18</v>
      </c>
      <c r="B74" s="266" t="s">
        <v>368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8"/>
      <c r="Y74" s="269"/>
      <c r="Z74" s="270"/>
    </row>
    <row r="75" spans="1:26" x14ac:dyDescent="0.25">
      <c r="A75" s="264">
        <f t="shared" si="6"/>
        <v>19</v>
      </c>
      <c r="B75" s="253" t="s">
        <v>322</v>
      </c>
      <c r="C75" s="267"/>
      <c r="D75" s="269"/>
      <c r="E75" s="268">
        <v>6033379.921896995</v>
      </c>
      <c r="F75" s="293">
        <v>5.7569999999999997</v>
      </c>
      <c r="G75" s="267">
        <f>ROUND(E75*F75,2)</f>
        <v>34734168.210000001</v>
      </c>
      <c r="H75" s="267"/>
      <c r="I75" s="269"/>
      <c r="J75" s="268">
        <f>E75</f>
        <v>6033379.921896995</v>
      </c>
      <c r="K75" s="293">
        <f>U75</f>
        <v>7.8249000000000004</v>
      </c>
      <c r="L75" s="267">
        <f>ROUND(J75*K75,2)</f>
        <v>47210594.549999997</v>
      </c>
      <c r="M75" s="267"/>
      <c r="N75" s="269"/>
      <c r="O75" s="268">
        <v>5748449.2500000009</v>
      </c>
      <c r="P75" s="293">
        <f>+F75</f>
        <v>5.7569999999999997</v>
      </c>
      <c r="Q75" s="267">
        <f>ROUND(O75*P75,2)</f>
        <v>33093822.329999998</v>
      </c>
      <c r="R75" s="267"/>
      <c r="S75" s="269"/>
      <c r="T75" s="268">
        <f>O75</f>
        <v>5748449.2500000009</v>
      </c>
      <c r="U75" s="293">
        <v>7.8249000000000004</v>
      </c>
      <c r="V75" s="267">
        <f>ROUND(T75*U75,2)</f>
        <v>44981040.539999999</v>
      </c>
      <c r="W75" s="268"/>
      <c r="X75" s="268">
        <f t="shared" ref="X75" si="21">+V75-Q75</f>
        <v>11887218.210000001</v>
      </c>
      <c r="Y75" s="269"/>
      <c r="Z75" s="270">
        <f>IF(Q75=0,0,ROUND((X75/Q75),4))</f>
        <v>0.35920000000000002</v>
      </c>
    </row>
    <row r="76" spans="1:26" x14ac:dyDescent="0.25">
      <c r="A76" s="264">
        <f t="shared" si="6"/>
        <v>20</v>
      </c>
      <c r="C76" s="267"/>
      <c r="D76" s="269"/>
      <c r="E76" s="268"/>
      <c r="F76" s="293"/>
      <c r="G76" s="267"/>
      <c r="H76" s="267"/>
      <c r="I76" s="269"/>
      <c r="J76" s="268"/>
      <c r="K76" s="293"/>
      <c r="L76" s="267"/>
      <c r="M76" s="267"/>
      <c r="N76" s="269"/>
      <c r="O76" s="268"/>
      <c r="P76" s="293"/>
      <c r="Q76" s="267"/>
      <c r="R76" s="267"/>
      <c r="S76" s="269"/>
      <c r="T76" s="268"/>
      <c r="U76" s="293"/>
      <c r="V76" s="267"/>
      <c r="W76" s="268"/>
      <c r="X76" s="267"/>
      <c r="Y76" s="269"/>
      <c r="Z76" s="270"/>
    </row>
    <row r="77" spans="1:26" x14ac:dyDescent="0.25">
      <c r="A77" s="264">
        <f t="shared" si="6"/>
        <v>21</v>
      </c>
      <c r="B77" s="266" t="s">
        <v>365</v>
      </c>
      <c r="C77" s="268"/>
      <c r="E77" s="268"/>
      <c r="F77" s="293"/>
      <c r="G77" s="268"/>
      <c r="H77" s="268"/>
      <c r="J77" s="268"/>
      <c r="K77" s="276"/>
      <c r="L77" s="268"/>
      <c r="M77" s="268"/>
      <c r="O77" s="268"/>
      <c r="P77" s="276"/>
      <c r="Q77" s="268"/>
      <c r="R77" s="268"/>
      <c r="T77" s="268"/>
      <c r="U77" s="276"/>
      <c r="V77" s="268"/>
      <c r="W77" s="268"/>
      <c r="X77" s="268"/>
      <c r="Z77" s="270"/>
    </row>
    <row r="78" spans="1:26" x14ac:dyDescent="0.25">
      <c r="A78" s="264">
        <f t="shared" si="6"/>
        <v>22</v>
      </c>
      <c r="B78" s="253" t="s">
        <v>369</v>
      </c>
      <c r="C78" s="268"/>
      <c r="E78" s="268"/>
      <c r="F78" s="293"/>
      <c r="G78" s="268"/>
      <c r="H78" s="268"/>
      <c r="J78" s="268"/>
      <c r="K78" s="276"/>
      <c r="L78" s="268"/>
      <c r="M78" s="268"/>
      <c r="O78" s="268">
        <v>12126.5</v>
      </c>
      <c r="P78" s="293"/>
      <c r="Q78" s="267">
        <f>ROUND(O78*P78,2)</f>
        <v>0</v>
      </c>
      <c r="R78" s="268"/>
      <c r="T78" s="268">
        <f>+O78</f>
        <v>12126.5</v>
      </c>
      <c r="U78" s="293">
        <v>-4.6949399999999999</v>
      </c>
      <c r="V78" s="267">
        <f>ROUND(T78*U78,2)</f>
        <v>-56933.19</v>
      </c>
      <c r="W78" s="268"/>
      <c r="X78" s="267">
        <f t="shared" ref="X78:X79" si="22">+V78-Q78</f>
        <v>-56933.19</v>
      </c>
      <c r="Y78" s="269"/>
      <c r="Z78" s="270">
        <f t="shared" ref="Z78" si="23">IF(Q78=0,0,ROUND((X78/Q78),4))</f>
        <v>0</v>
      </c>
    </row>
    <row r="79" spans="1:26" x14ac:dyDescent="0.25">
      <c r="A79" s="264">
        <f t="shared" si="6"/>
        <v>23</v>
      </c>
      <c r="B79" s="253" t="s">
        <v>370</v>
      </c>
      <c r="C79" s="268"/>
      <c r="E79" s="268"/>
      <c r="F79" s="293"/>
      <c r="G79" s="268"/>
      <c r="H79" s="268"/>
      <c r="J79" s="268"/>
      <c r="K79" s="276"/>
      <c r="L79" s="268"/>
      <c r="M79" s="268"/>
      <c r="O79" s="268">
        <v>16189.7</v>
      </c>
      <c r="P79" s="276"/>
      <c r="Q79" s="268">
        <f>ROUND(O79*P79,2)</f>
        <v>0</v>
      </c>
      <c r="R79" s="268"/>
      <c r="T79" s="268">
        <f>+O79</f>
        <v>16189.7</v>
      </c>
      <c r="U79" s="276">
        <v>-1.5649799999999994</v>
      </c>
      <c r="V79" s="268">
        <f>ROUND(T79*U79,2)</f>
        <v>-25336.560000000001</v>
      </c>
      <c r="W79" s="268"/>
      <c r="X79" s="268">
        <f t="shared" si="22"/>
        <v>-25336.560000000001</v>
      </c>
      <c r="Y79" s="269"/>
      <c r="Z79" s="270">
        <f>IF(Q79=0,0,ROUND((X79/Q79),4))</f>
        <v>0</v>
      </c>
    </row>
    <row r="80" spans="1:26" x14ac:dyDescent="0.25">
      <c r="A80" s="264">
        <f t="shared" si="6"/>
        <v>24</v>
      </c>
      <c r="C80" s="268"/>
      <c r="E80" s="268"/>
      <c r="F80" s="276"/>
      <c r="G80" s="268"/>
      <c r="H80" s="268"/>
      <c r="J80" s="268"/>
      <c r="K80" s="276"/>
      <c r="L80" s="268"/>
      <c r="M80" s="268"/>
      <c r="O80" s="268"/>
      <c r="P80" s="276"/>
      <c r="Q80" s="268"/>
      <c r="R80" s="268"/>
      <c r="T80" s="268"/>
      <c r="U80" s="276"/>
      <c r="V80" s="268"/>
      <c r="W80" s="268"/>
      <c r="X80" s="268"/>
      <c r="Z80" s="270"/>
    </row>
    <row r="81" spans="1:27" x14ac:dyDescent="0.25">
      <c r="A81" s="264">
        <f t="shared" si="6"/>
        <v>25</v>
      </c>
      <c r="C81" s="268"/>
      <c r="E81" s="268"/>
      <c r="F81" s="276"/>
      <c r="G81" s="268"/>
      <c r="H81" s="268"/>
      <c r="J81" s="268"/>
      <c r="K81" s="276"/>
      <c r="L81" s="268"/>
      <c r="M81" s="268"/>
      <c r="O81" s="268"/>
      <c r="P81" s="276"/>
      <c r="Q81" s="268"/>
      <c r="R81" s="268"/>
      <c r="T81" s="268"/>
      <c r="U81" s="276"/>
      <c r="V81" s="268"/>
      <c r="W81" s="268"/>
      <c r="X81" s="268"/>
      <c r="Z81" s="270"/>
    </row>
    <row r="82" spans="1:27" x14ac:dyDescent="0.25">
      <c r="A82" s="264">
        <f t="shared" si="6"/>
        <v>26</v>
      </c>
      <c r="B82" s="253" t="s">
        <v>371</v>
      </c>
      <c r="E82" s="268"/>
      <c r="F82" s="294"/>
      <c r="G82" s="268">
        <v>3223933.24</v>
      </c>
      <c r="H82" s="268"/>
      <c r="J82" s="268"/>
      <c r="K82" s="294">
        <f>+U82</f>
        <v>0</v>
      </c>
      <c r="L82" s="268">
        <f>+ROUND(SUM(L59:L75)*K82,2)</f>
        <v>0</v>
      </c>
      <c r="O82" s="268"/>
      <c r="P82" s="294"/>
      <c r="Q82" s="267">
        <v>5448545.8799999999</v>
      </c>
      <c r="T82" s="268"/>
      <c r="U82" s="294">
        <v>0</v>
      </c>
      <c r="V82" s="267">
        <f>+ROUND(SUM(V59:V75)*U82,2)</f>
        <v>0</v>
      </c>
      <c r="X82" s="267">
        <f t="shared" ref="X82" si="24">+V82-Q82</f>
        <v>-5448545.8799999999</v>
      </c>
      <c r="Y82" s="269"/>
      <c r="Z82" s="270">
        <f t="shared" ref="Z82" si="25">IF(Q82=0,0,ROUND((X82/Q82),4))</f>
        <v>-1</v>
      </c>
    </row>
    <row r="83" spans="1:27" x14ac:dyDescent="0.25">
      <c r="A83" s="264">
        <f t="shared" si="6"/>
        <v>27</v>
      </c>
      <c r="E83" s="268"/>
      <c r="F83" s="276"/>
      <c r="G83" s="268"/>
      <c r="H83" s="268"/>
      <c r="J83" s="268"/>
      <c r="K83" s="276"/>
      <c r="L83" s="268"/>
      <c r="O83" s="268"/>
      <c r="P83" s="276"/>
      <c r="Q83" s="268"/>
      <c r="T83" s="268"/>
      <c r="U83" s="276"/>
      <c r="V83" s="268"/>
      <c r="X83" s="268"/>
      <c r="Z83" s="270"/>
      <c r="AA83" s="270"/>
    </row>
    <row r="84" spans="1:27" x14ac:dyDescent="0.25">
      <c r="A84" s="264">
        <f t="shared" si="6"/>
        <v>28</v>
      </c>
      <c r="C84" s="279"/>
      <c r="F84" s="276"/>
      <c r="G84" s="279"/>
      <c r="H84" s="279"/>
      <c r="J84" s="268"/>
      <c r="K84" s="293"/>
      <c r="L84" s="279"/>
      <c r="M84" s="279"/>
      <c r="P84" s="264"/>
      <c r="Q84" s="279"/>
      <c r="R84" s="279"/>
      <c r="U84" s="264"/>
      <c r="V84" s="279"/>
      <c r="W84" s="279"/>
      <c r="X84" s="279"/>
      <c r="Z84" s="270"/>
    </row>
    <row r="85" spans="1:27" x14ac:dyDescent="0.25">
      <c r="A85" s="264">
        <f t="shared" si="6"/>
        <v>29</v>
      </c>
      <c r="C85" s="280"/>
      <c r="F85" s="280"/>
      <c r="G85" s="280"/>
      <c r="H85" s="280"/>
      <c r="K85" s="280"/>
      <c r="L85" s="280"/>
      <c r="M85" s="280"/>
      <c r="P85" s="280"/>
      <c r="Q85" s="280"/>
      <c r="R85" s="280"/>
      <c r="U85" s="280"/>
      <c r="V85" s="280"/>
      <c r="W85" s="280"/>
      <c r="X85" s="268"/>
      <c r="Z85" s="270"/>
    </row>
    <row r="86" spans="1:27" ht="15.75" thickBot="1" x14ac:dyDescent="0.3">
      <c r="A86" s="264">
        <f t="shared" si="6"/>
        <v>30</v>
      </c>
      <c r="B86" s="253" t="s">
        <v>19</v>
      </c>
      <c r="C86" s="282"/>
      <c r="D86" s="295"/>
      <c r="E86" s="296">
        <f>+E75</f>
        <v>6033379.921896995</v>
      </c>
      <c r="F86" s="282"/>
      <c r="G86" s="297">
        <f>SUM(G59:G85)</f>
        <v>61416884.899999999</v>
      </c>
      <c r="H86" s="282"/>
      <c r="I86" s="295"/>
      <c r="J86" s="296">
        <f>+J75</f>
        <v>6033379.921896995</v>
      </c>
      <c r="K86" s="282"/>
      <c r="L86" s="297">
        <f>SUM(L59:L85)</f>
        <v>78484894.459999993</v>
      </c>
      <c r="M86" s="282"/>
      <c r="N86" s="295"/>
      <c r="O86" s="296">
        <f>+O75</f>
        <v>5748449.2500000009</v>
      </c>
      <c r="P86" s="282"/>
      <c r="Q86" s="297">
        <f>SUM(Q59:Q85)</f>
        <v>61978033.539999999</v>
      </c>
      <c r="R86" s="282"/>
      <c r="S86" s="295"/>
      <c r="T86" s="296">
        <f>+T75</f>
        <v>5748449.2500000009</v>
      </c>
      <c r="U86" s="282"/>
      <c r="V86" s="297">
        <f>SUM(V59:V85)</f>
        <v>76108080.590000004</v>
      </c>
      <c r="W86" s="282"/>
      <c r="X86" s="297">
        <f>SUM(X59:X85)</f>
        <v>14130047.050000004</v>
      </c>
      <c r="Z86" s="290">
        <f t="shared" ref="Z86" si="26">IF(Q86=0,0,ROUND((X86/Q86),4))</f>
        <v>0.22800000000000001</v>
      </c>
    </row>
    <row r="87" spans="1:27" ht="15.75" thickTop="1" x14ac:dyDescent="0.25">
      <c r="A87" s="264"/>
      <c r="C87" s="268"/>
      <c r="F87" s="284"/>
      <c r="G87" s="268"/>
      <c r="H87" s="268"/>
      <c r="I87" s="268"/>
      <c r="J87" s="268"/>
      <c r="K87" s="268"/>
      <c r="L87" s="268"/>
      <c r="M87" s="268"/>
      <c r="N87" s="268"/>
      <c r="P87" s="284"/>
      <c r="Q87" s="268"/>
      <c r="R87" s="268"/>
      <c r="U87" s="284"/>
      <c r="V87" s="268"/>
      <c r="X87" s="268"/>
      <c r="Z87" s="270"/>
    </row>
    <row r="88" spans="1:27" x14ac:dyDescent="0.25">
      <c r="A88" s="264"/>
      <c r="C88" s="268"/>
      <c r="D88" s="264"/>
      <c r="F88" s="284"/>
      <c r="G88" s="268"/>
      <c r="H88" s="268"/>
      <c r="I88" s="268"/>
      <c r="J88" s="268"/>
      <c r="K88" s="268"/>
      <c r="L88" s="268"/>
      <c r="M88" s="268"/>
      <c r="N88" s="268"/>
      <c r="P88" s="284"/>
      <c r="Q88" s="268"/>
      <c r="R88" s="268"/>
      <c r="S88" s="264"/>
      <c r="U88" s="284"/>
      <c r="V88" s="268"/>
      <c r="X88" s="268"/>
      <c r="Z88" s="270"/>
    </row>
    <row r="89" spans="1:27" x14ac:dyDescent="0.25">
      <c r="A89" s="264"/>
      <c r="F89" s="298"/>
      <c r="P89" s="298"/>
      <c r="U89" s="298"/>
      <c r="X89" s="268"/>
      <c r="Z89" s="270"/>
    </row>
    <row r="90" spans="1:27" x14ac:dyDescent="0.25">
      <c r="A90" s="264"/>
      <c r="F90" s="298"/>
      <c r="P90" s="298"/>
      <c r="U90" s="298"/>
      <c r="X90" s="268"/>
      <c r="Z90" s="270"/>
    </row>
    <row r="91" spans="1:27" x14ac:dyDescent="0.25">
      <c r="A91" s="319" t="str">
        <f>A$1</f>
        <v>Kentucky-American Water Company</v>
      </c>
      <c r="B91" s="319"/>
      <c r="C91" s="319"/>
      <c r="D91" s="319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</row>
    <row r="92" spans="1:27" x14ac:dyDescent="0.25">
      <c r="A92" s="319" t="str">
        <f>+$A$2</f>
        <v>Forecast Year Operating Revenues at Present Rates &amp; Proposed Rates</v>
      </c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19"/>
      <c r="Z92" s="319"/>
    </row>
    <row r="93" spans="1:27" x14ac:dyDescent="0.25">
      <c r="A93" s="319" t="str">
        <f>+$A$3</f>
        <v>Base Year (12 Months Ending September 30, 2023)</v>
      </c>
      <c r="B93" s="319"/>
      <c r="C93" s="319"/>
      <c r="D93" s="319"/>
      <c r="E93" s="319"/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319"/>
      <c r="Z93" s="319"/>
    </row>
    <row r="94" spans="1:27" x14ac:dyDescent="0.25">
      <c r="A94" s="319" t="str">
        <f>+$A$4</f>
        <v>Forecast Year (12 Months Ending January 31, 2025)</v>
      </c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</row>
    <row r="95" spans="1:27" x14ac:dyDescent="0.25">
      <c r="A95" s="254"/>
      <c r="I95" s="319" t="s">
        <v>372</v>
      </c>
      <c r="J95" s="319"/>
      <c r="K95" s="319"/>
      <c r="L95" s="319"/>
      <c r="M95" s="319"/>
      <c r="N95" s="319"/>
      <c r="O95" s="319"/>
      <c r="P95" s="319"/>
      <c r="Q95" s="319"/>
    </row>
    <row r="96" spans="1:27" x14ac:dyDescent="0.25">
      <c r="A96" s="254"/>
      <c r="I96" s="252"/>
      <c r="J96" s="252"/>
      <c r="K96" s="252"/>
      <c r="L96" s="252"/>
      <c r="M96" s="252"/>
      <c r="N96" s="252"/>
      <c r="O96" s="252"/>
      <c r="P96" s="252"/>
      <c r="Q96" s="252"/>
      <c r="Z96" s="255" t="s">
        <v>345</v>
      </c>
    </row>
    <row r="97" spans="1:26" x14ac:dyDescent="0.25">
      <c r="A97" s="254"/>
      <c r="I97" s="252"/>
      <c r="J97" s="252"/>
      <c r="K97" s="252"/>
      <c r="L97" s="252"/>
      <c r="M97" s="252"/>
      <c r="N97" s="252"/>
      <c r="O97" s="252"/>
      <c r="P97" s="252"/>
      <c r="Q97" s="252"/>
      <c r="Z97" s="255" t="str">
        <f>+Z$7</f>
        <v>Witness Responsible:  Chuck Rea</v>
      </c>
    </row>
    <row r="98" spans="1:26" x14ac:dyDescent="0.25">
      <c r="A98" s="254"/>
      <c r="Z98" s="255" t="str">
        <f>$Z$8</f>
        <v>Revenues\[KAWC 2023 Rate Case - Exhibit 37 (M,N) Revenue Present &amp; Proposed.xlsx]Sch M2-M3</v>
      </c>
    </row>
    <row r="99" spans="1:26" x14ac:dyDescent="0.25">
      <c r="A99" s="257"/>
      <c r="B99" s="258"/>
      <c r="C99" s="259"/>
      <c r="D99" s="260"/>
      <c r="E99" s="258"/>
      <c r="F99" s="261"/>
      <c r="G99" s="259"/>
      <c r="H99" s="259"/>
      <c r="I99" s="259"/>
      <c r="J99" s="259"/>
      <c r="K99" s="259"/>
      <c r="L99" s="259"/>
      <c r="M99" s="259"/>
      <c r="N99" s="259"/>
      <c r="O99" s="258"/>
      <c r="P99" s="261"/>
      <c r="Q99" s="259"/>
      <c r="R99" s="259"/>
      <c r="S99" s="259"/>
      <c r="T99" s="260"/>
      <c r="U99" s="261"/>
      <c r="V99" s="260"/>
      <c r="W99" s="260"/>
      <c r="X99" s="262"/>
      <c r="Y99" s="260"/>
      <c r="Z99" s="263"/>
    </row>
    <row r="100" spans="1:26" x14ac:dyDescent="0.25">
      <c r="C100" s="264"/>
      <c r="D100" s="320" t="s">
        <v>326</v>
      </c>
      <c r="E100" s="320" t="s">
        <v>346</v>
      </c>
      <c r="F100" s="320"/>
      <c r="G100" s="320"/>
      <c r="H100" s="264"/>
      <c r="I100" s="320" t="s">
        <v>327</v>
      </c>
      <c r="J100" s="320" t="s">
        <v>346</v>
      </c>
      <c r="K100" s="320"/>
      <c r="L100" s="320"/>
      <c r="M100" s="264"/>
      <c r="N100" s="320" t="s">
        <v>328</v>
      </c>
      <c r="O100" s="320" t="s">
        <v>347</v>
      </c>
      <c r="P100" s="320"/>
      <c r="Q100" s="320"/>
      <c r="R100" s="264"/>
      <c r="S100" s="320" t="s">
        <v>329</v>
      </c>
      <c r="T100" s="320" t="s">
        <v>348</v>
      </c>
      <c r="U100" s="320"/>
      <c r="V100" s="320"/>
      <c r="W100" s="265"/>
      <c r="X100" s="265"/>
    </row>
    <row r="101" spans="1:26" x14ac:dyDescent="0.25">
      <c r="C101" s="264"/>
      <c r="D101" s="264" t="s">
        <v>349</v>
      </c>
      <c r="E101" s="264"/>
      <c r="F101" s="264"/>
      <c r="G101" s="264"/>
      <c r="H101" s="264"/>
      <c r="I101" s="264" t="s">
        <v>349</v>
      </c>
      <c r="J101" s="264"/>
      <c r="K101" s="264"/>
      <c r="L101" s="264"/>
      <c r="M101" s="264"/>
      <c r="N101" s="264" t="s">
        <v>349</v>
      </c>
      <c r="O101" s="264"/>
      <c r="P101" s="264"/>
      <c r="Q101" s="264"/>
      <c r="R101" s="264"/>
      <c r="S101" s="264" t="s">
        <v>349</v>
      </c>
      <c r="T101" s="264"/>
      <c r="U101" s="264"/>
      <c r="V101" s="264"/>
      <c r="W101" s="264"/>
      <c r="X101" s="264"/>
    </row>
    <row r="102" spans="1:26" x14ac:dyDescent="0.25">
      <c r="B102" s="264" t="s">
        <v>330</v>
      </c>
      <c r="C102" s="264"/>
      <c r="D102" s="264" t="s">
        <v>350</v>
      </c>
      <c r="E102" s="264" t="s">
        <v>331</v>
      </c>
      <c r="F102" s="264" t="s">
        <v>351</v>
      </c>
      <c r="G102" s="264" t="s">
        <v>19</v>
      </c>
      <c r="H102" s="264"/>
      <c r="I102" s="264" t="s">
        <v>350</v>
      </c>
      <c r="J102" s="264" t="s">
        <v>331</v>
      </c>
      <c r="K102" s="264" t="s">
        <v>352</v>
      </c>
      <c r="L102" s="264" t="s">
        <v>19</v>
      </c>
      <c r="M102" s="264"/>
      <c r="N102" s="264" t="s">
        <v>350</v>
      </c>
      <c r="O102" s="264" t="s">
        <v>331</v>
      </c>
      <c r="P102" s="264" t="s">
        <v>351</v>
      </c>
      <c r="Q102" s="264" t="s">
        <v>19</v>
      </c>
      <c r="R102" s="264"/>
      <c r="S102" s="264" t="s">
        <v>350</v>
      </c>
      <c r="T102" s="264" t="s">
        <v>331</v>
      </c>
      <c r="U102" s="264" t="s">
        <v>353</v>
      </c>
      <c r="V102" s="264" t="s">
        <v>19</v>
      </c>
      <c r="W102" s="264"/>
      <c r="X102" s="264" t="s">
        <v>332</v>
      </c>
      <c r="Z102" s="264" t="s">
        <v>333</v>
      </c>
    </row>
    <row r="103" spans="1:26" x14ac:dyDescent="0.25">
      <c r="A103" s="257" t="s">
        <v>57</v>
      </c>
      <c r="B103" s="257" t="s">
        <v>21</v>
      </c>
      <c r="C103" s="264"/>
      <c r="D103" s="257" t="s">
        <v>354</v>
      </c>
      <c r="E103" s="257" t="str">
        <f>E56</f>
        <v>(000 Gal)</v>
      </c>
      <c r="F103" s="257" t="s">
        <v>97</v>
      </c>
      <c r="G103" s="257" t="s">
        <v>91</v>
      </c>
      <c r="H103" s="264"/>
      <c r="I103" s="257" t="s">
        <v>354</v>
      </c>
      <c r="J103" s="257" t="str">
        <f>J56</f>
        <v>(000 Gal)</v>
      </c>
      <c r="K103" s="257" t="s">
        <v>97</v>
      </c>
      <c r="L103" s="257" t="s">
        <v>91</v>
      </c>
      <c r="M103" s="264"/>
      <c r="N103" s="257" t="s">
        <v>354</v>
      </c>
      <c r="O103" s="257" t="str">
        <f>E103</f>
        <v>(000 Gal)</v>
      </c>
      <c r="P103" s="257" t="s">
        <v>97</v>
      </c>
      <c r="Q103" s="257" t="s">
        <v>91</v>
      </c>
      <c r="R103" s="264"/>
      <c r="S103" s="257" t="s">
        <v>354</v>
      </c>
      <c r="T103" s="257" t="str">
        <f>O103</f>
        <v>(000 Gal)</v>
      </c>
      <c r="U103" s="257" t="s">
        <v>97</v>
      </c>
      <c r="V103" s="257" t="s">
        <v>91</v>
      </c>
      <c r="W103" s="264"/>
      <c r="X103" s="257" t="s">
        <v>335</v>
      </c>
      <c r="Z103" s="257" t="s">
        <v>335</v>
      </c>
    </row>
    <row r="104" spans="1:26" x14ac:dyDescent="0.25">
      <c r="A104" s="264">
        <v>1</v>
      </c>
      <c r="B104" s="254" t="str">
        <f>+I95</f>
        <v>COMMERCIAL CLASS</v>
      </c>
      <c r="C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Z104" s="264"/>
    </row>
    <row r="105" spans="1:26" x14ac:dyDescent="0.25">
      <c r="A105" s="264">
        <v>2</v>
      </c>
      <c r="B105" s="266" t="s">
        <v>355</v>
      </c>
    </row>
    <row r="106" spans="1:26" x14ac:dyDescent="0.25">
      <c r="A106" s="264">
        <v>3</v>
      </c>
      <c r="B106" s="253" t="s">
        <v>356</v>
      </c>
      <c r="C106" s="267"/>
      <c r="D106" s="268">
        <v>57589.817845701247</v>
      </c>
      <c r="E106" s="269"/>
      <c r="F106" s="292">
        <v>15</v>
      </c>
      <c r="G106" s="267">
        <f>ROUND(D106*F106,2)</f>
        <v>863847.27</v>
      </c>
      <c r="H106" s="267"/>
      <c r="I106" s="268">
        <f>D106</f>
        <v>57589.817845701247</v>
      </c>
      <c r="J106" s="269"/>
      <c r="K106" s="292">
        <f>U106</f>
        <v>20</v>
      </c>
      <c r="L106" s="267">
        <f>ROUND(I106*K106,2)</f>
        <v>1151796.3600000001</v>
      </c>
      <c r="M106" s="267"/>
      <c r="N106" s="268">
        <v>58136.866055060702</v>
      </c>
      <c r="O106" s="269"/>
      <c r="P106" s="292">
        <f t="shared" ref="P106:P113" si="27">+F106</f>
        <v>15</v>
      </c>
      <c r="Q106" s="267">
        <f>ROUND(N106*P106,2)</f>
        <v>872052.99</v>
      </c>
      <c r="R106" s="267"/>
      <c r="S106" s="268">
        <f>N106</f>
        <v>58136.866055060702</v>
      </c>
      <c r="T106" s="269"/>
      <c r="U106" s="292">
        <v>20</v>
      </c>
      <c r="V106" s="267">
        <f>ROUND(S106*U106,2)</f>
        <v>1162737.32</v>
      </c>
      <c r="W106" s="267"/>
      <c r="X106" s="267">
        <f>+V106-Q106</f>
        <v>290684.33000000007</v>
      </c>
      <c r="Y106" s="269"/>
      <c r="Z106" s="270">
        <f t="shared" ref="Z106:Z115" si="28">IF(Q106=0,0,ROUND((X106/Q106),4))</f>
        <v>0.33329999999999999</v>
      </c>
    </row>
    <row r="107" spans="1:26" x14ac:dyDescent="0.25">
      <c r="A107" s="264">
        <v>4</v>
      </c>
      <c r="B107" s="253" t="s">
        <v>357</v>
      </c>
      <c r="C107" s="268"/>
      <c r="D107" s="268">
        <v>0</v>
      </c>
      <c r="E107" s="269"/>
      <c r="F107" s="271">
        <v>22.4</v>
      </c>
      <c r="G107" s="268">
        <f t="shared" ref="G107:G114" si="29">ROUND(D107*F107,2)</f>
        <v>0</v>
      </c>
      <c r="H107" s="268"/>
      <c r="I107" s="268">
        <f t="shared" ref="I107:I114" si="30">D107</f>
        <v>0</v>
      </c>
      <c r="J107" s="269"/>
      <c r="K107" s="271">
        <f t="shared" ref="K107:K114" si="31">U107</f>
        <v>29.8</v>
      </c>
      <c r="L107" s="268">
        <f t="shared" ref="L107:L114" si="32">ROUND(I107*K107,2)</f>
        <v>0</v>
      </c>
      <c r="M107" s="268"/>
      <c r="N107" s="268">
        <v>0</v>
      </c>
      <c r="O107" s="269"/>
      <c r="P107" s="271">
        <f t="shared" si="27"/>
        <v>22.4</v>
      </c>
      <c r="Q107" s="268">
        <f t="shared" ref="Q107:Q114" si="33">ROUND(N107*P107,2)</f>
        <v>0</v>
      </c>
      <c r="R107" s="268"/>
      <c r="S107" s="268">
        <f t="shared" ref="S107:S114" si="34">N107</f>
        <v>0</v>
      </c>
      <c r="T107" s="269"/>
      <c r="U107" s="271">
        <v>29.8</v>
      </c>
      <c r="V107" s="268">
        <f t="shared" ref="V107:V114" si="35">ROUND(S107*U107,2)</f>
        <v>0</v>
      </c>
      <c r="W107" s="268"/>
      <c r="X107" s="268">
        <f t="shared" ref="X107:X115" si="36">+V107-Q107</f>
        <v>0</v>
      </c>
      <c r="Y107" s="269"/>
      <c r="Z107" s="270">
        <f t="shared" si="28"/>
        <v>0</v>
      </c>
    </row>
    <row r="108" spans="1:26" x14ac:dyDescent="0.25">
      <c r="A108" s="264">
        <v>5</v>
      </c>
      <c r="B108" s="253" t="s">
        <v>358</v>
      </c>
      <c r="C108" s="268"/>
      <c r="D108" s="268">
        <v>30349.544846778463</v>
      </c>
      <c r="E108" s="269"/>
      <c r="F108" s="271">
        <v>37.299999999999997</v>
      </c>
      <c r="G108" s="268">
        <f t="shared" si="29"/>
        <v>1132038.02</v>
      </c>
      <c r="H108" s="268"/>
      <c r="I108" s="268">
        <f t="shared" si="30"/>
        <v>30349.544846778463</v>
      </c>
      <c r="J108" s="269"/>
      <c r="K108" s="271">
        <f t="shared" si="31"/>
        <v>49.6</v>
      </c>
      <c r="L108" s="268">
        <f t="shared" si="32"/>
        <v>1505337.42</v>
      </c>
      <c r="M108" s="268"/>
      <c r="N108" s="268">
        <v>30461.086654440634</v>
      </c>
      <c r="O108" s="269"/>
      <c r="P108" s="271">
        <f t="shared" si="27"/>
        <v>37.299999999999997</v>
      </c>
      <c r="Q108" s="268">
        <f t="shared" si="33"/>
        <v>1136198.53</v>
      </c>
      <c r="R108" s="268"/>
      <c r="S108" s="268">
        <f t="shared" si="34"/>
        <v>30461.086654440634</v>
      </c>
      <c r="T108" s="269"/>
      <c r="U108" s="271">
        <v>49.6</v>
      </c>
      <c r="V108" s="268">
        <f t="shared" si="35"/>
        <v>1510869.9</v>
      </c>
      <c r="W108" s="268"/>
      <c r="X108" s="268">
        <f t="shared" si="36"/>
        <v>374671.36999999988</v>
      </c>
      <c r="Y108" s="269"/>
      <c r="Z108" s="270">
        <f t="shared" si="28"/>
        <v>0.32979999999999998</v>
      </c>
    </row>
    <row r="109" spans="1:26" x14ac:dyDescent="0.25">
      <c r="A109" s="264">
        <v>6</v>
      </c>
      <c r="B109" s="253" t="s">
        <v>359</v>
      </c>
      <c r="C109" s="268"/>
      <c r="D109" s="268">
        <v>2117.9816504871178</v>
      </c>
      <c r="E109" s="269"/>
      <c r="F109" s="271">
        <v>74.7</v>
      </c>
      <c r="G109" s="268">
        <f t="shared" si="29"/>
        <v>158213.23000000001</v>
      </c>
      <c r="H109" s="268"/>
      <c r="I109" s="268">
        <f t="shared" si="30"/>
        <v>2117.9816504871178</v>
      </c>
      <c r="J109" s="269"/>
      <c r="K109" s="271">
        <f t="shared" si="31"/>
        <v>99.4</v>
      </c>
      <c r="L109" s="268">
        <f t="shared" si="32"/>
        <v>210527.38</v>
      </c>
      <c r="M109" s="268"/>
      <c r="N109" s="268">
        <v>2126.9256154692534</v>
      </c>
      <c r="O109" s="269"/>
      <c r="P109" s="271">
        <f t="shared" si="27"/>
        <v>74.7</v>
      </c>
      <c r="Q109" s="268">
        <f t="shared" si="33"/>
        <v>158881.34</v>
      </c>
      <c r="R109" s="268"/>
      <c r="S109" s="268">
        <f t="shared" si="34"/>
        <v>2126.9256154692534</v>
      </c>
      <c r="T109" s="269"/>
      <c r="U109" s="271">
        <v>99.4</v>
      </c>
      <c r="V109" s="268">
        <f t="shared" si="35"/>
        <v>211416.41</v>
      </c>
      <c r="W109" s="268"/>
      <c r="X109" s="268">
        <f t="shared" si="36"/>
        <v>52535.070000000007</v>
      </c>
      <c r="Y109" s="269"/>
      <c r="Z109" s="270">
        <f t="shared" si="28"/>
        <v>0.33069999999999999</v>
      </c>
    </row>
    <row r="110" spans="1:26" x14ac:dyDescent="0.25">
      <c r="A110" s="264">
        <v>7</v>
      </c>
      <c r="B110" s="253" t="s">
        <v>360</v>
      </c>
      <c r="C110" s="268"/>
      <c r="D110" s="268">
        <v>25586.864698885853</v>
      </c>
      <c r="E110" s="269"/>
      <c r="F110" s="271">
        <v>119.5</v>
      </c>
      <c r="G110" s="268">
        <f t="shared" si="29"/>
        <v>3057630.33</v>
      </c>
      <c r="H110" s="268"/>
      <c r="I110" s="268">
        <f t="shared" si="30"/>
        <v>25586.864698885853</v>
      </c>
      <c r="J110" s="269"/>
      <c r="K110" s="271">
        <f t="shared" si="31"/>
        <v>158.9</v>
      </c>
      <c r="L110" s="268">
        <f t="shared" si="32"/>
        <v>4065752.8</v>
      </c>
      <c r="M110" s="268"/>
      <c r="N110" s="268">
        <v>25922.173092068108</v>
      </c>
      <c r="O110" s="269"/>
      <c r="P110" s="271">
        <f t="shared" si="27"/>
        <v>119.5</v>
      </c>
      <c r="Q110" s="268">
        <f t="shared" si="33"/>
        <v>3097699.68</v>
      </c>
      <c r="R110" s="268"/>
      <c r="S110" s="268">
        <f t="shared" si="34"/>
        <v>25922.173092068108</v>
      </c>
      <c r="T110" s="269"/>
      <c r="U110" s="271">
        <v>158.9</v>
      </c>
      <c r="V110" s="268">
        <f t="shared" si="35"/>
        <v>4119033.3</v>
      </c>
      <c r="W110" s="268"/>
      <c r="X110" s="268">
        <f t="shared" si="36"/>
        <v>1021333.6199999996</v>
      </c>
      <c r="Y110" s="269"/>
      <c r="Z110" s="270">
        <f t="shared" si="28"/>
        <v>0.32969999999999999</v>
      </c>
    </row>
    <row r="111" spans="1:26" x14ac:dyDescent="0.25">
      <c r="A111" s="264">
        <v>8</v>
      </c>
      <c r="B111" s="253" t="s">
        <v>361</v>
      </c>
      <c r="C111" s="268"/>
      <c r="D111" s="268">
        <v>24</v>
      </c>
      <c r="E111" s="269"/>
      <c r="F111" s="271">
        <v>224</v>
      </c>
      <c r="G111" s="268">
        <f t="shared" si="29"/>
        <v>5376</v>
      </c>
      <c r="H111" s="268"/>
      <c r="I111" s="268">
        <f t="shared" si="30"/>
        <v>24</v>
      </c>
      <c r="J111" s="269"/>
      <c r="K111" s="271">
        <f t="shared" si="31"/>
        <v>297.89999999999998</v>
      </c>
      <c r="L111" s="268">
        <f t="shared" si="32"/>
        <v>7149.6</v>
      </c>
      <c r="M111" s="268"/>
      <c r="N111" s="268">
        <v>24</v>
      </c>
      <c r="O111" s="269"/>
      <c r="P111" s="271">
        <f t="shared" si="27"/>
        <v>224</v>
      </c>
      <c r="Q111" s="268">
        <f t="shared" si="33"/>
        <v>5376</v>
      </c>
      <c r="R111" s="268"/>
      <c r="S111" s="268">
        <f t="shared" si="34"/>
        <v>24</v>
      </c>
      <c r="T111" s="269"/>
      <c r="U111" s="271">
        <v>297.89999999999998</v>
      </c>
      <c r="V111" s="268">
        <f t="shared" si="35"/>
        <v>7149.6</v>
      </c>
      <c r="W111" s="268"/>
      <c r="X111" s="268">
        <f t="shared" si="36"/>
        <v>1773.6000000000004</v>
      </c>
      <c r="Y111" s="269"/>
      <c r="Z111" s="270">
        <f t="shared" si="28"/>
        <v>0.32990000000000003</v>
      </c>
    </row>
    <row r="112" spans="1:26" x14ac:dyDescent="0.25">
      <c r="A112" s="264">
        <v>9</v>
      </c>
      <c r="B112" s="253" t="s">
        <v>362</v>
      </c>
      <c r="C112" s="268"/>
      <c r="D112" s="268">
        <v>480.78999999999996</v>
      </c>
      <c r="E112" s="269"/>
      <c r="F112" s="271">
        <v>373.4</v>
      </c>
      <c r="G112" s="268">
        <f t="shared" si="29"/>
        <v>179526.99</v>
      </c>
      <c r="H112" s="268"/>
      <c r="I112" s="268">
        <f t="shared" si="30"/>
        <v>480.78999999999996</v>
      </c>
      <c r="J112" s="269"/>
      <c r="K112" s="271">
        <f t="shared" si="31"/>
        <v>496.6</v>
      </c>
      <c r="L112" s="268">
        <f t="shared" si="32"/>
        <v>238760.31</v>
      </c>
      <c r="M112" s="268"/>
      <c r="N112" s="268">
        <v>480</v>
      </c>
      <c r="O112" s="269"/>
      <c r="P112" s="271">
        <f t="shared" si="27"/>
        <v>373.4</v>
      </c>
      <c r="Q112" s="268">
        <f t="shared" si="33"/>
        <v>179232</v>
      </c>
      <c r="R112" s="268"/>
      <c r="S112" s="268">
        <f t="shared" si="34"/>
        <v>480</v>
      </c>
      <c r="T112" s="269"/>
      <c r="U112" s="271">
        <v>496.6</v>
      </c>
      <c r="V112" s="268">
        <f t="shared" si="35"/>
        <v>238368</v>
      </c>
      <c r="W112" s="268"/>
      <c r="X112" s="268">
        <f t="shared" si="36"/>
        <v>59136</v>
      </c>
      <c r="Y112" s="269"/>
      <c r="Z112" s="270">
        <f t="shared" si="28"/>
        <v>0.32990000000000003</v>
      </c>
    </row>
    <row r="113" spans="1:27" x14ac:dyDescent="0.25">
      <c r="A113" s="264">
        <v>10</v>
      </c>
      <c r="B113" s="253" t="s">
        <v>363</v>
      </c>
      <c r="C113" s="268"/>
      <c r="D113" s="268">
        <v>179.73000000000002</v>
      </c>
      <c r="E113" s="269"/>
      <c r="F113" s="271">
        <v>746.7</v>
      </c>
      <c r="G113" s="268">
        <f t="shared" si="29"/>
        <v>134204.39000000001</v>
      </c>
      <c r="H113" s="268"/>
      <c r="I113" s="268">
        <f t="shared" si="30"/>
        <v>179.73000000000002</v>
      </c>
      <c r="J113" s="269"/>
      <c r="K113" s="271">
        <f t="shared" si="31"/>
        <v>993.1</v>
      </c>
      <c r="L113" s="268">
        <f t="shared" si="32"/>
        <v>178489.86</v>
      </c>
      <c r="M113" s="268"/>
      <c r="N113" s="268">
        <v>180</v>
      </c>
      <c r="O113" s="269"/>
      <c r="P113" s="271">
        <f t="shared" si="27"/>
        <v>746.7</v>
      </c>
      <c r="Q113" s="268">
        <f t="shared" si="33"/>
        <v>134406</v>
      </c>
      <c r="R113" s="268"/>
      <c r="S113" s="268">
        <f t="shared" si="34"/>
        <v>180</v>
      </c>
      <c r="T113" s="269"/>
      <c r="U113" s="271">
        <v>993.1</v>
      </c>
      <c r="V113" s="268">
        <f t="shared" si="35"/>
        <v>178758</v>
      </c>
      <c r="W113" s="268"/>
      <c r="X113" s="268">
        <f t="shared" si="36"/>
        <v>44352</v>
      </c>
      <c r="Y113" s="269"/>
      <c r="Z113" s="270">
        <f t="shared" si="28"/>
        <v>0.33</v>
      </c>
    </row>
    <row r="114" spans="1:27" x14ac:dyDescent="0.25">
      <c r="A114" s="264">
        <v>11</v>
      </c>
      <c r="B114" s="253" t="s">
        <v>364</v>
      </c>
      <c r="C114" s="268"/>
      <c r="D114" s="268">
        <v>212.94</v>
      </c>
      <c r="E114" s="269"/>
      <c r="F114" s="271">
        <v>1194.7</v>
      </c>
      <c r="G114" s="268">
        <f t="shared" si="29"/>
        <v>254399.42</v>
      </c>
      <c r="H114" s="268"/>
      <c r="I114" s="268">
        <f t="shared" si="30"/>
        <v>212.94</v>
      </c>
      <c r="J114" s="269"/>
      <c r="K114" s="271">
        <f t="shared" si="31"/>
        <v>1589</v>
      </c>
      <c r="L114" s="268">
        <f t="shared" si="32"/>
        <v>338361.66</v>
      </c>
      <c r="M114" s="268"/>
      <c r="N114" s="268">
        <v>216</v>
      </c>
      <c r="O114" s="269"/>
      <c r="P114" s="271">
        <f>+F114</f>
        <v>1194.7</v>
      </c>
      <c r="Q114" s="268">
        <f t="shared" si="33"/>
        <v>258055.2</v>
      </c>
      <c r="R114" s="268"/>
      <c r="S114" s="268">
        <f t="shared" si="34"/>
        <v>216</v>
      </c>
      <c r="T114" s="269"/>
      <c r="U114" s="271">
        <v>1589</v>
      </c>
      <c r="V114" s="268">
        <f t="shared" si="35"/>
        <v>343224</v>
      </c>
      <c r="W114" s="268"/>
      <c r="X114" s="268">
        <f t="shared" si="36"/>
        <v>85168.799999999988</v>
      </c>
      <c r="Y114" s="269"/>
      <c r="Z114" s="270">
        <f t="shared" si="28"/>
        <v>0.33</v>
      </c>
    </row>
    <row r="115" spans="1:27" x14ac:dyDescent="0.25">
      <c r="A115" s="264">
        <v>12</v>
      </c>
      <c r="C115" s="268"/>
      <c r="D115" s="268"/>
      <c r="E115" s="269"/>
      <c r="F115" s="271"/>
      <c r="G115" s="268"/>
      <c r="H115" s="268"/>
      <c r="I115" s="268"/>
      <c r="J115" s="269"/>
      <c r="K115" s="271"/>
      <c r="L115" s="268"/>
      <c r="M115" s="268"/>
      <c r="N115" s="268"/>
      <c r="O115" s="269"/>
      <c r="P115" s="271"/>
      <c r="Q115" s="268"/>
      <c r="R115" s="268"/>
      <c r="S115" s="268"/>
      <c r="T115" s="269"/>
      <c r="U115" s="271"/>
      <c r="V115" s="268"/>
      <c r="W115" s="268"/>
      <c r="X115" s="268">
        <f t="shared" si="36"/>
        <v>0</v>
      </c>
      <c r="Y115" s="269"/>
      <c r="Z115" s="270">
        <f t="shared" si="28"/>
        <v>0</v>
      </c>
    </row>
    <row r="116" spans="1:27" x14ac:dyDescent="0.25">
      <c r="A116" s="264">
        <v>13</v>
      </c>
      <c r="C116" s="268"/>
      <c r="D116" s="268"/>
      <c r="E116" s="269"/>
      <c r="F116" s="271"/>
      <c r="G116" s="268"/>
      <c r="H116" s="268"/>
      <c r="I116" s="268"/>
      <c r="J116" s="269"/>
      <c r="K116" s="271"/>
      <c r="L116" s="268"/>
      <c r="M116" s="268"/>
      <c r="N116" s="268"/>
      <c r="O116" s="269"/>
      <c r="P116" s="271"/>
      <c r="Q116" s="268"/>
      <c r="R116" s="268"/>
      <c r="S116" s="268"/>
      <c r="T116" s="269"/>
      <c r="U116" s="271"/>
      <c r="V116" s="268"/>
      <c r="W116" s="268"/>
      <c r="X116" s="267"/>
      <c r="Y116" s="269"/>
      <c r="Z116" s="270"/>
    </row>
    <row r="117" spans="1:27" x14ac:dyDescent="0.25">
      <c r="A117" s="264">
        <v>14</v>
      </c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8"/>
      <c r="Y117" s="269"/>
      <c r="Z117" s="270"/>
    </row>
    <row r="118" spans="1:27" x14ac:dyDescent="0.25">
      <c r="A118" s="264">
        <v>15</v>
      </c>
      <c r="F118" s="269"/>
      <c r="K118" s="269"/>
    </row>
    <row r="119" spans="1:27" x14ac:dyDescent="0.25">
      <c r="A119" s="264">
        <v>16</v>
      </c>
      <c r="B119" s="266" t="s">
        <v>368</v>
      </c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8"/>
      <c r="Y119" s="269"/>
      <c r="Z119" s="270"/>
    </row>
    <row r="120" spans="1:27" x14ac:dyDescent="0.25">
      <c r="A120" s="264">
        <v>17</v>
      </c>
      <c r="B120" s="253" t="s">
        <v>322</v>
      </c>
      <c r="C120" s="267"/>
      <c r="D120" s="269"/>
      <c r="E120" s="268">
        <v>4175826.0917406371</v>
      </c>
      <c r="F120" s="293">
        <v>5.2065999999999999</v>
      </c>
      <c r="G120" s="267">
        <f>ROUND(E120*F120,2)</f>
        <v>21741856.129999999</v>
      </c>
      <c r="H120" s="267"/>
      <c r="I120" s="269"/>
      <c r="J120" s="268">
        <f>E120</f>
        <v>4175826.0917406371</v>
      </c>
      <c r="K120" s="293">
        <f>U120</f>
        <v>7.0759999999999996</v>
      </c>
      <c r="L120" s="267">
        <f>ROUND(J120*K120,2)</f>
        <v>29548145.43</v>
      </c>
      <c r="M120" s="267"/>
      <c r="N120" s="269"/>
      <c r="O120" s="268">
        <v>4111315.8800000004</v>
      </c>
      <c r="P120" s="293">
        <f>+F120</f>
        <v>5.2065999999999999</v>
      </c>
      <c r="Q120" s="267">
        <f>ROUND(O120*P120,2)</f>
        <v>21405977.260000002</v>
      </c>
      <c r="R120" s="267"/>
      <c r="S120" s="269"/>
      <c r="T120" s="268">
        <f>O120</f>
        <v>4111315.8800000004</v>
      </c>
      <c r="U120" s="293">
        <v>7.0759999999999996</v>
      </c>
      <c r="V120" s="267">
        <f>ROUND(T120*U120,2)</f>
        <v>29091671.170000002</v>
      </c>
      <c r="W120" s="268"/>
      <c r="X120" s="267">
        <f t="shared" ref="X120" si="37">+V120-Q120</f>
        <v>7685693.9100000001</v>
      </c>
      <c r="Y120" s="269"/>
      <c r="Z120" s="270">
        <f t="shared" ref="Z120:Z128" si="38">IF(Q120=0,0,ROUND((X120/Q120),4))</f>
        <v>0.35899999999999999</v>
      </c>
    </row>
    <row r="121" spans="1:27" x14ac:dyDescent="0.25">
      <c r="A121" s="264">
        <v>18</v>
      </c>
      <c r="C121" s="268"/>
      <c r="E121" s="268"/>
      <c r="F121" s="276"/>
      <c r="G121" s="268"/>
      <c r="H121" s="268"/>
      <c r="J121" s="268"/>
      <c r="K121" s="276"/>
      <c r="L121" s="268"/>
      <c r="M121" s="268"/>
      <c r="O121" s="268"/>
      <c r="P121" s="276"/>
      <c r="Q121" s="268"/>
      <c r="R121" s="268"/>
      <c r="T121" s="268"/>
      <c r="U121" s="276"/>
      <c r="V121" s="268"/>
      <c r="W121" s="268"/>
      <c r="X121" s="268"/>
      <c r="Z121" s="270"/>
    </row>
    <row r="122" spans="1:27" x14ac:dyDescent="0.25">
      <c r="A122" s="264">
        <v>19</v>
      </c>
      <c r="C122" s="268"/>
      <c r="E122" s="268"/>
      <c r="F122" s="276"/>
      <c r="G122" s="268"/>
      <c r="H122" s="268"/>
      <c r="J122" s="268"/>
      <c r="K122" s="276"/>
      <c r="L122" s="268"/>
      <c r="M122" s="268"/>
      <c r="O122" s="268"/>
      <c r="P122" s="276"/>
      <c r="Q122" s="268"/>
      <c r="R122" s="268"/>
      <c r="T122" s="268"/>
      <c r="U122" s="276"/>
      <c r="V122" s="268"/>
      <c r="W122" s="268"/>
      <c r="X122" s="268"/>
      <c r="Z122" s="270"/>
    </row>
    <row r="123" spans="1:27" x14ac:dyDescent="0.25">
      <c r="A123" s="264">
        <v>20</v>
      </c>
      <c r="C123" s="268"/>
      <c r="E123" s="268"/>
      <c r="F123" s="276"/>
      <c r="G123" s="268"/>
      <c r="H123" s="268"/>
      <c r="J123" s="268"/>
      <c r="K123" s="276"/>
      <c r="L123" s="268"/>
      <c r="M123" s="268"/>
      <c r="O123" s="268"/>
      <c r="P123" s="276"/>
      <c r="Q123" s="268"/>
      <c r="R123" s="268"/>
      <c r="T123" s="268"/>
      <c r="U123" s="276"/>
      <c r="V123" s="268"/>
      <c r="W123" s="268"/>
      <c r="X123" s="268"/>
      <c r="Z123" s="270"/>
    </row>
    <row r="124" spans="1:27" x14ac:dyDescent="0.25">
      <c r="A124" s="264">
        <v>21</v>
      </c>
      <c r="B124" s="253" t="s">
        <v>371</v>
      </c>
      <c r="E124" s="268"/>
      <c r="F124" s="294"/>
      <c r="G124" s="268">
        <v>1532115.99</v>
      </c>
      <c r="H124" s="268"/>
      <c r="J124" s="268"/>
      <c r="K124" s="294">
        <f>+U124</f>
        <v>0</v>
      </c>
      <c r="L124" s="268">
        <f>+ROUND(SUM(L106:L120)*K124,2)</f>
        <v>0</v>
      </c>
      <c r="O124" s="268"/>
      <c r="P124" s="294"/>
      <c r="Q124" s="267">
        <v>2628841.13</v>
      </c>
      <c r="T124" s="268"/>
      <c r="U124" s="294">
        <v>0</v>
      </c>
      <c r="V124" s="267">
        <f>+ROUND(SUM(V106:V120)*U124,2)</f>
        <v>0</v>
      </c>
      <c r="X124" s="267">
        <f t="shared" ref="X124" si="39">+V124-Q124</f>
        <v>-2628841.13</v>
      </c>
      <c r="Y124" s="269"/>
      <c r="Z124" s="270">
        <f t="shared" ref="Z124" si="40">IF(Q124=0,0,ROUND((X124/Q124),4))</f>
        <v>-1</v>
      </c>
    </row>
    <row r="125" spans="1:27" x14ac:dyDescent="0.25">
      <c r="A125" s="264">
        <v>22</v>
      </c>
      <c r="E125" s="268"/>
      <c r="F125" s="276"/>
      <c r="G125" s="268"/>
      <c r="H125" s="268"/>
      <c r="J125" s="268"/>
      <c r="K125" s="276"/>
      <c r="L125" s="268"/>
      <c r="O125" s="268"/>
      <c r="P125" s="276"/>
      <c r="Q125" s="268"/>
      <c r="T125" s="268"/>
      <c r="U125" s="276"/>
      <c r="V125" s="268"/>
      <c r="X125" s="268"/>
      <c r="Z125" s="270"/>
    </row>
    <row r="126" spans="1:27" x14ac:dyDescent="0.25">
      <c r="A126" s="264">
        <v>23</v>
      </c>
      <c r="C126" s="279"/>
      <c r="F126" s="276"/>
      <c r="G126" s="279"/>
      <c r="H126" s="279"/>
      <c r="J126" s="268"/>
      <c r="K126" s="293"/>
      <c r="L126" s="279"/>
      <c r="M126" s="279"/>
      <c r="P126" s="264"/>
      <c r="Q126" s="279"/>
      <c r="R126" s="279"/>
      <c r="U126" s="264"/>
      <c r="V126" s="279"/>
      <c r="W126" s="279"/>
      <c r="X126" s="279"/>
      <c r="Z126" s="270"/>
      <c r="AA126" s="270"/>
    </row>
    <row r="127" spans="1:27" x14ac:dyDescent="0.25">
      <c r="A127" s="264">
        <v>24</v>
      </c>
      <c r="C127" s="280"/>
      <c r="F127" s="280"/>
      <c r="G127" s="280"/>
      <c r="H127" s="280"/>
      <c r="K127" s="280"/>
      <c r="L127" s="280"/>
      <c r="M127" s="280"/>
      <c r="P127" s="280"/>
      <c r="Q127" s="280"/>
      <c r="R127" s="280"/>
      <c r="U127" s="280"/>
      <c r="V127" s="280"/>
      <c r="W127" s="280"/>
      <c r="X127" s="268"/>
      <c r="Z127" s="270"/>
    </row>
    <row r="128" spans="1:27" ht="15.75" thickBot="1" x14ac:dyDescent="0.3">
      <c r="A128" s="264">
        <v>25</v>
      </c>
      <c r="B128" s="253" t="s">
        <v>19</v>
      </c>
      <c r="C128" s="282"/>
      <c r="D128" s="295"/>
      <c r="E128" s="296">
        <f>SUM(E120:E127)</f>
        <v>4175826.0917406371</v>
      </c>
      <c r="F128" s="282"/>
      <c r="G128" s="297">
        <f>SUM(G106:G127)</f>
        <v>29059207.769999996</v>
      </c>
      <c r="H128" s="282"/>
      <c r="I128" s="295"/>
      <c r="J128" s="296">
        <f>SUM(J120:J127)</f>
        <v>4175826.0917406371</v>
      </c>
      <c r="K128" s="282"/>
      <c r="L128" s="297">
        <f>SUM(L106:L127)</f>
        <v>37244320.82</v>
      </c>
      <c r="M128" s="282"/>
      <c r="N128" s="295"/>
      <c r="O128" s="296">
        <f>SUM(O120:O127)</f>
        <v>4111315.8800000004</v>
      </c>
      <c r="P128" s="282"/>
      <c r="Q128" s="297">
        <f>SUM(Q106:Q127)</f>
        <v>29876720.129999999</v>
      </c>
      <c r="R128" s="282"/>
      <c r="S128" s="295"/>
      <c r="T128" s="296">
        <f>SUM(T120:T127)</f>
        <v>4111315.8800000004</v>
      </c>
      <c r="U128" s="282"/>
      <c r="V128" s="297">
        <f>SUM(V106:V127)</f>
        <v>36863227.700000003</v>
      </c>
      <c r="W128" s="282"/>
      <c r="X128" s="297">
        <f>SUM(X106:X127)</f>
        <v>6986507.5699999994</v>
      </c>
      <c r="Z128" s="290">
        <f t="shared" si="38"/>
        <v>0.23380000000000001</v>
      </c>
    </row>
    <row r="129" spans="1:26" ht="15.75" thickTop="1" x14ac:dyDescent="0.25">
      <c r="A129" s="264"/>
      <c r="C129" s="268"/>
      <c r="F129" s="284"/>
      <c r="G129" s="268"/>
      <c r="H129" s="268"/>
      <c r="I129" s="268"/>
      <c r="J129" s="268"/>
      <c r="K129" s="268"/>
      <c r="L129" s="268"/>
      <c r="M129" s="268"/>
      <c r="N129" s="268"/>
      <c r="P129" s="284"/>
      <c r="Q129" s="268"/>
      <c r="R129" s="268"/>
      <c r="U129" s="284"/>
      <c r="V129" s="268"/>
      <c r="X129" s="268"/>
      <c r="Z129" s="270"/>
    </row>
    <row r="130" spans="1:26" x14ac:dyDescent="0.25">
      <c r="A130" s="264"/>
      <c r="C130" s="268"/>
      <c r="D130" s="264"/>
      <c r="F130" s="284"/>
      <c r="G130" s="268"/>
      <c r="H130" s="268"/>
      <c r="I130" s="268"/>
      <c r="J130" s="268"/>
      <c r="K130" s="268"/>
      <c r="L130" s="268"/>
      <c r="M130" s="268"/>
      <c r="N130" s="268"/>
      <c r="P130" s="284"/>
      <c r="Q130" s="268"/>
      <c r="R130" s="268"/>
      <c r="S130" s="264"/>
      <c r="U130" s="284"/>
      <c r="V130" s="268"/>
      <c r="X130" s="268"/>
      <c r="Z130" s="270"/>
    </row>
    <row r="131" spans="1:26" x14ac:dyDescent="0.25">
      <c r="A131" s="264"/>
      <c r="F131" s="298"/>
      <c r="G131" s="299"/>
      <c r="P131" s="298"/>
      <c r="U131" s="298"/>
      <c r="X131" s="268"/>
      <c r="Z131" s="270"/>
    </row>
    <row r="132" spans="1:26" x14ac:dyDescent="0.25">
      <c r="A132" s="264"/>
      <c r="F132" s="298"/>
      <c r="P132" s="298"/>
      <c r="U132" s="298"/>
      <c r="X132" s="268"/>
      <c r="Z132" s="270"/>
    </row>
    <row r="133" spans="1:26" x14ac:dyDescent="0.25">
      <c r="A133" s="319" t="str">
        <f>A$1</f>
        <v>Kentucky-American Water Company</v>
      </c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</row>
    <row r="134" spans="1:26" x14ac:dyDescent="0.25">
      <c r="A134" s="319" t="str">
        <f>+$A$2</f>
        <v>Forecast Year Operating Revenues at Present Rates &amp; Proposed Rates</v>
      </c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</row>
    <row r="135" spans="1:26" x14ac:dyDescent="0.25">
      <c r="A135" s="319" t="str">
        <f>+$A$3</f>
        <v>Base Year (12 Months Ending September 30, 2023)</v>
      </c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</row>
    <row r="136" spans="1:26" x14ac:dyDescent="0.25">
      <c r="A136" s="319" t="str">
        <f>+$A$4</f>
        <v>Forecast Year (12 Months Ending January 31, 2025)</v>
      </c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</row>
    <row r="137" spans="1:26" x14ac:dyDescent="0.25">
      <c r="A137" s="254"/>
      <c r="I137" s="319" t="s">
        <v>373</v>
      </c>
      <c r="J137" s="319"/>
      <c r="K137" s="319"/>
      <c r="L137" s="319"/>
      <c r="M137" s="319"/>
      <c r="N137" s="319"/>
      <c r="O137" s="319"/>
      <c r="P137" s="319"/>
      <c r="Q137" s="319"/>
    </row>
    <row r="138" spans="1:26" x14ac:dyDescent="0.25">
      <c r="A138" s="254"/>
      <c r="I138" s="252"/>
      <c r="J138" s="252"/>
      <c r="K138" s="252"/>
      <c r="L138" s="252"/>
      <c r="M138" s="252"/>
      <c r="N138" s="252"/>
      <c r="O138" s="252"/>
      <c r="P138" s="252"/>
      <c r="Q138" s="252"/>
      <c r="Z138" s="255" t="s">
        <v>345</v>
      </c>
    </row>
    <row r="139" spans="1:26" x14ac:dyDescent="0.25">
      <c r="A139" s="254"/>
      <c r="I139" s="252"/>
      <c r="J139" s="252"/>
      <c r="K139" s="252"/>
      <c r="L139" s="252"/>
      <c r="M139" s="252"/>
      <c r="N139" s="252"/>
      <c r="O139" s="252"/>
      <c r="P139" s="252"/>
      <c r="Q139" s="252"/>
      <c r="Z139" s="255" t="str">
        <f>+Z$7</f>
        <v>Witness Responsible:  Chuck Rea</v>
      </c>
    </row>
    <row r="140" spans="1:26" x14ac:dyDescent="0.25">
      <c r="A140" s="254"/>
      <c r="Z140" s="255" t="str">
        <f>$Z$8</f>
        <v>Revenues\[KAWC 2023 Rate Case - Exhibit 37 (M,N) Revenue Present &amp; Proposed.xlsx]Sch M2-M3</v>
      </c>
    </row>
    <row r="141" spans="1:26" x14ac:dyDescent="0.25">
      <c r="A141" s="257"/>
      <c r="B141" s="258"/>
      <c r="C141" s="259"/>
      <c r="D141" s="260"/>
      <c r="E141" s="258"/>
      <c r="F141" s="261"/>
      <c r="G141" s="259"/>
      <c r="H141" s="259"/>
      <c r="I141" s="259"/>
      <c r="J141" s="259"/>
      <c r="K141" s="259"/>
      <c r="L141" s="259"/>
      <c r="M141" s="259"/>
      <c r="N141" s="259"/>
      <c r="O141" s="258"/>
      <c r="P141" s="261"/>
      <c r="Q141" s="259"/>
      <c r="R141" s="259"/>
      <c r="S141" s="259"/>
      <c r="T141" s="260"/>
      <c r="U141" s="261"/>
      <c r="V141" s="260"/>
      <c r="W141" s="260"/>
      <c r="X141" s="262"/>
      <c r="Y141" s="260"/>
      <c r="Z141" s="263"/>
    </row>
    <row r="142" spans="1:26" x14ac:dyDescent="0.25">
      <c r="C142" s="264"/>
      <c r="D142" s="320" t="s">
        <v>326</v>
      </c>
      <c r="E142" s="320" t="s">
        <v>346</v>
      </c>
      <c r="F142" s="320"/>
      <c r="G142" s="320"/>
      <c r="H142" s="264"/>
      <c r="I142" s="320" t="s">
        <v>327</v>
      </c>
      <c r="J142" s="320" t="s">
        <v>346</v>
      </c>
      <c r="K142" s="320"/>
      <c r="L142" s="320"/>
      <c r="M142" s="264"/>
      <c r="N142" s="320" t="s">
        <v>328</v>
      </c>
      <c r="O142" s="320" t="s">
        <v>347</v>
      </c>
      <c r="P142" s="320"/>
      <c r="Q142" s="320"/>
      <c r="R142" s="264"/>
      <c r="S142" s="320" t="s">
        <v>329</v>
      </c>
      <c r="T142" s="320" t="s">
        <v>348</v>
      </c>
      <c r="U142" s="320"/>
      <c r="V142" s="320"/>
      <c r="W142" s="265"/>
      <c r="X142" s="265"/>
    </row>
    <row r="143" spans="1:26" x14ac:dyDescent="0.25">
      <c r="C143" s="264"/>
      <c r="D143" s="264" t="s">
        <v>349</v>
      </c>
      <c r="E143" s="264"/>
      <c r="F143" s="264"/>
      <c r="G143" s="264"/>
      <c r="H143" s="264"/>
      <c r="I143" s="264" t="s">
        <v>349</v>
      </c>
      <c r="J143" s="264"/>
      <c r="K143" s="264"/>
      <c r="L143" s="264"/>
      <c r="M143" s="264"/>
      <c r="N143" s="264" t="s">
        <v>349</v>
      </c>
      <c r="O143" s="264"/>
      <c r="P143" s="264"/>
      <c r="Q143" s="264"/>
      <c r="R143" s="264"/>
      <c r="S143" s="264" t="s">
        <v>349</v>
      </c>
      <c r="T143" s="264"/>
      <c r="U143" s="264"/>
      <c r="V143" s="264"/>
      <c r="W143" s="264"/>
      <c r="X143" s="264"/>
    </row>
    <row r="144" spans="1:26" x14ac:dyDescent="0.25">
      <c r="B144" s="264" t="s">
        <v>330</v>
      </c>
      <c r="C144" s="264"/>
      <c r="D144" s="264" t="s">
        <v>350</v>
      </c>
      <c r="E144" s="264" t="s">
        <v>331</v>
      </c>
      <c r="F144" s="264" t="s">
        <v>351</v>
      </c>
      <c r="G144" s="264" t="s">
        <v>19</v>
      </c>
      <c r="H144" s="264"/>
      <c r="I144" s="264" t="s">
        <v>350</v>
      </c>
      <c r="J144" s="264" t="s">
        <v>331</v>
      </c>
      <c r="K144" s="264" t="s">
        <v>352</v>
      </c>
      <c r="L144" s="264" t="s">
        <v>19</v>
      </c>
      <c r="M144" s="264"/>
      <c r="N144" s="264" t="s">
        <v>350</v>
      </c>
      <c r="O144" s="264" t="s">
        <v>331</v>
      </c>
      <c r="P144" s="264" t="s">
        <v>351</v>
      </c>
      <c r="Q144" s="264" t="s">
        <v>19</v>
      </c>
      <c r="R144" s="264"/>
      <c r="S144" s="264" t="s">
        <v>350</v>
      </c>
      <c r="T144" s="264" t="s">
        <v>331</v>
      </c>
      <c r="U144" s="264" t="s">
        <v>353</v>
      </c>
      <c r="V144" s="264" t="s">
        <v>19</v>
      </c>
      <c r="W144" s="264"/>
      <c r="X144" s="264" t="s">
        <v>332</v>
      </c>
      <c r="Z144" s="264" t="s">
        <v>333</v>
      </c>
    </row>
    <row r="145" spans="1:26" x14ac:dyDescent="0.25">
      <c r="A145" s="257" t="s">
        <v>57</v>
      </c>
      <c r="B145" s="257" t="s">
        <v>21</v>
      </c>
      <c r="C145" s="264"/>
      <c r="D145" s="257" t="s">
        <v>354</v>
      </c>
      <c r="E145" s="257" t="str">
        <f>E103</f>
        <v>(000 Gal)</v>
      </c>
      <c r="F145" s="257" t="s">
        <v>97</v>
      </c>
      <c r="G145" s="257" t="s">
        <v>91</v>
      </c>
      <c r="H145" s="264"/>
      <c r="I145" s="257" t="s">
        <v>354</v>
      </c>
      <c r="J145" s="257" t="str">
        <f>J103</f>
        <v>(000 Gal)</v>
      </c>
      <c r="K145" s="257" t="s">
        <v>97</v>
      </c>
      <c r="L145" s="257" t="s">
        <v>91</v>
      </c>
      <c r="M145" s="264"/>
      <c r="N145" s="257" t="s">
        <v>354</v>
      </c>
      <c r="O145" s="257" t="str">
        <f>E145</f>
        <v>(000 Gal)</v>
      </c>
      <c r="P145" s="257" t="s">
        <v>97</v>
      </c>
      <c r="Q145" s="257" t="s">
        <v>91</v>
      </c>
      <c r="R145" s="264"/>
      <c r="S145" s="257" t="s">
        <v>354</v>
      </c>
      <c r="T145" s="257" t="str">
        <f>O145</f>
        <v>(000 Gal)</v>
      </c>
      <c r="U145" s="257" t="s">
        <v>97</v>
      </c>
      <c r="V145" s="257" t="s">
        <v>91</v>
      </c>
      <c r="W145" s="264"/>
      <c r="X145" s="257" t="s">
        <v>335</v>
      </c>
      <c r="Z145" s="257" t="s">
        <v>335</v>
      </c>
    </row>
    <row r="146" spans="1:26" x14ac:dyDescent="0.25">
      <c r="A146" s="264">
        <v>1</v>
      </c>
      <c r="B146" s="254" t="str">
        <f>+I137</f>
        <v>INDUSTRIAL CLASS</v>
      </c>
      <c r="C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Z146" s="264"/>
    </row>
    <row r="147" spans="1:26" x14ac:dyDescent="0.25">
      <c r="A147" s="264">
        <v>2</v>
      </c>
      <c r="B147" s="266" t="s">
        <v>355</v>
      </c>
    </row>
    <row r="148" spans="1:26" x14ac:dyDescent="0.25">
      <c r="A148" s="264">
        <v>3</v>
      </c>
      <c r="B148" s="253" t="s">
        <v>356</v>
      </c>
      <c r="C148" s="267"/>
      <c r="D148" s="268">
        <v>36</v>
      </c>
      <c r="E148" s="269"/>
      <c r="F148" s="292">
        <v>15</v>
      </c>
      <c r="G148" s="267">
        <f>ROUND(D148*F148,2)</f>
        <v>540</v>
      </c>
      <c r="H148" s="267"/>
      <c r="I148" s="268">
        <f>D148</f>
        <v>36</v>
      </c>
      <c r="J148" s="269"/>
      <c r="K148" s="292">
        <f>U148</f>
        <v>20</v>
      </c>
      <c r="L148" s="267">
        <f>ROUND(I148*K148,2)</f>
        <v>720</v>
      </c>
      <c r="M148" s="267"/>
      <c r="N148" s="268">
        <v>36</v>
      </c>
      <c r="O148" s="269"/>
      <c r="P148" s="292">
        <f t="shared" ref="P148:P155" si="41">+F148</f>
        <v>15</v>
      </c>
      <c r="Q148" s="267">
        <f>ROUND(N148*P148,2)</f>
        <v>540</v>
      </c>
      <c r="R148" s="267"/>
      <c r="S148" s="268">
        <f>N148</f>
        <v>36</v>
      </c>
      <c r="T148" s="269"/>
      <c r="U148" s="292">
        <v>20</v>
      </c>
      <c r="V148" s="267">
        <f>ROUND(S148*U148,2)</f>
        <v>720</v>
      </c>
      <c r="W148" s="267"/>
      <c r="X148" s="267">
        <f>+V148-Q148</f>
        <v>180</v>
      </c>
      <c r="Y148" s="269"/>
      <c r="Z148" s="270">
        <f t="shared" ref="Z148:Z157" si="42">IF(Q148=0,0,ROUND((X148/Q148),4))</f>
        <v>0.33329999999999999</v>
      </c>
    </row>
    <row r="149" spans="1:26" x14ac:dyDescent="0.25">
      <c r="A149" s="264">
        <v>4</v>
      </c>
      <c r="B149" s="253" t="s">
        <v>357</v>
      </c>
      <c r="C149" s="268"/>
      <c r="D149" s="268">
        <v>0</v>
      </c>
      <c r="E149" s="269"/>
      <c r="F149" s="271">
        <v>22.4</v>
      </c>
      <c r="G149" s="268">
        <f t="shared" ref="G149:G156" si="43">ROUND(D149*F149,2)</f>
        <v>0</v>
      </c>
      <c r="H149" s="268"/>
      <c r="I149" s="268">
        <f t="shared" ref="I149:I156" si="44">D149</f>
        <v>0</v>
      </c>
      <c r="J149" s="269"/>
      <c r="K149" s="271">
        <f t="shared" ref="K149:K156" si="45">U149</f>
        <v>29.8</v>
      </c>
      <c r="L149" s="268">
        <f t="shared" ref="L149:L156" si="46">ROUND(I149*K149,2)</f>
        <v>0</v>
      </c>
      <c r="M149" s="268"/>
      <c r="N149" s="268">
        <v>0</v>
      </c>
      <c r="O149" s="269"/>
      <c r="P149" s="271">
        <f t="shared" si="41"/>
        <v>22.4</v>
      </c>
      <c r="Q149" s="268">
        <f t="shared" ref="Q149:Q156" si="47">ROUND(N149*P149,2)</f>
        <v>0</v>
      </c>
      <c r="R149" s="268"/>
      <c r="S149" s="268">
        <f t="shared" ref="S149:S156" si="48">N149</f>
        <v>0</v>
      </c>
      <c r="T149" s="269"/>
      <c r="U149" s="271">
        <v>29.8</v>
      </c>
      <c r="V149" s="268">
        <f t="shared" ref="V149:V156" si="49">ROUND(S149*U149,2)</f>
        <v>0</v>
      </c>
      <c r="W149" s="268"/>
      <c r="X149" s="268">
        <f t="shared" ref="X149:X157" si="50">+V149-Q149</f>
        <v>0</v>
      </c>
      <c r="Y149" s="269"/>
      <c r="Z149" s="270">
        <f t="shared" si="42"/>
        <v>0</v>
      </c>
    </row>
    <row r="150" spans="1:26" x14ac:dyDescent="0.25">
      <c r="A150" s="264">
        <v>5</v>
      </c>
      <c r="B150" s="253" t="s">
        <v>358</v>
      </c>
      <c r="C150" s="268"/>
      <c r="D150" s="268">
        <v>47.58</v>
      </c>
      <c r="E150" s="269"/>
      <c r="F150" s="271">
        <v>37.299999999999997</v>
      </c>
      <c r="G150" s="268">
        <f t="shared" si="43"/>
        <v>1774.73</v>
      </c>
      <c r="H150" s="268"/>
      <c r="I150" s="268">
        <f t="shared" si="44"/>
        <v>47.58</v>
      </c>
      <c r="J150" s="269"/>
      <c r="K150" s="271">
        <f t="shared" si="45"/>
        <v>49.6</v>
      </c>
      <c r="L150" s="268">
        <f t="shared" si="46"/>
        <v>2359.9699999999998</v>
      </c>
      <c r="M150" s="268"/>
      <c r="N150" s="268">
        <v>48</v>
      </c>
      <c r="O150" s="269"/>
      <c r="P150" s="271">
        <f t="shared" si="41"/>
        <v>37.299999999999997</v>
      </c>
      <c r="Q150" s="268">
        <f t="shared" si="47"/>
        <v>1790.4</v>
      </c>
      <c r="R150" s="268"/>
      <c r="S150" s="268">
        <f t="shared" si="48"/>
        <v>48</v>
      </c>
      <c r="T150" s="269"/>
      <c r="U150" s="271">
        <v>49.6</v>
      </c>
      <c r="V150" s="268">
        <f t="shared" si="49"/>
        <v>2380.8000000000002</v>
      </c>
      <c r="W150" s="268"/>
      <c r="X150" s="268">
        <f t="shared" si="50"/>
        <v>590.40000000000009</v>
      </c>
      <c r="Y150" s="269"/>
      <c r="Z150" s="270">
        <f t="shared" si="42"/>
        <v>0.32979999999999998</v>
      </c>
    </row>
    <row r="151" spans="1:26" x14ac:dyDescent="0.25">
      <c r="A151" s="264">
        <v>6</v>
      </c>
      <c r="B151" s="253" t="s">
        <v>359</v>
      </c>
      <c r="C151" s="268"/>
      <c r="D151" s="268">
        <v>12.58</v>
      </c>
      <c r="E151" s="269"/>
      <c r="F151" s="271">
        <v>74.7</v>
      </c>
      <c r="G151" s="268">
        <f t="shared" si="43"/>
        <v>939.73</v>
      </c>
      <c r="H151" s="268"/>
      <c r="I151" s="268">
        <f t="shared" si="44"/>
        <v>12.58</v>
      </c>
      <c r="J151" s="269"/>
      <c r="K151" s="271">
        <f t="shared" si="45"/>
        <v>99.4</v>
      </c>
      <c r="L151" s="268">
        <f t="shared" si="46"/>
        <v>1250.45</v>
      </c>
      <c r="M151" s="268"/>
      <c r="N151" s="268">
        <v>12</v>
      </c>
      <c r="O151" s="269"/>
      <c r="P151" s="271">
        <f t="shared" si="41"/>
        <v>74.7</v>
      </c>
      <c r="Q151" s="268">
        <f t="shared" si="47"/>
        <v>896.4</v>
      </c>
      <c r="R151" s="268"/>
      <c r="S151" s="268">
        <f t="shared" si="48"/>
        <v>12</v>
      </c>
      <c r="T151" s="269"/>
      <c r="U151" s="271">
        <v>99.4</v>
      </c>
      <c r="V151" s="268">
        <f t="shared" si="49"/>
        <v>1192.8</v>
      </c>
      <c r="W151" s="268"/>
      <c r="X151" s="268">
        <f t="shared" si="50"/>
        <v>296.39999999999998</v>
      </c>
      <c r="Y151" s="269"/>
      <c r="Z151" s="270">
        <f t="shared" si="42"/>
        <v>0.33069999999999999</v>
      </c>
    </row>
    <row r="152" spans="1:26" x14ac:dyDescent="0.25">
      <c r="A152" s="264">
        <v>7</v>
      </c>
      <c r="B152" s="253" t="s">
        <v>360</v>
      </c>
      <c r="C152" s="268"/>
      <c r="D152" s="268">
        <v>277.3</v>
      </c>
      <c r="E152" s="269"/>
      <c r="F152" s="271">
        <v>119.5</v>
      </c>
      <c r="G152" s="268">
        <f t="shared" si="43"/>
        <v>33137.35</v>
      </c>
      <c r="H152" s="268"/>
      <c r="I152" s="268">
        <f t="shared" si="44"/>
        <v>277.3</v>
      </c>
      <c r="J152" s="269"/>
      <c r="K152" s="271">
        <f t="shared" si="45"/>
        <v>158.9</v>
      </c>
      <c r="L152" s="268">
        <f t="shared" si="46"/>
        <v>44062.97</v>
      </c>
      <c r="M152" s="268"/>
      <c r="N152" s="268">
        <v>276</v>
      </c>
      <c r="O152" s="269"/>
      <c r="P152" s="271">
        <f t="shared" si="41"/>
        <v>119.5</v>
      </c>
      <c r="Q152" s="268">
        <f t="shared" si="47"/>
        <v>32982</v>
      </c>
      <c r="R152" s="268"/>
      <c r="S152" s="268">
        <f t="shared" si="48"/>
        <v>276</v>
      </c>
      <c r="T152" s="269"/>
      <c r="U152" s="271">
        <v>158.9</v>
      </c>
      <c r="V152" s="268">
        <f t="shared" si="49"/>
        <v>43856.4</v>
      </c>
      <c r="W152" s="268"/>
      <c r="X152" s="268">
        <f t="shared" si="50"/>
        <v>10874.400000000001</v>
      </c>
      <c r="Y152" s="269"/>
      <c r="Z152" s="270">
        <f t="shared" si="42"/>
        <v>0.32969999999999999</v>
      </c>
    </row>
    <row r="153" spans="1:26" x14ac:dyDescent="0.25">
      <c r="A153" s="264">
        <v>8</v>
      </c>
      <c r="B153" s="253" t="s">
        <v>361</v>
      </c>
      <c r="C153" s="268"/>
      <c r="D153" s="268">
        <v>0</v>
      </c>
      <c r="E153" s="269"/>
      <c r="F153" s="271">
        <v>224</v>
      </c>
      <c r="G153" s="268">
        <f t="shared" si="43"/>
        <v>0</v>
      </c>
      <c r="H153" s="268"/>
      <c r="I153" s="268">
        <f t="shared" si="44"/>
        <v>0</v>
      </c>
      <c r="J153" s="269"/>
      <c r="K153" s="271">
        <f t="shared" si="45"/>
        <v>297.89999999999998</v>
      </c>
      <c r="L153" s="268">
        <f t="shared" si="46"/>
        <v>0</v>
      </c>
      <c r="M153" s="268"/>
      <c r="N153" s="268">
        <v>0</v>
      </c>
      <c r="O153" s="269"/>
      <c r="P153" s="271">
        <f t="shared" si="41"/>
        <v>224</v>
      </c>
      <c r="Q153" s="268">
        <f t="shared" si="47"/>
        <v>0</v>
      </c>
      <c r="R153" s="268"/>
      <c r="S153" s="268">
        <f t="shared" si="48"/>
        <v>0</v>
      </c>
      <c r="T153" s="269"/>
      <c r="U153" s="271">
        <v>297.89999999999998</v>
      </c>
      <c r="V153" s="268">
        <f t="shared" si="49"/>
        <v>0</v>
      </c>
      <c r="W153" s="268"/>
      <c r="X153" s="268">
        <f t="shared" si="50"/>
        <v>0</v>
      </c>
      <c r="Y153" s="269"/>
      <c r="Z153" s="270">
        <f t="shared" si="42"/>
        <v>0</v>
      </c>
    </row>
    <row r="154" spans="1:26" x14ac:dyDescent="0.25">
      <c r="A154" s="264">
        <v>9</v>
      </c>
      <c r="B154" s="253" t="s">
        <v>362</v>
      </c>
      <c r="C154" s="268"/>
      <c r="D154" s="268">
        <v>127.12</v>
      </c>
      <c r="E154" s="269"/>
      <c r="F154" s="271">
        <v>373.4</v>
      </c>
      <c r="G154" s="268">
        <f t="shared" si="43"/>
        <v>47466.61</v>
      </c>
      <c r="H154" s="268"/>
      <c r="I154" s="268">
        <f t="shared" si="44"/>
        <v>127.12</v>
      </c>
      <c r="J154" s="269"/>
      <c r="K154" s="271">
        <f t="shared" si="45"/>
        <v>496.6</v>
      </c>
      <c r="L154" s="268">
        <f t="shared" si="46"/>
        <v>63127.79</v>
      </c>
      <c r="M154" s="268"/>
      <c r="N154" s="268">
        <v>120</v>
      </c>
      <c r="O154" s="269"/>
      <c r="P154" s="271">
        <f t="shared" si="41"/>
        <v>373.4</v>
      </c>
      <c r="Q154" s="268">
        <f t="shared" si="47"/>
        <v>44808</v>
      </c>
      <c r="R154" s="268"/>
      <c r="S154" s="268">
        <f t="shared" si="48"/>
        <v>120</v>
      </c>
      <c r="T154" s="269"/>
      <c r="U154" s="271">
        <v>496.6</v>
      </c>
      <c r="V154" s="268">
        <f t="shared" si="49"/>
        <v>59592</v>
      </c>
      <c r="W154" s="268"/>
      <c r="X154" s="268">
        <f t="shared" si="50"/>
        <v>14784</v>
      </c>
      <c r="Y154" s="269"/>
      <c r="Z154" s="270">
        <f t="shared" si="42"/>
        <v>0.32990000000000003</v>
      </c>
    </row>
    <row r="155" spans="1:26" x14ac:dyDescent="0.25">
      <c r="A155" s="264">
        <v>10</v>
      </c>
      <c r="B155" s="253" t="s">
        <v>363</v>
      </c>
      <c r="C155" s="268"/>
      <c r="D155" s="268">
        <v>111.4</v>
      </c>
      <c r="E155" s="269"/>
      <c r="F155" s="271">
        <v>746.7</v>
      </c>
      <c r="G155" s="268">
        <f t="shared" si="43"/>
        <v>83182.38</v>
      </c>
      <c r="H155" s="268"/>
      <c r="I155" s="268">
        <f t="shared" si="44"/>
        <v>111.4</v>
      </c>
      <c r="J155" s="269"/>
      <c r="K155" s="271">
        <f t="shared" si="45"/>
        <v>993.1</v>
      </c>
      <c r="L155" s="268">
        <f t="shared" si="46"/>
        <v>110631.34</v>
      </c>
      <c r="M155" s="268"/>
      <c r="N155" s="268">
        <v>108</v>
      </c>
      <c r="O155" s="269"/>
      <c r="P155" s="271">
        <f t="shared" si="41"/>
        <v>746.7</v>
      </c>
      <c r="Q155" s="268">
        <f t="shared" si="47"/>
        <v>80643.600000000006</v>
      </c>
      <c r="R155" s="268"/>
      <c r="S155" s="268">
        <f t="shared" si="48"/>
        <v>108</v>
      </c>
      <c r="T155" s="269"/>
      <c r="U155" s="271">
        <v>993.1</v>
      </c>
      <c r="V155" s="268">
        <f t="shared" si="49"/>
        <v>107254.8</v>
      </c>
      <c r="W155" s="268"/>
      <c r="X155" s="268">
        <f t="shared" si="50"/>
        <v>26611.199999999997</v>
      </c>
      <c r="Y155" s="269"/>
      <c r="Z155" s="270">
        <f t="shared" si="42"/>
        <v>0.33</v>
      </c>
    </row>
    <row r="156" spans="1:26" x14ac:dyDescent="0.25">
      <c r="A156" s="264">
        <v>11</v>
      </c>
      <c r="B156" s="253" t="s">
        <v>364</v>
      </c>
      <c r="C156" s="268"/>
      <c r="D156" s="268">
        <v>0</v>
      </c>
      <c r="E156" s="269"/>
      <c r="F156" s="271">
        <v>1194.7</v>
      </c>
      <c r="G156" s="268">
        <f t="shared" si="43"/>
        <v>0</v>
      </c>
      <c r="H156" s="268"/>
      <c r="I156" s="268">
        <f t="shared" si="44"/>
        <v>0</v>
      </c>
      <c r="J156" s="269"/>
      <c r="K156" s="271">
        <f t="shared" si="45"/>
        <v>1589</v>
      </c>
      <c r="L156" s="268">
        <f t="shared" si="46"/>
        <v>0</v>
      </c>
      <c r="M156" s="268"/>
      <c r="N156" s="268">
        <v>0</v>
      </c>
      <c r="O156" s="269"/>
      <c r="P156" s="271">
        <f>+F156</f>
        <v>1194.7</v>
      </c>
      <c r="Q156" s="268">
        <f t="shared" si="47"/>
        <v>0</v>
      </c>
      <c r="R156" s="268"/>
      <c r="S156" s="268">
        <f t="shared" si="48"/>
        <v>0</v>
      </c>
      <c r="T156" s="269"/>
      <c r="U156" s="271">
        <v>1589</v>
      </c>
      <c r="V156" s="268">
        <f t="shared" si="49"/>
        <v>0</v>
      </c>
      <c r="W156" s="268"/>
      <c r="X156" s="268">
        <f t="shared" si="50"/>
        <v>0</v>
      </c>
      <c r="Y156" s="269"/>
      <c r="Z156" s="270">
        <f t="shared" si="42"/>
        <v>0</v>
      </c>
    </row>
    <row r="157" spans="1:26" x14ac:dyDescent="0.25">
      <c r="A157" s="264">
        <v>12</v>
      </c>
      <c r="C157" s="268"/>
      <c r="D157" s="268"/>
      <c r="E157" s="269"/>
      <c r="F157" s="271"/>
      <c r="G157" s="268"/>
      <c r="H157" s="268"/>
      <c r="I157" s="268"/>
      <c r="J157" s="269"/>
      <c r="K157" s="271"/>
      <c r="L157" s="268"/>
      <c r="M157" s="268"/>
      <c r="N157" s="268"/>
      <c r="O157" s="269"/>
      <c r="P157" s="271"/>
      <c r="Q157" s="268"/>
      <c r="R157" s="268"/>
      <c r="S157" s="268"/>
      <c r="T157" s="269"/>
      <c r="U157" s="271"/>
      <c r="V157" s="268"/>
      <c r="W157" s="268"/>
      <c r="X157" s="268">
        <f t="shared" si="50"/>
        <v>0</v>
      </c>
      <c r="Y157" s="269"/>
      <c r="Z157" s="270">
        <f t="shared" si="42"/>
        <v>0</v>
      </c>
    </row>
    <row r="158" spans="1:26" x14ac:dyDescent="0.25">
      <c r="A158" s="264">
        <v>13</v>
      </c>
      <c r="C158" s="268"/>
      <c r="D158" s="268"/>
      <c r="E158" s="269"/>
      <c r="F158" s="271"/>
      <c r="G158" s="268"/>
      <c r="H158" s="268"/>
      <c r="I158" s="268"/>
      <c r="J158" s="269"/>
      <c r="K158" s="271"/>
      <c r="L158" s="268"/>
      <c r="M158" s="268"/>
      <c r="N158" s="268"/>
      <c r="O158" s="269"/>
      <c r="P158" s="271"/>
      <c r="Q158" s="268"/>
      <c r="R158" s="268"/>
      <c r="S158" s="268"/>
      <c r="T158" s="269"/>
      <c r="U158" s="271"/>
      <c r="V158" s="268"/>
      <c r="W158" s="268"/>
      <c r="X158" s="267"/>
      <c r="Y158" s="269"/>
      <c r="Z158" s="270"/>
    </row>
    <row r="159" spans="1:26" x14ac:dyDescent="0.25">
      <c r="A159" s="264">
        <v>14</v>
      </c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8"/>
      <c r="Y159" s="269"/>
      <c r="Z159" s="270"/>
    </row>
    <row r="160" spans="1:26" x14ac:dyDescent="0.25">
      <c r="A160" s="264">
        <v>15</v>
      </c>
      <c r="F160" s="269"/>
      <c r="K160" s="269"/>
    </row>
    <row r="161" spans="1:27" x14ac:dyDescent="0.25">
      <c r="A161" s="264">
        <v>16</v>
      </c>
      <c r="B161" s="266" t="s">
        <v>368</v>
      </c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8"/>
      <c r="Y161" s="269"/>
      <c r="Z161" s="270"/>
    </row>
    <row r="162" spans="1:27" x14ac:dyDescent="0.25">
      <c r="A162" s="264">
        <v>17</v>
      </c>
      <c r="B162" s="253" t="s">
        <v>322</v>
      </c>
      <c r="C162" s="267"/>
      <c r="D162" s="269"/>
      <c r="E162" s="268">
        <v>570014.38900000008</v>
      </c>
      <c r="F162" s="293">
        <v>4.3049999999999997</v>
      </c>
      <c r="G162" s="267">
        <f>ROUND(E162*F162,2)</f>
        <v>2453911.94</v>
      </c>
      <c r="H162" s="267"/>
      <c r="I162" s="269"/>
      <c r="J162" s="268">
        <f>E162</f>
        <v>570014.38900000008</v>
      </c>
      <c r="K162" s="293">
        <f>U162</f>
        <v>5.8505000000000003</v>
      </c>
      <c r="L162" s="267">
        <f>ROUND(J162*K162,2)</f>
        <v>3334869.18</v>
      </c>
      <c r="M162" s="267"/>
      <c r="N162" s="269"/>
      <c r="O162" s="268">
        <v>571807.07000000007</v>
      </c>
      <c r="P162" s="293">
        <f>+F162</f>
        <v>4.3049999999999997</v>
      </c>
      <c r="Q162" s="267">
        <f>ROUND(O162*P162,2)</f>
        <v>2461629.4399999999</v>
      </c>
      <c r="R162" s="267"/>
      <c r="S162" s="269"/>
      <c r="T162" s="268">
        <f>O162</f>
        <v>571807.07000000007</v>
      </c>
      <c r="U162" s="293">
        <v>5.8505000000000003</v>
      </c>
      <c r="V162" s="267">
        <f>ROUND(T162*U162,2)</f>
        <v>3345357.26</v>
      </c>
      <c r="W162" s="268"/>
      <c r="X162" s="267">
        <f t="shared" ref="X162" si="51">+V162-Q162</f>
        <v>883727.81999999983</v>
      </c>
      <c r="Y162" s="269"/>
      <c r="Z162" s="270">
        <f t="shared" ref="Z162" si="52">IF(Q162=0,0,ROUND((X162/Q162),4))</f>
        <v>0.35899999999999999</v>
      </c>
    </row>
    <row r="163" spans="1:27" x14ac:dyDescent="0.25">
      <c r="A163" s="264">
        <v>18</v>
      </c>
      <c r="C163" s="268"/>
      <c r="E163" s="268"/>
      <c r="F163" s="276"/>
      <c r="G163" s="268"/>
      <c r="H163" s="268"/>
      <c r="J163" s="268"/>
      <c r="K163" s="276"/>
      <c r="L163" s="268"/>
      <c r="M163" s="268"/>
      <c r="O163" s="268"/>
      <c r="P163" s="276"/>
      <c r="Q163" s="268"/>
      <c r="R163" s="268"/>
      <c r="T163" s="268"/>
      <c r="U163" s="276"/>
      <c r="V163" s="268"/>
      <c r="W163" s="268"/>
      <c r="X163" s="268"/>
      <c r="Z163" s="270"/>
    </row>
    <row r="164" spans="1:27" x14ac:dyDescent="0.25">
      <c r="A164" s="264">
        <v>19</v>
      </c>
      <c r="C164" s="268"/>
      <c r="E164" s="268"/>
      <c r="F164" s="276"/>
      <c r="G164" s="268"/>
      <c r="H164" s="268"/>
      <c r="J164" s="268"/>
      <c r="K164" s="276"/>
      <c r="L164" s="268"/>
      <c r="M164" s="268"/>
      <c r="O164" s="268"/>
      <c r="P164" s="276"/>
      <c r="Q164" s="268"/>
      <c r="R164" s="268"/>
      <c r="T164" s="268"/>
      <c r="U164" s="276"/>
      <c r="V164" s="268"/>
      <c r="W164" s="268"/>
      <c r="X164" s="268"/>
      <c r="Z164" s="270"/>
    </row>
    <row r="165" spans="1:27" x14ac:dyDescent="0.25">
      <c r="A165" s="264">
        <v>20</v>
      </c>
      <c r="C165" s="268"/>
      <c r="E165" s="268"/>
      <c r="F165" s="276"/>
      <c r="G165" s="268"/>
      <c r="H165" s="268"/>
      <c r="J165" s="268"/>
      <c r="K165" s="276"/>
      <c r="L165" s="268"/>
      <c r="M165" s="268"/>
      <c r="O165" s="268"/>
      <c r="P165" s="276"/>
      <c r="Q165" s="268"/>
      <c r="R165" s="268"/>
      <c r="T165" s="268"/>
      <c r="U165" s="276"/>
      <c r="V165" s="268"/>
      <c r="W165" s="268"/>
      <c r="X165" s="268"/>
      <c r="Z165" s="270"/>
    </row>
    <row r="166" spans="1:27" x14ac:dyDescent="0.25">
      <c r="A166" s="264">
        <v>21</v>
      </c>
      <c r="B166" s="253" t="s">
        <v>371</v>
      </c>
      <c r="E166" s="268"/>
      <c r="F166" s="294"/>
      <c r="G166" s="268">
        <v>146986.45000000001</v>
      </c>
      <c r="H166" s="268"/>
      <c r="J166" s="268"/>
      <c r="K166" s="294">
        <f>+U166</f>
        <v>0</v>
      </c>
      <c r="L166" s="268">
        <f>+ROUND(SUM(L148:L162)*K166,2)</f>
        <v>0</v>
      </c>
      <c r="O166" s="268"/>
      <c r="P166" s="294"/>
      <c r="Q166" s="267">
        <v>253230.32</v>
      </c>
      <c r="T166" s="268"/>
      <c r="U166" s="294">
        <v>0</v>
      </c>
      <c r="V166" s="267">
        <f>+ROUND(SUM(V148:V162)*U166,2)</f>
        <v>0</v>
      </c>
      <c r="X166" s="267">
        <f t="shared" ref="X166" si="53">+V166-Q166</f>
        <v>-253230.32</v>
      </c>
      <c r="Y166" s="269"/>
      <c r="Z166" s="270">
        <f t="shared" ref="Z166" si="54">IF(Q166=0,0,ROUND((X166/Q166),4))</f>
        <v>-1</v>
      </c>
    </row>
    <row r="167" spans="1:27" x14ac:dyDescent="0.25">
      <c r="A167" s="264">
        <v>22</v>
      </c>
      <c r="E167" s="268"/>
      <c r="F167" s="276"/>
      <c r="G167" s="268"/>
      <c r="H167" s="268"/>
      <c r="J167" s="268"/>
      <c r="K167" s="276"/>
      <c r="L167" s="268"/>
      <c r="O167" s="268"/>
      <c r="P167" s="276"/>
      <c r="Q167" s="268"/>
      <c r="T167" s="268"/>
      <c r="U167" s="276"/>
      <c r="V167" s="268"/>
      <c r="X167" s="268"/>
      <c r="Z167" s="270"/>
    </row>
    <row r="168" spans="1:27" x14ac:dyDescent="0.25">
      <c r="A168" s="264">
        <v>23</v>
      </c>
      <c r="C168" s="279"/>
      <c r="F168" s="276"/>
      <c r="G168" s="279"/>
      <c r="H168" s="279"/>
      <c r="J168" s="268"/>
      <c r="K168" s="293"/>
      <c r="L168" s="279"/>
      <c r="M168" s="279"/>
      <c r="P168" s="264"/>
      <c r="Q168" s="279"/>
      <c r="R168" s="279"/>
      <c r="U168" s="264"/>
      <c r="V168" s="279"/>
      <c r="W168" s="279"/>
      <c r="X168" s="279"/>
      <c r="Z168" s="270"/>
      <c r="AA168" s="270"/>
    </row>
    <row r="169" spans="1:27" x14ac:dyDescent="0.25">
      <c r="A169" s="264">
        <v>24</v>
      </c>
      <c r="C169" s="280"/>
      <c r="F169" s="280"/>
      <c r="G169" s="280"/>
      <c r="H169" s="280"/>
      <c r="K169" s="280"/>
      <c r="L169" s="280"/>
      <c r="M169" s="280"/>
      <c r="P169" s="280"/>
      <c r="Q169" s="280"/>
      <c r="R169" s="280"/>
      <c r="U169" s="280"/>
      <c r="V169" s="280"/>
      <c r="W169" s="280"/>
      <c r="X169" s="268"/>
      <c r="Z169" s="270"/>
    </row>
    <row r="170" spans="1:27" ht="15.75" thickBot="1" x14ac:dyDescent="0.3">
      <c r="A170" s="264">
        <v>25</v>
      </c>
      <c r="B170" s="253" t="s">
        <v>19</v>
      </c>
      <c r="C170" s="282"/>
      <c r="D170" s="295"/>
      <c r="E170" s="296">
        <f>SUM(E162:E169)</f>
        <v>570014.38900000008</v>
      </c>
      <c r="F170" s="282"/>
      <c r="G170" s="297">
        <f>SUM(G148:G169)</f>
        <v>2767939.19</v>
      </c>
      <c r="H170" s="282"/>
      <c r="I170" s="295"/>
      <c r="J170" s="296">
        <f>SUM(J162:J169)</f>
        <v>570014.38900000008</v>
      </c>
      <c r="K170" s="282"/>
      <c r="L170" s="297">
        <f>SUM(L148:L169)</f>
        <v>3557021.7</v>
      </c>
      <c r="M170" s="282"/>
      <c r="N170" s="295"/>
      <c r="O170" s="296">
        <f>SUM(O162:O169)</f>
        <v>571807.07000000007</v>
      </c>
      <c r="P170" s="282"/>
      <c r="Q170" s="297">
        <f>SUM(Q148:Q169)</f>
        <v>2876520.1599999997</v>
      </c>
      <c r="R170" s="282"/>
      <c r="S170" s="295"/>
      <c r="T170" s="296">
        <f>SUM(T162:T169)</f>
        <v>571807.07000000007</v>
      </c>
      <c r="U170" s="282"/>
      <c r="V170" s="297">
        <f>SUM(V148:V169)</f>
        <v>3560354.0599999996</v>
      </c>
      <c r="W170" s="282"/>
      <c r="X170" s="297">
        <f>SUM(X148:X169)</f>
        <v>683833.89999999991</v>
      </c>
      <c r="Z170" s="290">
        <f t="shared" ref="Z170" si="55">IF(Q170=0,0,ROUND((X170/Q170),4))</f>
        <v>0.23769999999999999</v>
      </c>
    </row>
    <row r="171" spans="1:27" ht="15.75" thickTop="1" x14ac:dyDescent="0.25">
      <c r="A171" s="264"/>
      <c r="C171" s="268"/>
      <c r="F171" s="284"/>
      <c r="G171" s="268"/>
      <c r="H171" s="268"/>
      <c r="I171" s="268"/>
      <c r="J171" s="268"/>
      <c r="K171" s="268"/>
      <c r="L171" s="268"/>
      <c r="M171" s="268"/>
      <c r="N171" s="268"/>
      <c r="P171" s="284"/>
      <c r="Q171" s="268"/>
      <c r="R171" s="268"/>
      <c r="U171" s="284"/>
      <c r="V171" s="268"/>
      <c r="X171" s="268"/>
      <c r="Z171" s="270"/>
    </row>
    <row r="172" spans="1:27" x14ac:dyDescent="0.25">
      <c r="A172" s="264"/>
      <c r="C172" s="268"/>
      <c r="D172" s="264"/>
      <c r="F172" s="284"/>
      <c r="G172" s="268"/>
      <c r="H172" s="268"/>
      <c r="I172" s="268"/>
      <c r="J172" s="268"/>
      <c r="K172" s="268"/>
      <c r="L172" s="268"/>
      <c r="M172" s="268"/>
      <c r="N172" s="268"/>
      <c r="P172" s="284"/>
      <c r="Q172" s="268"/>
      <c r="R172" s="268"/>
      <c r="S172" s="264"/>
      <c r="U172" s="284"/>
      <c r="V172" s="268"/>
      <c r="X172" s="268"/>
      <c r="Z172" s="270"/>
    </row>
    <row r="173" spans="1:27" x14ac:dyDescent="0.25">
      <c r="A173" s="264"/>
      <c r="F173" s="298"/>
      <c r="P173" s="298"/>
      <c r="U173" s="298"/>
      <c r="X173" s="268"/>
      <c r="Z173" s="270"/>
    </row>
    <row r="174" spans="1:27" x14ac:dyDescent="0.25">
      <c r="A174" s="264"/>
      <c r="F174" s="298"/>
      <c r="P174" s="298"/>
      <c r="U174" s="298"/>
      <c r="X174" s="268"/>
      <c r="Z174" s="270"/>
    </row>
    <row r="175" spans="1:27" x14ac:dyDescent="0.25">
      <c r="A175" s="319" t="str">
        <f>A$1</f>
        <v>Kentucky-American Water Company</v>
      </c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319"/>
      <c r="V175" s="319"/>
      <c r="W175" s="319"/>
      <c r="X175" s="319"/>
      <c r="Y175" s="319"/>
      <c r="Z175" s="319"/>
    </row>
    <row r="176" spans="1:27" x14ac:dyDescent="0.25">
      <c r="A176" s="319" t="str">
        <f>+$A$2</f>
        <v>Forecast Year Operating Revenues at Present Rates &amp; Proposed Rates</v>
      </c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319"/>
      <c r="V176" s="319"/>
      <c r="W176" s="319"/>
      <c r="X176" s="319"/>
      <c r="Y176" s="319"/>
      <c r="Z176" s="319"/>
    </row>
    <row r="177" spans="1:26" x14ac:dyDescent="0.25">
      <c r="A177" s="319" t="str">
        <f>+$A$3</f>
        <v>Base Year (12 Months Ending September 30, 2023)</v>
      </c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19"/>
      <c r="V177" s="319"/>
      <c r="W177" s="319"/>
      <c r="X177" s="319"/>
      <c r="Y177" s="319"/>
      <c r="Z177" s="319"/>
    </row>
    <row r="178" spans="1:26" x14ac:dyDescent="0.25">
      <c r="A178" s="319" t="str">
        <f>+$A$4</f>
        <v>Forecast Year (12 Months Ending January 31, 2025)</v>
      </c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U178" s="319"/>
      <c r="V178" s="319"/>
      <c r="W178" s="319"/>
      <c r="X178" s="319"/>
      <c r="Y178" s="319"/>
      <c r="Z178" s="319"/>
    </row>
    <row r="179" spans="1:26" x14ac:dyDescent="0.25">
      <c r="A179" s="319" t="s">
        <v>374</v>
      </c>
      <c r="B179" s="319"/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19"/>
      <c r="S179" s="319"/>
      <c r="T179" s="319"/>
      <c r="U179" s="319"/>
      <c r="V179" s="319"/>
      <c r="W179" s="319"/>
      <c r="X179" s="319"/>
      <c r="Y179" s="319"/>
      <c r="Z179" s="319"/>
    </row>
    <row r="180" spans="1:26" x14ac:dyDescent="0.25">
      <c r="A180" s="254"/>
      <c r="I180" s="252"/>
      <c r="J180" s="252"/>
      <c r="K180" s="252"/>
      <c r="L180" s="252"/>
      <c r="M180" s="252"/>
      <c r="N180" s="252"/>
      <c r="O180" s="252"/>
      <c r="P180" s="252"/>
      <c r="Q180" s="252"/>
      <c r="Z180" s="255" t="s">
        <v>345</v>
      </c>
    </row>
    <row r="181" spans="1:26" x14ac:dyDescent="0.25">
      <c r="A181" s="254"/>
      <c r="I181" s="252"/>
      <c r="J181" s="252"/>
      <c r="K181" s="252"/>
      <c r="L181" s="252"/>
      <c r="M181" s="252"/>
      <c r="N181" s="252"/>
      <c r="O181" s="252"/>
      <c r="P181" s="252"/>
      <c r="Q181" s="252"/>
      <c r="Z181" s="255" t="str">
        <f>+Z$7</f>
        <v>Witness Responsible:  Chuck Rea</v>
      </c>
    </row>
    <row r="182" spans="1:26" x14ac:dyDescent="0.25">
      <c r="A182" s="254"/>
      <c r="Z182" s="255" t="str">
        <f>$Z$8</f>
        <v>Revenues\[KAWC 2023 Rate Case - Exhibit 37 (M,N) Revenue Present &amp; Proposed.xlsx]Sch M2-M3</v>
      </c>
    </row>
    <row r="183" spans="1:26" x14ac:dyDescent="0.25">
      <c r="A183" s="257"/>
      <c r="B183" s="258"/>
      <c r="C183" s="259"/>
      <c r="D183" s="260"/>
      <c r="E183" s="258"/>
      <c r="F183" s="261"/>
      <c r="G183" s="259"/>
      <c r="H183" s="259"/>
      <c r="I183" s="259"/>
      <c r="J183" s="259"/>
      <c r="K183" s="259"/>
      <c r="L183" s="259"/>
      <c r="M183" s="259"/>
      <c r="N183" s="259"/>
      <c r="O183" s="258"/>
      <c r="P183" s="261"/>
      <c r="Q183" s="259"/>
      <c r="R183" s="259"/>
      <c r="S183" s="259"/>
      <c r="T183" s="260"/>
      <c r="U183" s="261"/>
      <c r="V183" s="260"/>
      <c r="W183" s="260"/>
      <c r="X183" s="262"/>
      <c r="Y183" s="260"/>
      <c r="Z183" s="263"/>
    </row>
    <row r="184" spans="1:26" x14ac:dyDescent="0.25">
      <c r="C184" s="264"/>
      <c r="D184" s="320" t="s">
        <v>326</v>
      </c>
      <c r="E184" s="320" t="s">
        <v>346</v>
      </c>
      <c r="F184" s="320"/>
      <c r="G184" s="320"/>
      <c r="H184" s="264"/>
      <c r="I184" s="320" t="s">
        <v>327</v>
      </c>
      <c r="J184" s="320" t="s">
        <v>346</v>
      </c>
      <c r="K184" s="320"/>
      <c r="L184" s="320"/>
      <c r="M184" s="264"/>
      <c r="N184" s="320" t="s">
        <v>328</v>
      </c>
      <c r="O184" s="320" t="s">
        <v>347</v>
      </c>
      <c r="P184" s="320"/>
      <c r="Q184" s="320"/>
      <c r="R184" s="264"/>
      <c r="S184" s="320" t="s">
        <v>329</v>
      </c>
      <c r="T184" s="320" t="s">
        <v>348</v>
      </c>
      <c r="U184" s="320"/>
      <c r="V184" s="320"/>
      <c r="W184" s="265"/>
      <c r="X184" s="265"/>
    </row>
    <row r="185" spans="1:26" x14ac:dyDescent="0.25">
      <c r="C185" s="264"/>
      <c r="D185" s="264" t="s">
        <v>349</v>
      </c>
      <c r="E185" s="264"/>
      <c r="F185" s="264"/>
      <c r="G185" s="264"/>
      <c r="H185" s="264"/>
      <c r="I185" s="264" t="s">
        <v>349</v>
      </c>
      <c r="J185" s="264"/>
      <c r="K185" s="264"/>
      <c r="L185" s="264"/>
      <c r="M185" s="264"/>
      <c r="N185" s="264" t="s">
        <v>349</v>
      </c>
      <c r="O185" s="264"/>
      <c r="P185" s="264"/>
      <c r="Q185" s="264"/>
      <c r="R185" s="264"/>
      <c r="S185" s="264" t="s">
        <v>349</v>
      </c>
      <c r="T185" s="264"/>
      <c r="U185" s="264"/>
      <c r="V185" s="264"/>
      <c r="W185" s="264"/>
      <c r="X185" s="264"/>
    </row>
    <row r="186" spans="1:26" x14ac:dyDescent="0.25">
      <c r="B186" s="264" t="s">
        <v>330</v>
      </c>
      <c r="C186" s="264"/>
      <c r="D186" s="264" t="s">
        <v>350</v>
      </c>
      <c r="E186" s="264" t="s">
        <v>331</v>
      </c>
      <c r="F186" s="264" t="s">
        <v>351</v>
      </c>
      <c r="G186" s="264" t="s">
        <v>19</v>
      </c>
      <c r="H186" s="264"/>
      <c r="I186" s="264" t="s">
        <v>350</v>
      </c>
      <c r="J186" s="264" t="s">
        <v>331</v>
      </c>
      <c r="K186" s="264" t="s">
        <v>352</v>
      </c>
      <c r="L186" s="264" t="s">
        <v>19</v>
      </c>
      <c r="M186" s="264"/>
      <c r="N186" s="264" t="s">
        <v>350</v>
      </c>
      <c r="O186" s="264" t="s">
        <v>331</v>
      </c>
      <c r="P186" s="264" t="s">
        <v>351</v>
      </c>
      <c r="Q186" s="264" t="s">
        <v>19</v>
      </c>
      <c r="R186" s="264"/>
      <c r="S186" s="264" t="s">
        <v>350</v>
      </c>
      <c r="T186" s="264" t="s">
        <v>331</v>
      </c>
      <c r="U186" s="264" t="s">
        <v>353</v>
      </c>
      <c r="V186" s="264" t="s">
        <v>19</v>
      </c>
      <c r="W186" s="264"/>
      <c r="X186" s="264" t="s">
        <v>332</v>
      </c>
      <c r="Z186" s="264" t="s">
        <v>333</v>
      </c>
    </row>
    <row r="187" spans="1:26" x14ac:dyDescent="0.25">
      <c r="A187" s="257" t="s">
        <v>57</v>
      </c>
      <c r="B187" s="257" t="s">
        <v>21</v>
      </c>
      <c r="C187" s="264"/>
      <c r="D187" s="257" t="s">
        <v>354</v>
      </c>
      <c r="E187" s="257" t="str">
        <f>E145</f>
        <v>(000 Gal)</v>
      </c>
      <c r="F187" s="257" t="s">
        <v>97</v>
      </c>
      <c r="G187" s="257" t="s">
        <v>91</v>
      </c>
      <c r="H187" s="264"/>
      <c r="I187" s="257" t="s">
        <v>354</v>
      </c>
      <c r="J187" s="257" t="str">
        <f>J145</f>
        <v>(000 Gal)</v>
      </c>
      <c r="K187" s="257" t="s">
        <v>97</v>
      </c>
      <c r="L187" s="257" t="s">
        <v>91</v>
      </c>
      <c r="M187" s="264"/>
      <c r="N187" s="257" t="s">
        <v>354</v>
      </c>
      <c r="O187" s="257" t="str">
        <f>E187</f>
        <v>(000 Gal)</v>
      </c>
      <c r="P187" s="257" t="s">
        <v>97</v>
      </c>
      <c r="Q187" s="257" t="s">
        <v>91</v>
      </c>
      <c r="R187" s="264"/>
      <c r="S187" s="257" t="s">
        <v>354</v>
      </c>
      <c r="T187" s="257" t="str">
        <f>O187</f>
        <v>(000 Gal)</v>
      </c>
      <c r="U187" s="257" t="s">
        <v>97</v>
      </c>
      <c r="V187" s="257" t="s">
        <v>91</v>
      </c>
      <c r="W187" s="264"/>
      <c r="X187" s="257" t="s">
        <v>335</v>
      </c>
      <c r="Z187" s="257" t="s">
        <v>335</v>
      </c>
    </row>
    <row r="188" spans="1:26" x14ac:dyDescent="0.25">
      <c r="A188" s="264">
        <v>1</v>
      </c>
      <c r="B188" s="254" t="str">
        <f>+A179</f>
        <v>MUNICIPAL &amp; OTHER PUBLIC AUTHORITY CLASS</v>
      </c>
      <c r="C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  <c r="Z188" s="264"/>
    </row>
    <row r="189" spans="1:26" x14ac:dyDescent="0.25">
      <c r="A189" s="264">
        <v>2</v>
      </c>
      <c r="B189" s="266" t="s">
        <v>355</v>
      </c>
    </row>
    <row r="190" spans="1:26" x14ac:dyDescent="0.25">
      <c r="A190" s="264">
        <v>3</v>
      </c>
      <c r="B190" s="253" t="s">
        <v>356</v>
      </c>
      <c r="C190" s="267"/>
      <c r="D190" s="268">
        <v>1895.6</v>
      </c>
      <c r="E190" s="269"/>
      <c r="F190" s="292">
        <v>15</v>
      </c>
      <c r="G190" s="267">
        <f>ROUND(D190*F190,2)</f>
        <v>28434</v>
      </c>
      <c r="H190" s="267"/>
      <c r="I190" s="268">
        <f>D190</f>
        <v>1895.6</v>
      </c>
      <c r="J190" s="269"/>
      <c r="K190" s="292">
        <f>U190</f>
        <v>20</v>
      </c>
      <c r="L190" s="267">
        <f>ROUND(I190*K190,2)</f>
        <v>37912</v>
      </c>
      <c r="M190" s="267"/>
      <c r="N190" s="268">
        <v>1920</v>
      </c>
      <c r="O190" s="269"/>
      <c r="P190" s="292">
        <f t="shared" ref="P190:P197" si="56">+F190</f>
        <v>15</v>
      </c>
      <c r="Q190" s="267">
        <f>ROUND(N190*P190,2)</f>
        <v>28800</v>
      </c>
      <c r="R190" s="267"/>
      <c r="S190" s="268">
        <f>N190</f>
        <v>1920</v>
      </c>
      <c r="T190" s="269"/>
      <c r="U190" s="292">
        <v>20</v>
      </c>
      <c r="V190" s="267">
        <f>ROUND(S190*U190,2)</f>
        <v>38400</v>
      </c>
      <c r="W190" s="267"/>
      <c r="X190" s="267">
        <f>+V190-Q190</f>
        <v>9600</v>
      </c>
      <c r="Y190" s="269"/>
      <c r="Z190" s="270">
        <f t="shared" ref="Z190:Z199" si="57">IF(Q190=0,0,ROUND((X190/Q190),4))</f>
        <v>0.33329999999999999</v>
      </c>
    </row>
    <row r="191" spans="1:26" x14ac:dyDescent="0.25">
      <c r="A191" s="264">
        <v>4</v>
      </c>
      <c r="B191" s="253" t="s">
        <v>357</v>
      </c>
      <c r="C191" s="268"/>
      <c r="D191" s="268">
        <v>0</v>
      </c>
      <c r="E191" s="269"/>
      <c r="F191" s="271">
        <v>22.4</v>
      </c>
      <c r="G191" s="268">
        <f t="shared" ref="G191:G198" si="58">ROUND(D191*F191,2)</f>
        <v>0</v>
      </c>
      <c r="H191" s="268"/>
      <c r="I191" s="268">
        <f t="shared" ref="I191:I198" si="59">D191</f>
        <v>0</v>
      </c>
      <c r="J191" s="269"/>
      <c r="K191" s="271">
        <f t="shared" ref="K191:K198" si="60">U191</f>
        <v>29.8</v>
      </c>
      <c r="L191" s="268">
        <f t="shared" ref="L191:L198" si="61">ROUND(I191*K191,2)</f>
        <v>0</v>
      </c>
      <c r="M191" s="268"/>
      <c r="N191" s="268">
        <v>0</v>
      </c>
      <c r="O191" s="269"/>
      <c r="P191" s="271">
        <f t="shared" si="56"/>
        <v>22.4</v>
      </c>
      <c r="Q191" s="268">
        <f t="shared" ref="Q191:Q198" si="62">ROUND(N191*P191,2)</f>
        <v>0</v>
      </c>
      <c r="R191" s="268"/>
      <c r="S191" s="268">
        <f t="shared" ref="S191:S198" si="63">N191</f>
        <v>0</v>
      </c>
      <c r="T191" s="269"/>
      <c r="U191" s="271">
        <v>29.8</v>
      </c>
      <c r="V191" s="268">
        <f t="shared" ref="V191:V198" si="64">ROUND(S191*U191,2)</f>
        <v>0</v>
      </c>
      <c r="W191" s="268"/>
      <c r="X191" s="268">
        <f t="shared" ref="X191:X199" si="65">+V191-Q191</f>
        <v>0</v>
      </c>
      <c r="Y191" s="269"/>
      <c r="Z191" s="270">
        <f t="shared" si="57"/>
        <v>0</v>
      </c>
    </row>
    <row r="192" spans="1:26" x14ac:dyDescent="0.25">
      <c r="A192" s="264">
        <v>5</v>
      </c>
      <c r="B192" s="253" t="s">
        <v>358</v>
      </c>
      <c r="C192" s="268"/>
      <c r="D192" s="268">
        <v>2227.71</v>
      </c>
      <c r="E192" s="269"/>
      <c r="F192" s="271">
        <v>37.299999999999997</v>
      </c>
      <c r="G192" s="268">
        <f t="shared" si="58"/>
        <v>83093.58</v>
      </c>
      <c r="H192" s="268"/>
      <c r="I192" s="268">
        <f t="shared" si="59"/>
        <v>2227.71</v>
      </c>
      <c r="J192" s="269"/>
      <c r="K192" s="271">
        <f t="shared" si="60"/>
        <v>49.6</v>
      </c>
      <c r="L192" s="268">
        <f t="shared" si="61"/>
        <v>110494.42</v>
      </c>
      <c r="M192" s="268"/>
      <c r="N192" s="268">
        <v>2220</v>
      </c>
      <c r="O192" s="269"/>
      <c r="P192" s="271">
        <f t="shared" si="56"/>
        <v>37.299999999999997</v>
      </c>
      <c r="Q192" s="268">
        <f t="shared" si="62"/>
        <v>82806</v>
      </c>
      <c r="R192" s="268"/>
      <c r="S192" s="268">
        <f t="shared" si="63"/>
        <v>2220</v>
      </c>
      <c r="T192" s="269"/>
      <c r="U192" s="271">
        <v>49.6</v>
      </c>
      <c r="V192" s="268">
        <f t="shared" si="64"/>
        <v>110112</v>
      </c>
      <c r="W192" s="268"/>
      <c r="X192" s="268">
        <f t="shared" si="65"/>
        <v>27306</v>
      </c>
      <c r="Y192" s="269"/>
      <c r="Z192" s="270">
        <f t="shared" si="57"/>
        <v>0.32979999999999998</v>
      </c>
    </row>
    <row r="193" spans="1:26" x14ac:dyDescent="0.25">
      <c r="A193" s="264">
        <v>6</v>
      </c>
      <c r="B193" s="253" t="s">
        <v>359</v>
      </c>
      <c r="C193" s="268"/>
      <c r="D193" s="268">
        <v>329.93</v>
      </c>
      <c r="E193" s="269"/>
      <c r="F193" s="271">
        <v>74.7</v>
      </c>
      <c r="G193" s="268">
        <f t="shared" si="58"/>
        <v>24645.77</v>
      </c>
      <c r="H193" s="268"/>
      <c r="I193" s="268">
        <f t="shared" si="59"/>
        <v>329.93</v>
      </c>
      <c r="J193" s="269"/>
      <c r="K193" s="271">
        <f t="shared" si="60"/>
        <v>99.4</v>
      </c>
      <c r="L193" s="268">
        <f t="shared" si="61"/>
        <v>32795.040000000001</v>
      </c>
      <c r="M193" s="268"/>
      <c r="N193" s="268">
        <v>324</v>
      </c>
      <c r="O193" s="269"/>
      <c r="P193" s="271">
        <f t="shared" si="56"/>
        <v>74.7</v>
      </c>
      <c r="Q193" s="268">
        <f t="shared" si="62"/>
        <v>24202.799999999999</v>
      </c>
      <c r="R193" s="268"/>
      <c r="S193" s="268">
        <f t="shared" si="63"/>
        <v>324</v>
      </c>
      <c r="T193" s="269"/>
      <c r="U193" s="271">
        <v>99.4</v>
      </c>
      <c r="V193" s="268">
        <f t="shared" si="64"/>
        <v>32205.599999999999</v>
      </c>
      <c r="W193" s="268"/>
      <c r="X193" s="268">
        <f t="shared" si="65"/>
        <v>8002.7999999999993</v>
      </c>
      <c r="Y193" s="269"/>
      <c r="Z193" s="270">
        <f t="shared" si="57"/>
        <v>0.33069999999999999</v>
      </c>
    </row>
    <row r="194" spans="1:26" x14ac:dyDescent="0.25">
      <c r="A194" s="264">
        <v>7</v>
      </c>
      <c r="B194" s="253" t="s">
        <v>360</v>
      </c>
      <c r="C194" s="268"/>
      <c r="D194" s="268">
        <v>4919.2800000000007</v>
      </c>
      <c r="E194" s="269"/>
      <c r="F194" s="271">
        <v>119.5</v>
      </c>
      <c r="G194" s="268">
        <f t="shared" si="58"/>
        <v>587853.96</v>
      </c>
      <c r="H194" s="268"/>
      <c r="I194" s="268">
        <f t="shared" si="59"/>
        <v>4919.2800000000007</v>
      </c>
      <c r="J194" s="269"/>
      <c r="K194" s="271">
        <f t="shared" si="60"/>
        <v>158.9</v>
      </c>
      <c r="L194" s="268">
        <f t="shared" si="61"/>
        <v>781673.59</v>
      </c>
      <c r="M194" s="268"/>
      <c r="N194" s="268">
        <v>4824</v>
      </c>
      <c r="O194" s="269"/>
      <c r="P194" s="271">
        <f t="shared" si="56"/>
        <v>119.5</v>
      </c>
      <c r="Q194" s="268">
        <f t="shared" si="62"/>
        <v>576468</v>
      </c>
      <c r="R194" s="268"/>
      <c r="S194" s="268">
        <f t="shared" si="63"/>
        <v>4824</v>
      </c>
      <c r="T194" s="269"/>
      <c r="U194" s="271">
        <v>158.9</v>
      </c>
      <c r="V194" s="268">
        <f t="shared" si="64"/>
        <v>766533.6</v>
      </c>
      <c r="W194" s="268"/>
      <c r="X194" s="268">
        <f t="shared" si="65"/>
        <v>190065.59999999998</v>
      </c>
      <c r="Y194" s="269"/>
      <c r="Z194" s="270">
        <f t="shared" si="57"/>
        <v>0.32969999999999999</v>
      </c>
    </row>
    <row r="195" spans="1:26" x14ac:dyDescent="0.25">
      <c r="A195" s="264">
        <v>8</v>
      </c>
      <c r="B195" s="253" t="s">
        <v>361</v>
      </c>
      <c r="C195" s="268"/>
      <c r="D195" s="268">
        <v>12</v>
      </c>
      <c r="E195" s="269"/>
      <c r="F195" s="271">
        <v>224</v>
      </c>
      <c r="G195" s="268">
        <f t="shared" si="58"/>
        <v>2688</v>
      </c>
      <c r="H195" s="268"/>
      <c r="I195" s="268">
        <f t="shared" si="59"/>
        <v>12</v>
      </c>
      <c r="J195" s="269"/>
      <c r="K195" s="271">
        <f t="shared" si="60"/>
        <v>297.89999999999998</v>
      </c>
      <c r="L195" s="268">
        <f t="shared" si="61"/>
        <v>3574.8</v>
      </c>
      <c r="M195" s="268"/>
      <c r="N195" s="268">
        <v>12</v>
      </c>
      <c r="O195" s="269"/>
      <c r="P195" s="271">
        <f t="shared" si="56"/>
        <v>224</v>
      </c>
      <c r="Q195" s="268">
        <f t="shared" si="62"/>
        <v>2688</v>
      </c>
      <c r="R195" s="268"/>
      <c r="S195" s="268">
        <f t="shared" si="63"/>
        <v>12</v>
      </c>
      <c r="T195" s="269"/>
      <c r="U195" s="271">
        <v>297.89999999999998</v>
      </c>
      <c r="V195" s="268">
        <f t="shared" si="64"/>
        <v>3574.8</v>
      </c>
      <c r="W195" s="268"/>
      <c r="X195" s="268">
        <f t="shared" si="65"/>
        <v>886.80000000000018</v>
      </c>
      <c r="Y195" s="269"/>
      <c r="Z195" s="270">
        <f t="shared" si="57"/>
        <v>0.32990000000000003</v>
      </c>
    </row>
    <row r="196" spans="1:26" x14ac:dyDescent="0.25">
      <c r="A196" s="264">
        <v>9</v>
      </c>
      <c r="B196" s="253" t="s">
        <v>362</v>
      </c>
      <c r="C196" s="268"/>
      <c r="D196" s="268">
        <v>445.28999999999996</v>
      </c>
      <c r="E196" s="269"/>
      <c r="F196" s="271">
        <v>373.4</v>
      </c>
      <c r="G196" s="268">
        <f t="shared" si="58"/>
        <v>166271.29</v>
      </c>
      <c r="H196" s="268"/>
      <c r="I196" s="268">
        <f t="shared" si="59"/>
        <v>445.28999999999996</v>
      </c>
      <c r="J196" s="269"/>
      <c r="K196" s="271">
        <f t="shared" si="60"/>
        <v>496.6</v>
      </c>
      <c r="L196" s="268">
        <f t="shared" si="61"/>
        <v>221131.01</v>
      </c>
      <c r="M196" s="268"/>
      <c r="N196" s="268">
        <v>420</v>
      </c>
      <c r="O196" s="269"/>
      <c r="P196" s="271">
        <f t="shared" si="56"/>
        <v>373.4</v>
      </c>
      <c r="Q196" s="268">
        <f t="shared" si="62"/>
        <v>156828</v>
      </c>
      <c r="R196" s="268"/>
      <c r="S196" s="268">
        <f t="shared" si="63"/>
        <v>420</v>
      </c>
      <c r="T196" s="269"/>
      <c r="U196" s="271">
        <v>496.6</v>
      </c>
      <c r="V196" s="268">
        <f t="shared" si="64"/>
        <v>208572</v>
      </c>
      <c r="W196" s="268"/>
      <c r="X196" s="268">
        <f t="shared" si="65"/>
        <v>51744</v>
      </c>
      <c r="Y196" s="269"/>
      <c r="Z196" s="270">
        <f t="shared" si="57"/>
        <v>0.32990000000000003</v>
      </c>
    </row>
    <row r="197" spans="1:26" x14ac:dyDescent="0.25">
      <c r="A197" s="264">
        <v>10</v>
      </c>
      <c r="B197" s="253" t="s">
        <v>363</v>
      </c>
      <c r="C197" s="268"/>
      <c r="D197" s="268">
        <v>164.53</v>
      </c>
      <c r="E197" s="269"/>
      <c r="F197" s="271">
        <v>746.7</v>
      </c>
      <c r="G197" s="268">
        <f t="shared" si="58"/>
        <v>122854.55</v>
      </c>
      <c r="H197" s="268"/>
      <c r="I197" s="268">
        <f t="shared" si="59"/>
        <v>164.53</v>
      </c>
      <c r="J197" s="269"/>
      <c r="K197" s="271">
        <f t="shared" si="60"/>
        <v>993.1</v>
      </c>
      <c r="L197" s="268">
        <f t="shared" si="61"/>
        <v>163394.74</v>
      </c>
      <c r="M197" s="268"/>
      <c r="N197" s="268">
        <v>156</v>
      </c>
      <c r="O197" s="269"/>
      <c r="P197" s="271">
        <f t="shared" si="56"/>
        <v>746.7</v>
      </c>
      <c r="Q197" s="268">
        <f t="shared" si="62"/>
        <v>116485.2</v>
      </c>
      <c r="R197" s="268"/>
      <c r="S197" s="268">
        <f t="shared" si="63"/>
        <v>156</v>
      </c>
      <c r="T197" s="269"/>
      <c r="U197" s="271">
        <v>993.1</v>
      </c>
      <c r="V197" s="268">
        <f t="shared" si="64"/>
        <v>154923.6</v>
      </c>
      <c r="W197" s="268"/>
      <c r="X197" s="268">
        <f t="shared" si="65"/>
        <v>38438.400000000009</v>
      </c>
      <c r="Y197" s="269"/>
      <c r="Z197" s="270">
        <f t="shared" si="57"/>
        <v>0.33</v>
      </c>
    </row>
    <row r="198" spans="1:26" x14ac:dyDescent="0.25">
      <c r="A198" s="264">
        <v>11</v>
      </c>
      <c r="B198" s="253" t="s">
        <v>364</v>
      </c>
      <c r="C198" s="268"/>
      <c r="D198" s="268">
        <v>24.96</v>
      </c>
      <c r="E198" s="269"/>
      <c r="F198" s="271">
        <v>1194.7</v>
      </c>
      <c r="G198" s="268">
        <f t="shared" si="58"/>
        <v>29819.71</v>
      </c>
      <c r="H198" s="268"/>
      <c r="I198" s="268">
        <f t="shared" si="59"/>
        <v>24.96</v>
      </c>
      <c r="J198" s="269"/>
      <c r="K198" s="271">
        <f t="shared" si="60"/>
        <v>1589</v>
      </c>
      <c r="L198" s="268">
        <f t="shared" si="61"/>
        <v>39661.440000000002</v>
      </c>
      <c r="M198" s="268"/>
      <c r="N198" s="268">
        <v>24</v>
      </c>
      <c r="O198" s="269"/>
      <c r="P198" s="271">
        <f>+F198</f>
        <v>1194.7</v>
      </c>
      <c r="Q198" s="268">
        <f t="shared" si="62"/>
        <v>28672.799999999999</v>
      </c>
      <c r="R198" s="268"/>
      <c r="S198" s="268">
        <f t="shared" si="63"/>
        <v>24</v>
      </c>
      <c r="T198" s="269"/>
      <c r="U198" s="271">
        <v>1589</v>
      </c>
      <c r="V198" s="268">
        <f t="shared" si="64"/>
        <v>38136</v>
      </c>
      <c r="W198" s="268"/>
      <c r="X198" s="268">
        <f t="shared" si="65"/>
        <v>9463.2000000000007</v>
      </c>
      <c r="Y198" s="269"/>
      <c r="Z198" s="270">
        <f t="shared" si="57"/>
        <v>0.33</v>
      </c>
    </row>
    <row r="199" spans="1:26" x14ac:dyDescent="0.25">
      <c r="A199" s="264">
        <v>12</v>
      </c>
      <c r="C199" s="268"/>
      <c r="D199" s="268"/>
      <c r="E199" s="269"/>
      <c r="F199" s="271"/>
      <c r="G199" s="268"/>
      <c r="H199" s="268"/>
      <c r="I199" s="268"/>
      <c r="J199" s="269"/>
      <c r="K199" s="271"/>
      <c r="L199" s="268"/>
      <c r="M199" s="268"/>
      <c r="N199" s="268"/>
      <c r="O199" s="269"/>
      <c r="P199" s="271"/>
      <c r="Q199" s="268"/>
      <c r="R199" s="268"/>
      <c r="S199" s="268"/>
      <c r="T199" s="269"/>
      <c r="U199" s="271"/>
      <c r="V199" s="268"/>
      <c r="W199" s="268"/>
      <c r="X199" s="268">
        <f t="shared" si="65"/>
        <v>0</v>
      </c>
      <c r="Y199" s="269"/>
      <c r="Z199" s="270">
        <f t="shared" si="57"/>
        <v>0</v>
      </c>
    </row>
    <row r="200" spans="1:26" x14ac:dyDescent="0.25">
      <c r="A200" s="264">
        <v>13</v>
      </c>
      <c r="C200" s="268"/>
      <c r="D200" s="268"/>
      <c r="E200" s="269"/>
      <c r="F200" s="271"/>
      <c r="G200" s="268"/>
      <c r="H200" s="268"/>
      <c r="I200" s="268"/>
      <c r="J200" s="269"/>
      <c r="K200" s="271"/>
      <c r="L200" s="268"/>
      <c r="M200" s="268"/>
      <c r="N200" s="268"/>
      <c r="O200" s="269"/>
      <c r="P200" s="271"/>
      <c r="Q200" s="268"/>
      <c r="R200" s="268"/>
      <c r="S200" s="268"/>
      <c r="T200" s="269"/>
      <c r="U200" s="271"/>
      <c r="V200" s="268"/>
      <c r="W200" s="268"/>
      <c r="X200" s="267"/>
      <c r="Y200" s="269"/>
      <c r="Z200" s="270"/>
    </row>
    <row r="201" spans="1:26" x14ac:dyDescent="0.25">
      <c r="A201" s="264">
        <v>14</v>
      </c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8"/>
      <c r="Y201" s="269"/>
      <c r="Z201" s="270"/>
    </row>
    <row r="202" spans="1:26" x14ac:dyDescent="0.25">
      <c r="A202" s="264">
        <v>15</v>
      </c>
      <c r="F202" s="269"/>
      <c r="K202" s="269"/>
    </row>
    <row r="203" spans="1:26" x14ac:dyDescent="0.25">
      <c r="A203" s="264">
        <v>16</v>
      </c>
      <c r="B203" s="266" t="s">
        <v>368</v>
      </c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8"/>
      <c r="Y203" s="269"/>
      <c r="Z203" s="270"/>
    </row>
    <row r="204" spans="1:26" x14ac:dyDescent="0.25">
      <c r="A204" s="264">
        <v>17</v>
      </c>
      <c r="B204" s="253" t="s">
        <v>322</v>
      </c>
      <c r="C204" s="267"/>
      <c r="D204" s="269"/>
      <c r="E204" s="268">
        <v>1204998.791</v>
      </c>
      <c r="F204" s="293">
        <v>4.7960000000000003</v>
      </c>
      <c r="G204" s="267">
        <f>ROUND(E204*F204,2)</f>
        <v>5779174.2000000002</v>
      </c>
      <c r="H204" s="267"/>
      <c r="I204" s="269"/>
      <c r="J204" s="268">
        <f>E204</f>
        <v>1204998.791</v>
      </c>
      <c r="K204" s="293">
        <f>U204</f>
        <v>6.5179</v>
      </c>
      <c r="L204" s="267">
        <f>ROUND(J204*K204,2)</f>
        <v>7854061.6200000001</v>
      </c>
      <c r="M204" s="267"/>
      <c r="N204" s="269"/>
      <c r="O204" s="268">
        <v>1209547.46</v>
      </c>
      <c r="P204" s="293">
        <f>+F204</f>
        <v>4.7960000000000003</v>
      </c>
      <c r="Q204" s="267">
        <f>ROUND(O204*P204,2)</f>
        <v>5800989.6200000001</v>
      </c>
      <c r="R204" s="267"/>
      <c r="S204" s="269"/>
      <c r="T204" s="268">
        <f>O204</f>
        <v>1209547.46</v>
      </c>
      <c r="U204" s="293">
        <v>6.5179</v>
      </c>
      <c r="V204" s="267">
        <f>ROUND(T204*U204,2)</f>
        <v>7883709.3899999997</v>
      </c>
      <c r="W204" s="268"/>
      <c r="X204" s="267">
        <f t="shared" ref="X204" si="66">+V204-Q204</f>
        <v>2082719.7699999996</v>
      </c>
      <c r="Y204" s="269"/>
      <c r="Z204" s="270">
        <f t="shared" ref="Z204" si="67">IF(Q204=0,0,ROUND((X204/Q204),4))</f>
        <v>0.35899999999999999</v>
      </c>
    </row>
    <row r="205" spans="1:26" x14ac:dyDescent="0.25">
      <c r="A205" s="264">
        <v>18</v>
      </c>
      <c r="C205" s="268"/>
      <c r="E205" s="268"/>
      <c r="F205" s="276"/>
      <c r="G205" s="268"/>
      <c r="H205" s="268"/>
      <c r="J205" s="268"/>
      <c r="K205" s="276"/>
      <c r="L205" s="268"/>
      <c r="M205" s="268"/>
      <c r="O205" s="268"/>
      <c r="P205" s="276"/>
      <c r="Q205" s="268"/>
      <c r="R205" s="268"/>
      <c r="T205" s="268"/>
      <c r="U205" s="276"/>
      <c r="V205" s="268"/>
      <c r="W205" s="268"/>
      <c r="X205" s="268"/>
      <c r="Z205" s="270"/>
    </row>
    <row r="206" spans="1:26" x14ac:dyDescent="0.25">
      <c r="A206" s="264">
        <v>19</v>
      </c>
      <c r="C206" s="268"/>
      <c r="E206" s="268"/>
      <c r="F206" s="276"/>
      <c r="G206" s="268"/>
      <c r="H206" s="268"/>
      <c r="J206" s="268"/>
      <c r="K206" s="276"/>
      <c r="L206" s="268"/>
      <c r="M206" s="268"/>
      <c r="O206" s="268"/>
      <c r="P206" s="276"/>
      <c r="Q206" s="268"/>
      <c r="R206" s="268"/>
      <c r="T206" s="268"/>
      <c r="U206" s="276"/>
      <c r="V206" s="268"/>
      <c r="W206" s="268"/>
      <c r="X206" s="268"/>
      <c r="Z206" s="270"/>
    </row>
    <row r="207" spans="1:26" x14ac:dyDescent="0.25">
      <c r="A207" s="264">
        <v>20</v>
      </c>
      <c r="C207" s="268"/>
      <c r="E207" s="268"/>
      <c r="F207" s="276"/>
      <c r="G207" s="268"/>
      <c r="H207" s="268"/>
      <c r="J207" s="268"/>
      <c r="K207" s="276"/>
      <c r="L207" s="268"/>
      <c r="M207" s="268"/>
      <c r="O207" s="268"/>
      <c r="P207" s="276"/>
      <c r="Q207" s="268"/>
      <c r="R207" s="268"/>
      <c r="T207" s="268"/>
      <c r="U207" s="276"/>
      <c r="V207" s="268"/>
      <c r="W207" s="268"/>
      <c r="X207" s="268"/>
      <c r="Z207" s="270"/>
    </row>
    <row r="208" spans="1:26" x14ac:dyDescent="0.25">
      <c r="A208" s="264">
        <v>21</v>
      </c>
      <c r="B208" s="253" t="s">
        <v>371</v>
      </c>
      <c r="E208" s="268"/>
      <c r="F208" s="294"/>
      <c r="G208" s="268">
        <v>382436.06999999995</v>
      </c>
      <c r="H208" s="268"/>
      <c r="J208" s="268"/>
      <c r="K208" s="294">
        <f>+U208</f>
        <v>0</v>
      </c>
      <c r="L208" s="268">
        <f>+ROUND(SUM(L190:L204)*K208,2)</f>
        <v>0</v>
      </c>
      <c r="O208" s="268"/>
      <c r="P208" s="294"/>
      <c r="Q208" s="267">
        <v>657882.71</v>
      </c>
      <c r="T208" s="268"/>
      <c r="U208" s="294">
        <v>0</v>
      </c>
      <c r="V208" s="267">
        <f>+ROUND(SUM(V190:V204)*U208,2)</f>
        <v>0</v>
      </c>
      <c r="X208" s="267">
        <f t="shared" ref="X208" si="68">+V208-Q208</f>
        <v>-657882.71</v>
      </c>
      <c r="Y208" s="269"/>
      <c r="Z208" s="270">
        <f t="shared" ref="Z208" si="69">IF(Q208=0,0,ROUND((X208/Q208),4))</f>
        <v>-1</v>
      </c>
    </row>
    <row r="209" spans="1:27" x14ac:dyDescent="0.25">
      <c r="A209" s="264">
        <v>22</v>
      </c>
      <c r="E209" s="268"/>
      <c r="F209" s="276"/>
      <c r="G209" s="268"/>
      <c r="H209" s="268"/>
      <c r="J209" s="268"/>
      <c r="K209" s="276"/>
      <c r="L209" s="268"/>
      <c r="O209" s="268"/>
      <c r="P209" s="276"/>
      <c r="Q209" s="268"/>
      <c r="T209" s="268"/>
      <c r="U209" s="276"/>
      <c r="V209" s="268"/>
      <c r="X209" s="268"/>
      <c r="Z209" s="270"/>
    </row>
    <row r="210" spans="1:27" x14ac:dyDescent="0.25">
      <c r="A210" s="264">
        <v>23</v>
      </c>
      <c r="C210" s="279"/>
      <c r="F210" s="276"/>
      <c r="G210" s="279"/>
      <c r="H210" s="279"/>
      <c r="J210" s="268"/>
      <c r="K210" s="293"/>
      <c r="L210" s="279"/>
      <c r="M210" s="279"/>
      <c r="P210" s="264"/>
      <c r="Q210" s="279"/>
      <c r="R210" s="279"/>
      <c r="U210" s="264"/>
      <c r="V210" s="279"/>
      <c r="W210" s="279"/>
      <c r="X210" s="279"/>
      <c r="Z210" s="270"/>
      <c r="AA210" s="270"/>
    </row>
    <row r="211" spans="1:27" x14ac:dyDescent="0.25">
      <c r="A211" s="264">
        <v>24</v>
      </c>
      <c r="C211" s="280"/>
      <c r="F211" s="280"/>
      <c r="G211" s="280"/>
      <c r="H211" s="280"/>
      <c r="K211" s="280"/>
      <c r="L211" s="280"/>
      <c r="M211" s="280"/>
      <c r="P211" s="280"/>
      <c r="Q211" s="280"/>
      <c r="R211" s="280"/>
      <c r="U211" s="280"/>
      <c r="V211" s="280"/>
      <c r="W211" s="280"/>
      <c r="X211" s="268"/>
      <c r="Z211" s="270"/>
    </row>
    <row r="212" spans="1:27" ht="15.75" thickBot="1" x14ac:dyDescent="0.3">
      <c r="A212" s="264">
        <v>25</v>
      </c>
      <c r="B212" s="253" t="s">
        <v>19</v>
      </c>
      <c r="C212" s="282"/>
      <c r="D212" s="295"/>
      <c r="E212" s="296">
        <f>SUM(E204:E211)</f>
        <v>1204998.791</v>
      </c>
      <c r="F212" s="282"/>
      <c r="G212" s="297">
        <f>SUM(G190:G211)</f>
        <v>7207271.1300000008</v>
      </c>
      <c r="H212" s="282"/>
      <c r="I212" s="295"/>
      <c r="J212" s="296">
        <f>SUM(J204:J211)</f>
        <v>1204998.791</v>
      </c>
      <c r="K212" s="282"/>
      <c r="L212" s="297">
        <f>SUM(L190:L211)</f>
        <v>9244698.6600000001</v>
      </c>
      <c r="M212" s="282"/>
      <c r="N212" s="295"/>
      <c r="O212" s="296">
        <f>SUM(O204:O211)</f>
        <v>1209547.46</v>
      </c>
      <c r="P212" s="282"/>
      <c r="Q212" s="297">
        <f>SUM(Q190:Q211)</f>
        <v>7475823.1299999999</v>
      </c>
      <c r="R212" s="282"/>
      <c r="S212" s="295"/>
      <c r="T212" s="296">
        <f>SUM(T204:T211)</f>
        <v>1209547.46</v>
      </c>
      <c r="U212" s="282"/>
      <c r="V212" s="297">
        <f>SUM(V190:V211)</f>
        <v>9236166.9900000002</v>
      </c>
      <c r="W212" s="282"/>
      <c r="X212" s="297">
        <f>SUM(X190:X211)</f>
        <v>1760343.8599999994</v>
      </c>
      <c r="Z212" s="290">
        <f t="shared" ref="Z212" si="70">IF(Q212=0,0,ROUND((X212/Q212),4))</f>
        <v>0.23549999999999999</v>
      </c>
    </row>
    <row r="213" spans="1:27" ht="15.75" thickTop="1" x14ac:dyDescent="0.25">
      <c r="A213" s="264"/>
      <c r="C213" s="268"/>
      <c r="F213" s="284"/>
      <c r="G213" s="268"/>
      <c r="H213" s="268"/>
      <c r="I213" s="268"/>
      <c r="J213" s="268"/>
      <c r="K213" s="268"/>
      <c r="L213" s="268"/>
      <c r="M213" s="268"/>
      <c r="N213" s="268"/>
      <c r="P213" s="284"/>
      <c r="Q213" s="268"/>
      <c r="R213" s="268"/>
      <c r="U213" s="284"/>
      <c r="V213" s="268"/>
      <c r="X213" s="268"/>
      <c r="Z213" s="270"/>
    </row>
    <row r="214" spans="1:27" x14ac:dyDescent="0.25">
      <c r="A214" s="264"/>
      <c r="C214" s="268"/>
      <c r="D214" s="264"/>
      <c r="F214" s="284"/>
      <c r="G214" s="268"/>
      <c r="H214" s="268"/>
      <c r="I214" s="268"/>
      <c r="J214" s="268"/>
      <c r="K214" s="268"/>
      <c r="L214" s="268"/>
      <c r="M214" s="268"/>
      <c r="N214" s="268"/>
      <c r="P214" s="284"/>
      <c r="Q214" s="268"/>
      <c r="R214" s="268"/>
      <c r="S214" s="264"/>
      <c r="U214" s="284"/>
      <c r="V214" s="268"/>
      <c r="X214" s="268"/>
      <c r="Z214" s="270"/>
    </row>
    <row r="215" spans="1:27" x14ac:dyDescent="0.25">
      <c r="A215" s="264"/>
      <c r="F215" s="298"/>
      <c r="P215" s="298"/>
      <c r="U215" s="298"/>
      <c r="X215" s="268"/>
      <c r="Z215" s="270"/>
    </row>
    <row r="216" spans="1:27" x14ac:dyDescent="0.25">
      <c r="A216" s="264"/>
      <c r="F216" s="298"/>
      <c r="P216" s="298"/>
      <c r="U216" s="298"/>
      <c r="X216" s="268"/>
      <c r="Z216" s="270"/>
    </row>
    <row r="217" spans="1:27" x14ac:dyDescent="0.25">
      <c r="A217" s="319" t="str">
        <f>A$1</f>
        <v>Kentucky-American Water Company</v>
      </c>
      <c r="B217" s="319"/>
      <c r="C217" s="319"/>
      <c r="D217" s="319"/>
      <c r="E217" s="319"/>
      <c r="F217" s="319"/>
      <c r="G217" s="319"/>
      <c r="H217" s="319"/>
      <c r="I217" s="319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  <c r="T217" s="319"/>
      <c r="U217" s="319"/>
      <c r="V217" s="319"/>
      <c r="W217" s="319"/>
      <c r="X217" s="319"/>
      <c r="Y217" s="319"/>
      <c r="Z217" s="319"/>
    </row>
    <row r="218" spans="1:27" x14ac:dyDescent="0.25">
      <c r="A218" s="319" t="str">
        <f>+$A$2</f>
        <v>Forecast Year Operating Revenues at Present Rates &amp; Proposed Rates</v>
      </c>
      <c r="B218" s="319"/>
      <c r="C218" s="319"/>
      <c r="D218" s="319"/>
      <c r="E218" s="319"/>
      <c r="F218" s="319"/>
      <c r="G218" s="319"/>
      <c r="H218" s="319"/>
      <c r="I218" s="319"/>
      <c r="J218" s="319"/>
      <c r="K218" s="319"/>
      <c r="L218" s="319"/>
      <c r="M218" s="319"/>
      <c r="N218" s="319"/>
      <c r="O218" s="319"/>
      <c r="P218" s="319"/>
      <c r="Q218" s="319"/>
      <c r="R218" s="319"/>
      <c r="S218" s="319"/>
      <c r="T218" s="319"/>
      <c r="U218" s="319"/>
      <c r="V218" s="319"/>
      <c r="W218" s="319"/>
      <c r="X218" s="319"/>
      <c r="Y218" s="319"/>
      <c r="Z218" s="319"/>
    </row>
    <row r="219" spans="1:27" x14ac:dyDescent="0.25">
      <c r="A219" s="319" t="str">
        <f>+$A$3</f>
        <v>Base Year (12 Months Ending September 30, 2023)</v>
      </c>
      <c r="B219" s="319"/>
      <c r="C219" s="319"/>
      <c r="D219" s="319"/>
      <c r="E219" s="319"/>
      <c r="F219" s="319"/>
      <c r="G219" s="319"/>
      <c r="H219" s="319"/>
      <c r="I219" s="319"/>
      <c r="J219" s="319"/>
      <c r="K219" s="319"/>
      <c r="L219" s="319"/>
      <c r="M219" s="319"/>
      <c r="N219" s="319"/>
      <c r="O219" s="319"/>
      <c r="P219" s="319"/>
      <c r="Q219" s="319"/>
      <c r="R219" s="319"/>
      <c r="S219" s="319"/>
      <c r="T219" s="319"/>
      <c r="U219" s="319"/>
      <c r="V219" s="319"/>
      <c r="W219" s="319"/>
      <c r="X219" s="319"/>
      <c r="Y219" s="319"/>
      <c r="Z219" s="319"/>
    </row>
    <row r="220" spans="1:27" x14ac:dyDescent="0.25">
      <c r="A220" s="319" t="str">
        <f>+$A$4</f>
        <v>Forecast Year (12 Months Ending January 31, 2025)</v>
      </c>
      <c r="B220" s="319"/>
      <c r="C220" s="319"/>
      <c r="D220" s="319"/>
      <c r="E220" s="319"/>
      <c r="F220" s="319"/>
      <c r="G220" s="319"/>
      <c r="H220" s="319"/>
      <c r="I220" s="319"/>
      <c r="J220" s="319"/>
      <c r="K220" s="319"/>
      <c r="L220" s="319"/>
      <c r="M220" s="319"/>
      <c r="N220" s="319"/>
      <c r="O220" s="319"/>
      <c r="P220" s="319"/>
      <c r="Q220" s="319"/>
      <c r="R220" s="319"/>
      <c r="S220" s="319"/>
      <c r="T220" s="319"/>
      <c r="U220" s="319"/>
      <c r="V220" s="319"/>
      <c r="W220" s="319"/>
      <c r="X220" s="319"/>
      <c r="Y220" s="319"/>
      <c r="Z220" s="319"/>
    </row>
    <row r="221" spans="1:27" x14ac:dyDescent="0.25">
      <c r="A221" s="254"/>
      <c r="I221" s="319" t="s">
        <v>375</v>
      </c>
      <c r="J221" s="319"/>
      <c r="K221" s="319"/>
      <c r="L221" s="319"/>
      <c r="M221" s="319"/>
      <c r="N221" s="319"/>
      <c r="O221" s="319"/>
      <c r="P221" s="319"/>
      <c r="Q221" s="319"/>
    </row>
    <row r="222" spans="1:27" x14ac:dyDescent="0.25">
      <c r="A222" s="254"/>
      <c r="I222" s="252"/>
      <c r="J222" s="252"/>
      <c r="K222" s="252"/>
      <c r="L222" s="252"/>
      <c r="M222" s="252"/>
      <c r="N222" s="252"/>
      <c r="O222" s="252"/>
      <c r="P222" s="252"/>
      <c r="Q222" s="252"/>
      <c r="Z222" s="255" t="s">
        <v>345</v>
      </c>
    </row>
    <row r="223" spans="1:27" x14ac:dyDescent="0.25">
      <c r="A223" s="254"/>
      <c r="I223" s="252"/>
      <c r="J223" s="252"/>
      <c r="K223" s="252"/>
      <c r="L223" s="252"/>
      <c r="M223" s="252"/>
      <c r="N223" s="252"/>
      <c r="O223" s="252"/>
      <c r="P223" s="252"/>
      <c r="Q223" s="252"/>
      <c r="Z223" s="255" t="str">
        <f>+Z$7</f>
        <v>Witness Responsible:  Chuck Rea</v>
      </c>
    </row>
    <row r="224" spans="1:27" x14ac:dyDescent="0.25">
      <c r="A224" s="254"/>
      <c r="Z224" s="255" t="str">
        <f>$Z$8</f>
        <v>Revenues\[KAWC 2023 Rate Case - Exhibit 37 (M,N) Revenue Present &amp; Proposed.xlsx]Sch M2-M3</v>
      </c>
    </row>
    <row r="225" spans="1:26" x14ac:dyDescent="0.25">
      <c r="A225" s="257"/>
      <c r="B225" s="258"/>
      <c r="C225" s="259"/>
      <c r="D225" s="260"/>
      <c r="E225" s="258"/>
      <c r="F225" s="261"/>
      <c r="G225" s="259"/>
      <c r="H225" s="259"/>
      <c r="I225" s="259"/>
      <c r="J225" s="259"/>
      <c r="K225" s="259"/>
      <c r="L225" s="259"/>
      <c r="M225" s="259"/>
      <c r="N225" s="259"/>
      <c r="O225" s="258"/>
      <c r="P225" s="261"/>
      <c r="Q225" s="259"/>
      <c r="R225" s="259"/>
      <c r="S225" s="259"/>
      <c r="T225" s="260"/>
      <c r="U225" s="261"/>
      <c r="V225" s="260"/>
      <c r="W225" s="260"/>
      <c r="X225" s="262"/>
      <c r="Y225" s="260"/>
      <c r="Z225" s="263"/>
    </row>
    <row r="226" spans="1:26" x14ac:dyDescent="0.25">
      <c r="C226" s="264"/>
      <c r="D226" s="320" t="s">
        <v>326</v>
      </c>
      <c r="E226" s="320" t="s">
        <v>346</v>
      </c>
      <c r="F226" s="320"/>
      <c r="G226" s="320"/>
      <c r="H226" s="264"/>
      <c r="I226" s="320" t="s">
        <v>327</v>
      </c>
      <c r="J226" s="320" t="s">
        <v>346</v>
      </c>
      <c r="K226" s="320"/>
      <c r="L226" s="320"/>
      <c r="M226" s="264"/>
      <c r="N226" s="320" t="s">
        <v>328</v>
      </c>
      <c r="O226" s="320" t="s">
        <v>347</v>
      </c>
      <c r="P226" s="320"/>
      <c r="Q226" s="320"/>
      <c r="R226" s="264"/>
      <c r="S226" s="320" t="s">
        <v>329</v>
      </c>
      <c r="T226" s="320" t="s">
        <v>348</v>
      </c>
      <c r="U226" s="320"/>
      <c r="V226" s="320"/>
      <c r="W226" s="265"/>
      <c r="X226" s="265"/>
    </row>
    <row r="227" spans="1:26" x14ac:dyDescent="0.25">
      <c r="C227" s="264"/>
      <c r="D227" s="264" t="s">
        <v>349</v>
      </c>
      <c r="E227" s="264"/>
      <c r="F227" s="264"/>
      <c r="G227" s="264"/>
      <c r="H227" s="264"/>
      <c r="I227" s="264" t="s">
        <v>349</v>
      </c>
      <c r="J227" s="264"/>
      <c r="K227" s="264"/>
      <c r="L227" s="264"/>
      <c r="M227" s="264"/>
      <c r="N227" s="264" t="s">
        <v>349</v>
      </c>
      <c r="O227" s="264"/>
      <c r="P227" s="264"/>
      <c r="Q227" s="264"/>
      <c r="R227" s="264"/>
      <c r="S227" s="264" t="s">
        <v>349</v>
      </c>
      <c r="T227" s="264"/>
      <c r="U227" s="264"/>
      <c r="V227" s="264"/>
      <c r="W227" s="264"/>
      <c r="X227" s="264"/>
    </row>
    <row r="228" spans="1:26" x14ac:dyDescent="0.25">
      <c r="B228" s="264" t="s">
        <v>330</v>
      </c>
      <c r="C228" s="264"/>
      <c r="D228" s="264" t="s">
        <v>350</v>
      </c>
      <c r="E228" s="264" t="s">
        <v>331</v>
      </c>
      <c r="F228" s="264" t="s">
        <v>351</v>
      </c>
      <c r="G228" s="264" t="s">
        <v>19</v>
      </c>
      <c r="H228" s="264"/>
      <c r="I228" s="264" t="s">
        <v>350</v>
      </c>
      <c r="J228" s="264" t="s">
        <v>331</v>
      </c>
      <c r="K228" s="264" t="s">
        <v>352</v>
      </c>
      <c r="L228" s="264" t="s">
        <v>19</v>
      </c>
      <c r="M228" s="264"/>
      <c r="N228" s="264" t="s">
        <v>350</v>
      </c>
      <c r="O228" s="264" t="s">
        <v>331</v>
      </c>
      <c r="P228" s="264" t="s">
        <v>351</v>
      </c>
      <c r="Q228" s="264" t="s">
        <v>19</v>
      </c>
      <c r="R228" s="264"/>
      <c r="S228" s="264" t="s">
        <v>350</v>
      </c>
      <c r="T228" s="264" t="s">
        <v>331</v>
      </c>
      <c r="U228" s="264" t="s">
        <v>353</v>
      </c>
      <c r="V228" s="264" t="s">
        <v>19</v>
      </c>
      <c r="W228" s="264"/>
      <c r="X228" s="264" t="s">
        <v>332</v>
      </c>
      <c r="Z228" s="264" t="s">
        <v>333</v>
      </c>
    </row>
    <row r="229" spans="1:26" x14ac:dyDescent="0.25">
      <c r="A229" s="257" t="s">
        <v>57</v>
      </c>
      <c r="B229" s="257" t="s">
        <v>21</v>
      </c>
      <c r="C229" s="264"/>
      <c r="D229" s="257" t="s">
        <v>354</v>
      </c>
      <c r="E229" s="257" t="str">
        <f>E187</f>
        <v>(000 Gal)</v>
      </c>
      <c r="F229" s="257" t="s">
        <v>97</v>
      </c>
      <c r="G229" s="257" t="s">
        <v>91</v>
      </c>
      <c r="H229" s="264"/>
      <c r="I229" s="257" t="s">
        <v>354</v>
      </c>
      <c r="J229" s="257" t="str">
        <f>J187</f>
        <v>(000 Gal)</v>
      </c>
      <c r="K229" s="257" t="s">
        <v>97</v>
      </c>
      <c r="L229" s="257" t="s">
        <v>91</v>
      </c>
      <c r="M229" s="264"/>
      <c r="N229" s="257" t="s">
        <v>354</v>
      </c>
      <c r="O229" s="257" t="str">
        <f>E229</f>
        <v>(000 Gal)</v>
      </c>
      <c r="P229" s="257" t="s">
        <v>97</v>
      </c>
      <c r="Q229" s="257" t="s">
        <v>91</v>
      </c>
      <c r="R229" s="264"/>
      <c r="S229" s="257" t="s">
        <v>354</v>
      </c>
      <c r="T229" s="257" t="str">
        <f>O229</f>
        <v>(000 Gal)</v>
      </c>
      <c r="U229" s="257" t="s">
        <v>97</v>
      </c>
      <c r="V229" s="257" t="s">
        <v>91</v>
      </c>
      <c r="W229" s="264"/>
      <c r="X229" s="257" t="s">
        <v>335</v>
      </c>
      <c r="Z229" s="257" t="s">
        <v>335</v>
      </c>
    </row>
    <row r="230" spans="1:26" x14ac:dyDescent="0.25">
      <c r="A230" s="264">
        <v>1</v>
      </c>
      <c r="B230" s="254" t="str">
        <f>+I221</f>
        <v>SALES FOR RESALE</v>
      </c>
      <c r="C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  <c r="Z230" s="264"/>
    </row>
    <row r="231" spans="1:26" x14ac:dyDescent="0.25">
      <c r="A231" s="264">
        <f>+A230+1</f>
        <v>2</v>
      </c>
      <c r="B231" s="266" t="s">
        <v>355</v>
      </c>
    </row>
    <row r="232" spans="1:26" x14ac:dyDescent="0.25">
      <c r="A232" s="264">
        <f t="shared" ref="A232:A254" si="71">+A231+1</f>
        <v>3</v>
      </c>
      <c r="B232" s="253" t="s">
        <v>356</v>
      </c>
      <c r="C232" s="267"/>
      <c r="D232" s="268">
        <v>13</v>
      </c>
      <c r="E232" s="269"/>
      <c r="F232" s="292">
        <v>15</v>
      </c>
      <c r="G232" s="267">
        <f>ROUND(D232*F232,2)</f>
        <v>195</v>
      </c>
      <c r="H232" s="267"/>
      <c r="I232" s="268">
        <f>D232</f>
        <v>13</v>
      </c>
      <c r="J232" s="269"/>
      <c r="K232" s="292">
        <f>U232</f>
        <v>20</v>
      </c>
      <c r="L232" s="267">
        <f>ROUND(I232*K232,2)</f>
        <v>260</v>
      </c>
      <c r="M232" s="267"/>
      <c r="N232" s="268">
        <v>12</v>
      </c>
      <c r="O232" s="269"/>
      <c r="P232" s="292">
        <f t="shared" ref="P232:P239" si="72">+F232</f>
        <v>15</v>
      </c>
      <c r="Q232" s="267">
        <f>ROUND(N232*P232,2)</f>
        <v>180</v>
      </c>
      <c r="R232" s="267"/>
      <c r="S232" s="268">
        <f>N232</f>
        <v>12</v>
      </c>
      <c r="T232" s="269"/>
      <c r="U232" s="292">
        <v>20</v>
      </c>
      <c r="V232" s="267">
        <f>ROUND(S232*U232,2)</f>
        <v>240</v>
      </c>
      <c r="W232" s="267"/>
      <c r="X232" s="267">
        <f>+V232-Q232</f>
        <v>60</v>
      </c>
      <c r="Y232" s="269"/>
      <c r="Z232" s="270">
        <f t="shared" ref="Z232:Z240" si="73">IF(Q232=0,0,ROUND((X232/Q232),4))</f>
        <v>0.33329999999999999</v>
      </c>
    </row>
    <row r="233" spans="1:26" x14ac:dyDescent="0.25">
      <c r="A233" s="264">
        <f t="shared" si="71"/>
        <v>4</v>
      </c>
      <c r="B233" s="253" t="s">
        <v>357</v>
      </c>
      <c r="C233" s="268"/>
      <c r="D233" s="268">
        <v>0</v>
      </c>
      <c r="E233" s="269"/>
      <c r="F233" s="271">
        <v>22.4</v>
      </c>
      <c r="G233" s="268">
        <f t="shared" ref="G233:G240" si="74">ROUND(D233*F233,2)</f>
        <v>0</v>
      </c>
      <c r="H233" s="268"/>
      <c r="I233" s="268">
        <f t="shared" ref="I233:I240" si="75">D233</f>
        <v>0</v>
      </c>
      <c r="J233" s="269"/>
      <c r="K233" s="271">
        <f t="shared" ref="K233:K240" si="76">U233</f>
        <v>29.8</v>
      </c>
      <c r="L233" s="268">
        <f t="shared" ref="L233:L240" si="77">ROUND(I233*K233,2)</f>
        <v>0</v>
      </c>
      <c r="M233" s="268"/>
      <c r="N233" s="268">
        <v>0</v>
      </c>
      <c r="O233" s="269"/>
      <c r="P233" s="271">
        <f t="shared" si="72"/>
        <v>22.4</v>
      </c>
      <c r="Q233" s="268">
        <f t="shared" ref="Q233:Q240" si="78">ROUND(N233*P233,2)</f>
        <v>0</v>
      </c>
      <c r="R233" s="268"/>
      <c r="S233" s="268">
        <f t="shared" ref="S233:S240" si="79">N233</f>
        <v>0</v>
      </c>
      <c r="T233" s="269"/>
      <c r="U233" s="271">
        <v>29.8</v>
      </c>
      <c r="V233" s="268">
        <f t="shared" ref="V233:V240" si="80">ROUND(S233*U233,2)</f>
        <v>0</v>
      </c>
      <c r="W233" s="268"/>
      <c r="X233" s="268">
        <f t="shared" ref="X233:X240" si="81">+V233-Q233</f>
        <v>0</v>
      </c>
      <c r="Y233" s="269"/>
      <c r="Z233" s="270">
        <f t="shared" si="73"/>
        <v>0</v>
      </c>
    </row>
    <row r="234" spans="1:26" x14ac:dyDescent="0.25">
      <c r="A234" s="264">
        <f t="shared" si="71"/>
        <v>5</v>
      </c>
      <c r="B234" s="253" t="s">
        <v>358</v>
      </c>
      <c r="C234" s="268"/>
      <c r="D234" s="268">
        <v>0</v>
      </c>
      <c r="E234" s="269"/>
      <c r="F234" s="271">
        <v>37.299999999999997</v>
      </c>
      <c r="G234" s="268">
        <f t="shared" si="74"/>
        <v>0</v>
      </c>
      <c r="H234" s="268"/>
      <c r="I234" s="268">
        <f t="shared" si="75"/>
        <v>0</v>
      </c>
      <c r="J234" s="269"/>
      <c r="K234" s="271">
        <f t="shared" si="76"/>
        <v>49.6</v>
      </c>
      <c r="L234" s="268">
        <f t="shared" si="77"/>
        <v>0</v>
      </c>
      <c r="M234" s="268"/>
      <c r="N234" s="268">
        <v>0</v>
      </c>
      <c r="O234" s="269"/>
      <c r="P234" s="271">
        <f t="shared" si="72"/>
        <v>37.299999999999997</v>
      </c>
      <c r="Q234" s="268">
        <f t="shared" si="78"/>
        <v>0</v>
      </c>
      <c r="R234" s="268"/>
      <c r="S234" s="268">
        <f t="shared" si="79"/>
        <v>0</v>
      </c>
      <c r="T234" s="269"/>
      <c r="U234" s="271">
        <v>49.6</v>
      </c>
      <c r="V234" s="268">
        <f t="shared" si="80"/>
        <v>0</v>
      </c>
      <c r="W234" s="268"/>
      <c r="X234" s="268">
        <f t="shared" si="81"/>
        <v>0</v>
      </c>
      <c r="Y234" s="269"/>
      <c r="Z234" s="270">
        <f t="shared" si="73"/>
        <v>0</v>
      </c>
    </row>
    <row r="235" spans="1:26" x14ac:dyDescent="0.25">
      <c r="A235" s="264">
        <f t="shared" si="71"/>
        <v>6</v>
      </c>
      <c r="B235" s="253" t="s">
        <v>359</v>
      </c>
      <c r="C235" s="268"/>
      <c r="D235" s="268">
        <v>16.47</v>
      </c>
      <c r="E235" s="269"/>
      <c r="F235" s="271">
        <v>74.7</v>
      </c>
      <c r="G235" s="268">
        <f t="shared" si="74"/>
        <v>1230.31</v>
      </c>
      <c r="H235" s="268"/>
      <c r="I235" s="268">
        <f t="shared" si="75"/>
        <v>16.47</v>
      </c>
      <c r="J235" s="269"/>
      <c r="K235" s="271">
        <f t="shared" si="76"/>
        <v>99.4</v>
      </c>
      <c r="L235" s="268">
        <f t="shared" si="77"/>
        <v>1637.12</v>
      </c>
      <c r="M235" s="268"/>
      <c r="N235" s="268">
        <v>12</v>
      </c>
      <c r="O235" s="269"/>
      <c r="P235" s="271">
        <f t="shared" si="72"/>
        <v>74.7</v>
      </c>
      <c r="Q235" s="268">
        <f t="shared" si="78"/>
        <v>896.4</v>
      </c>
      <c r="R235" s="268"/>
      <c r="S235" s="268">
        <f t="shared" si="79"/>
        <v>12</v>
      </c>
      <c r="T235" s="269"/>
      <c r="U235" s="271">
        <v>99.4</v>
      </c>
      <c r="V235" s="268">
        <f t="shared" si="80"/>
        <v>1192.8</v>
      </c>
      <c r="W235" s="268"/>
      <c r="X235" s="268">
        <f t="shared" si="81"/>
        <v>296.39999999999998</v>
      </c>
      <c r="Y235" s="269"/>
      <c r="Z235" s="270">
        <f t="shared" si="73"/>
        <v>0.33069999999999999</v>
      </c>
    </row>
    <row r="236" spans="1:26" x14ac:dyDescent="0.25">
      <c r="A236" s="264">
        <f t="shared" si="71"/>
        <v>7</v>
      </c>
      <c r="B236" s="253" t="s">
        <v>360</v>
      </c>
      <c r="C236" s="268"/>
      <c r="D236" s="268">
        <v>66.78</v>
      </c>
      <c r="E236" s="269"/>
      <c r="F236" s="271">
        <v>119.5</v>
      </c>
      <c r="G236" s="268">
        <f t="shared" si="74"/>
        <v>7980.21</v>
      </c>
      <c r="H236" s="268"/>
      <c r="I236" s="268">
        <f t="shared" si="75"/>
        <v>66.78</v>
      </c>
      <c r="J236" s="269"/>
      <c r="K236" s="271">
        <f t="shared" si="76"/>
        <v>158.9</v>
      </c>
      <c r="L236" s="268">
        <f t="shared" si="77"/>
        <v>10611.34</v>
      </c>
      <c r="M236" s="268"/>
      <c r="N236" s="268">
        <v>72</v>
      </c>
      <c r="O236" s="269"/>
      <c r="P236" s="271">
        <f t="shared" si="72"/>
        <v>119.5</v>
      </c>
      <c r="Q236" s="268">
        <f t="shared" si="78"/>
        <v>8604</v>
      </c>
      <c r="R236" s="268"/>
      <c r="S236" s="268">
        <f t="shared" si="79"/>
        <v>72</v>
      </c>
      <c r="T236" s="269"/>
      <c r="U236" s="271">
        <v>158.9</v>
      </c>
      <c r="V236" s="268">
        <f t="shared" si="80"/>
        <v>11440.8</v>
      </c>
      <c r="W236" s="268"/>
      <c r="X236" s="268">
        <f t="shared" si="81"/>
        <v>2836.7999999999993</v>
      </c>
      <c r="Y236" s="269"/>
      <c r="Z236" s="270">
        <f t="shared" si="73"/>
        <v>0.32969999999999999</v>
      </c>
    </row>
    <row r="237" spans="1:26" x14ac:dyDescent="0.25">
      <c r="A237" s="264">
        <f t="shared" si="71"/>
        <v>8</v>
      </c>
      <c r="B237" s="253" t="s">
        <v>361</v>
      </c>
      <c r="C237" s="268"/>
      <c r="D237" s="268">
        <v>12</v>
      </c>
      <c r="E237" s="269"/>
      <c r="F237" s="271">
        <v>224</v>
      </c>
      <c r="G237" s="268">
        <f t="shared" si="74"/>
        <v>2688</v>
      </c>
      <c r="H237" s="268"/>
      <c r="I237" s="268">
        <f t="shared" si="75"/>
        <v>12</v>
      </c>
      <c r="J237" s="269"/>
      <c r="K237" s="271">
        <f t="shared" si="76"/>
        <v>297.89999999999998</v>
      </c>
      <c r="L237" s="268">
        <f t="shared" si="77"/>
        <v>3574.8</v>
      </c>
      <c r="M237" s="268"/>
      <c r="N237" s="268">
        <v>12</v>
      </c>
      <c r="O237" s="269"/>
      <c r="P237" s="271">
        <f t="shared" si="72"/>
        <v>224</v>
      </c>
      <c r="Q237" s="268">
        <f t="shared" si="78"/>
        <v>2688</v>
      </c>
      <c r="R237" s="268"/>
      <c r="S237" s="268">
        <f t="shared" si="79"/>
        <v>12</v>
      </c>
      <c r="T237" s="269"/>
      <c r="U237" s="271">
        <v>297.89999999999998</v>
      </c>
      <c r="V237" s="268">
        <f t="shared" si="80"/>
        <v>3574.8</v>
      </c>
      <c r="W237" s="268"/>
      <c r="X237" s="268">
        <f t="shared" si="81"/>
        <v>886.80000000000018</v>
      </c>
      <c r="Y237" s="269"/>
      <c r="Z237" s="270">
        <f t="shared" si="73"/>
        <v>0.32990000000000003</v>
      </c>
    </row>
    <row r="238" spans="1:26" x14ac:dyDescent="0.25">
      <c r="A238" s="264">
        <f t="shared" si="71"/>
        <v>9</v>
      </c>
      <c r="B238" s="253" t="s">
        <v>362</v>
      </c>
      <c r="C238" s="268"/>
      <c r="D238" s="268">
        <v>83.16</v>
      </c>
      <c r="E238" s="269"/>
      <c r="F238" s="271">
        <v>373.4</v>
      </c>
      <c r="G238" s="268">
        <f t="shared" si="74"/>
        <v>31051.94</v>
      </c>
      <c r="H238" s="268"/>
      <c r="I238" s="268">
        <f t="shared" si="75"/>
        <v>83.16</v>
      </c>
      <c r="J238" s="269"/>
      <c r="K238" s="271">
        <f t="shared" si="76"/>
        <v>496.6</v>
      </c>
      <c r="L238" s="268">
        <f t="shared" si="77"/>
        <v>41297.26</v>
      </c>
      <c r="M238" s="268"/>
      <c r="N238" s="268">
        <v>84</v>
      </c>
      <c r="O238" s="269"/>
      <c r="P238" s="271">
        <f t="shared" si="72"/>
        <v>373.4</v>
      </c>
      <c r="Q238" s="268">
        <f t="shared" si="78"/>
        <v>31365.599999999999</v>
      </c>
      <c r="R238" s="268"/>
      <c r="S238" s="268">
        <f t="shared" si="79"/>
        <v>84</v>
      </c>
      <c r="T238" s="269"/>
      <c r="U238" s="271">
        <v>496.6</v>
      </c>
      <c r="V238" s="268">
        <f t="shared" si="80"/>
        <v>41714.400000000001</v>
      </c>
      <c r="W238" s="268"/>
      <c r="X238" s="268">
        <f t="shared" si="81"/>
        <v>10348.800000000003</v>
      </c>
      <c r="Y238" s="269"/>
      <c r="Z238" s="270">
        <f t="shared" si="73"/>
        <v>0.32990000000000003</v>
      </c>
    </row>
    <row r="239" spans="1:26" x14ac:dyDescent="0.25">
      <c r="A239" s="264">
        <f t="shared" si="71"/>
        <v>10</v>
      </c>
      <c r="B239" s="253" t="s">
        <v>363</v>
      </c>
      <c r="C239" s="268"/>
      <c r="D239" s="268">
        <v>47</v>
      </c>
      <c r="E239" s="269"/>
      <c r="F239" s="271">
        <v>746.7</v>
      </c>
      <c r="G239" s="268">
        <f t="shared" si="74"/>
        <v>35094.9</v>
      </c>
      <c r="H239" s="268"/>
      <c r="I239" s="268">
        <f t="shared" si="75"/>
        <v>47</v>
      </c>
      <c r="J239" s="269"/>
      <c r="K239" s="271">
        <f t="shared" si="76"/>
        <v>993.1</v>
      </c>
      <c r="L239" s="268">
        <f t="shared" si="77"/>
        <v>46675.7</v>
      </c>
      <c r="M239" s="268"/>
      <c r="N239" s="268">
        <v>48</v>
      </c>
      <c r="O239" s="269"/>
      <c r="P239" s="271">
        <f t="shared" si="72"/>
        <v>746.7</v>
      </c>
      <c r="Q239" s="268">
        <f t="shared" si="78"/>
        <v>35841.599999999999</v>
      </c>
      <c r="R239" s="268"/>
      <c r="S239" s="268">
        <f t="shared" si="79"/>
        <v>48</v>
      </c>
      <c r="T239" s="269"/>
      <c r="U239" s="271">
        <v>993.1</v>
      </c>
      <c r="V239" s="268">
        <f t="shared" si="80"/>
        <v>47668.800000000003</v>
      </c>
      <c r="W239" s="268"/>
      <c r="X239" s="268">
        <f t="shared" si="81"/>
        <v>11827.200000000004</v>
      </c>
      <c r="Y239" s="269"/>
      <c r="Z239" s="270">
        <f t="shared" si="73"/>
        <v>0.33</v>
      </c>
    </row>
    <row r="240" spans="1:26" x14ac:dyDescent="0.25">
      <c r="A240" s="264">
        <f t="shared" si="71"/>
        <v>11</v>
      </c>
      <c r="B240" s="253" t="s">
        <v>364</v>
      </c>
      <c r="C240" s="268"/>
      <c r="D240" s="268">
        <v>0</v>
      </c>
      <c r="E240" s="269"/>
      <c r="F240" s="271">
        <v>1194.7</v>
      </c>
      <c r="G240" s="268">
        <f t="shared" si="74"/>
        <v>0</v>
      </c>
      <c r="H240" s="268"/>
      <c r="I240" s="268">
        <f t="shared" si="75"/>
        <v>0</v>
      </c>
      <c r="J240" s="269"/>
      <c r="K240" s="271">
        <f t="shared" si="76"/>
        <v>1589</v>
      </c>
      <c r="L240" s="268">
        <f t="shared" si="77"/>
        <v>0</v>
      </c>
      <c r="M240" s="268"/>
      <c r="N240" s="268">
        <v>0</v>
      </c>
      <c r="O240" s="269"/>
      <c r="P240" s="271">
        <f>+F240</f>
        <v>1194.7</v>
      </c>
      <c r="Q240" s="268">
        <f t="shared" si="78"/>
        <v>0</v>
      </c>
      <c r="R240" s="268"/>
      <c r="S240" s="268">
        <f t="shared" si="79"/>
        <v>0</v>
      </c>
      <c r="T240" s="269"/>
      <c r="U240" s="271">
        <v>1589</v>
      </c>
      <c r="V240" s="268">
        <f t="shared" si="80"/>
        <v>0</v>
      </c>
      <c r="W240" s="268"/>
      <c r="X240" s="268">
        <f t="shared" si="81"/>
        <v>0</v>
      </c>
      <c r="Y240" s="269"/>
      <c r="Z240" s="270">
        <f t="shared" si="73"/>
        <v>0</v>
      </c>
    </row>
    <row r="241" spans="1:27" x14ac:dyDescent="0.25">
      <c r="A241" s="264">
        <f t="shared" si="71"/>
        <v>12</v>
      </c>
      <c r="C241" s="268"/>
      <c r="D241" s="268"/>
      <c r="E241" s="269"/>
      <c r="F241" s="271"/>
      <c r="G241" s="268"/>
      <c r="H241" s="268"/>
      <c r="I241" s="268"/>
      <c r="J241" s="269"/>
      <c r="K241" s="271"/>
      <c r="L241" s="268"/>
      <c r="M241" s="268"/>
      <c r="N241" s="268"/>
      <c r="O241" s="269"/>
      <c r="P241" s="271"/>
      <c r="Q241" s="268"/>
      <c r="R241" s="268"/>
      <c r="S241" s="268"/>
      <c r="T241" s="269"/>
      <c r="U241" s="271"/>
      <c r="V241" s="268"/>
      <c r="W241" s="268"/>
      <c r="X241" s="268"/>
      <c r="Y241" s="269"/>
      <c r="Z241" s="270"/>
    </row>
    <row r="242" spans="1:27" x14ac:dyDescent="0.25">
      <c r="A242" s="264">
        <f t="shared" si="71"/>
        <v>13</v>
      </c>
      <c r="C242" s="268"/>
      <c r="D242" s="268"/>
      <c r="E242" s="269"/>
      <c r="F242" s="271"/>
      <c r="G242" s="268"/>
      <c r="H242" s="268"/>
      <c r="I242" s="268"/>
      <c r="J242" s="269"/>
      <c r="K242" s="271"/>
      <c r="L242" s="268"/>
      <c r="M242" s="268"/>
      <c r="N242" s="268"/>
      <c r="O242" s="269"/>
      <c r="P242" s="271"/>
      <c r="Q242" s="268"/>
      <c r="R242" s="268"/>
      <c r="S242" s="268"/>
      <c r="T242" s="269"/>
      <c r="U242" s="271"/>
      <c r="V242" s="268"/>
      <c r="W242" s="268"/>
      <c r="X242" s="267"/>
      <c r="Y242" s="269"/>
      <c r="Z242" s="270"/>
    </row>
    <row r="243" spans="1:27" x14ac:dyDescent="0.25">
      <c r="A243" s="264">
        <f t="shared" si="71"/>
        <v>14</v>
      </c>
      <c r="B243" s="266" t="s">
        <v>368</v>
      </c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8"/>
      <c r="Y243" s="269"/>
      <c r="Z243" s="270"/>
    </row>
    <row r="244" spans="1:27" x14ac:dyDescent="0.25">
      <c r="A244" s="264">
        <f t="shared" si="71"/>
        <v>15</v>
      </c>
      <c r="B244" s="253" t="s">
        <v>376</v>
      </c>
      <c r="C244" s="267"/>
      <c r="D244" s="269"/>
      <c r="E244" s="268">
        <v>238466.73032112001</v>
      </c>
      <c r="F244" s="293">
        <v>4.2359999999999998</v>
      </c>
      <c r="G244" s="267">
        <f>ROUND(E244*F244,2)</f>
        <v>1010145.07</v>
      </c>
      <c r="H244" s="267"/>
      <c r="I244" s="269"/>
      <c r="J244" s="268">
        <f>E244</f>
        <v>238466.73032112001</v>
      </c>
      <c r="K244" s="293">
        <f>U244</f>
        <v>5.7565999999999997</v>
      </c>
      <c r="L244" s="267">
        <f>ROUND(J244*K244,2)</f>
        <v>1372757.58</v>
      </c>
      <c r="M244" s="267"/>
      <c r="N244" s="269"/>
      <c r="O244" s="268">
        <v>207991.11999999994</v>
      </c>
      <c r="P244" s="293">
        <f>+F244</f>
        <v>4.2359999999999998</v>
      </c>
      <c r="Q244" s="267">
        <f>ROUND(O244*P244,2)</f>
        <v>881050.38</v>
      </c>
      <c r="R244" s="267"/>
      <c r="S244" s="269"/>
      <c r="T244" s="268">
        <f>O244</f>
        <v>207991.11999999994</v>
      </c>
      <c r="U244" s="293">
        <v>5.7565999999999997</v>
      </c>
      <c r="V244" s="267">
        <f>ROUND(T244*U244,2)</f>
        <v>1197321.68</v>
      </c>
      <c r="W244" s="268"/>
      <c r="X244" s="267">
        <f t="shared" ref="X244" si="82">+V244-Q244</f>
        <v>316271.29999999993</v>
      </c>
      <c r="Y244" s="269"/>
      <c r="Z244" s="270">
        <f t="shared" ref="Z244" si="83">IF(Q244=0,0,ROUND((X244/Q244),4))</f>
        <v>0.35899999999999999</v>
      </c>
    </row>
    <row r="245" spans="1:27" x14ac:dyDescent="0.25">
      <c r="A245" s="264">
        <f t="shared" si="71"/>
        <v>16</v>
      </c>
      <c r="C245" s="268"/>
      <c r="E245" s="268"/>
      <c r="F245" s="276"/>
      <c r="G245" s="268"/>
      <c r="H245" s="268"/>
      <c r="J245" s="268"/>
      <c r="K245" s="276"/>
      <c r="L245" s="268"/>
      <c r="M245" s="268"/>
      <c r="O245" s="268"/>
      <c r="P245" s="276"/>
      <c r="Q245" s="268"/>
      <c r="R245" s="268"/>
      <c r="T245" s="268"/>
      <c r="U245" s="276"/>
      <c r="V245" s="268"/>
      <c r="W245" s="268"/>
      <c r="X245" s="268"/>
      <c r="Z245" s="270"/>
    </row>
    <row r="246" spans="1:27" x14ac:dyDescent="0.25">
      <c r="A246" s="264">
        <f t="shared" si="71"/>
        <v>17</v>
      </c>
      <c r="B246" s="253" t="s">
        <v>377</v>
      </c>
      <c r="C246" s="268"/>
      <c r="E246" s="268"/>
      <c r="F246" s="276"/>
      <c r="G246" s="268"/>
      <c r="H246" s="268"/>
      <c r="J246" s="268"/>
      <c r="K246" s="276"/>
      <c r="L246" s="268"/>
      <c r="M246" s="268"/>
      <c r="O246" s="268"/>
      <c r="P246" s="276"/>
      <c r="Q246" s="268"/>
      <c r="R246" s="268"/>
      <c r="T246" s="268"/>
      <c r="U246" s="276"/>
      <c r="V246" s="268"/>
      <c r="W246" s="268"/>
      <c r="X246" s="268"/>
      <c r="Z246" s="270"/>
    </row>
    <row r="247" spans="1:27" x14ac:dyDescent="0.25">
      <c r="A247" s="264">
        <f t="shared" si="71"/>
        <v>18</v>
      </c>
      <c r="B247" s="253" t="s">
        <v>378</v>
      </c>
      <c r="C247" s="268"/>
      <c r="E247" s="268">
        <v>31291.999829604661</v>
      </c>
      <c r="F247" s="293">
        <v>4.5199999999999996</v>
      </c>
      <c r="G247" s="267">
        <f>ROUND(E247*F247,2)</f>
        <v>141439.84</v>
      </c>
      <c r="H247" s="268"/>
      <c r="J247" s="268">
        <f>+E247</f>
        <v>31291.999829604661</v>
      </c>
      <c r="K247" s="293">
        <f t="shared" ref="K247:K250" si="84">U247</f>
        <v>5.7565999999999997</v>
      </c>
      <c r="L247" s="267">
        <f>ROUND(J247*K247,2)</f>
        <v>180135.53</v>
      </c>
      <c r="M247" s="268"/>
      <c r="O247" s="268">
        <v>27242.21100748179</v>
      </c>
      <c r="P247" s="293">
        <f>+F247</f>
        <v>4.5199999999999996</v>
      </c>
      <c r="Q247" s="267">
        <f>ROUND(O247*P247,2)</f>
        <v>123134.79</v>
      </c>
      <c r="R247" s="268"/>
      <c r="T247" s="268">
        <f>+O247</f>
        <v>27242.21100748179</v>
      </c>
      <c r="U247" s="293">
        <v>5.7565999999999997</v>
      </c>
      <c r="V247" s="267">
        <f>ROUND(T247*U247,2)</f>
        <v>156822.51</v>
      </c>
      <c r="W247" s="268"/>
      <c r="X247" s="267">
        <f t="shared" ref="X247:X248" si="85">+V247-Q247</f>
        <v>33687.720000000016</v>
      </c>
      <c r="Y247" s="269"/>
      <c r="Z247" s="270">
        <f t="shared" ref="Z247:Z248" si="86">IF(Q247=0,0,ROUND((X247/Q247),4))</f>
        <v>0.27360000000000001</v>
      </c>
    </row>
    <row r="248" spans="1:27" x14ac:dyDescent="0.25">
      <c r="A248" s="264">
        <f t="shared" si="71"/>
        <v>19</v>
      </c>
      <c r="B248" s="253" t="s">
        <v>379</v>
      </c>
      <c r="E248" s="268">
        <v>2305.4255611953372</v>
      </c>
      <c r="F248" s="276">
        <v>4.62</v>
      </c>
      <c r="G248" s="268">
        <f>ROUND(E248*F248,2)</f>
        <v>10651.07</v>
      </c>
      <c r="H248" s="268"/>
      <c r="J248" s="268">
        <f>+E248</f>
        <v>2305.4255611953372</v>
      </c>
      <c r="K248" s="276">
        <f t="shared" si="84"/>
        <v>5.7565999999999997</v>
      </c>
      <c r="L248" s="268">
        <f>ROUND(J248*K248,2)</f>
        <v>13271.41</v>
      </c>
      <c r="O248" s="268">
        <v>3240.2556591848779</v>
      </c>
      <c r="P248" s="276">
        <f>+F248</f>
        <v>4.62</v>
      </c>
      <c r="Q248" s="268">
        <f>ROUND(O248*P248,2)</f>
        <v>14969.98</v>
      </c>
      <c r="T248" s="268">
        <f>+O248</f>
        <v>3240.2556591848779</v>
      </c>
      <c r="U248" s="276">
        <v>5.7565999999999997</v>
      </c>
      <c r="V248" s="268">
        <f>ROUND(T248*U248,2)</f>
        <v>18652.86</v>
      </c>
      <c r="X248" s="268">
        <f t="shared" si="85"/>
        <v>3682.880000000001</v>
      </c>
      <c r="Y248" s="269"/>
      <c r="Z248" s="270">
        <f t="shared" si="86"/>
        <v>0.246</v>
      </c>
    </row>
    <row r="249" spans="1:27" x14ac:dyDescent="0.25">
      <c r="A249" s="264">
        <f t="shared" si="71"/>
        <v>20</v>
      </c>
      <c r="E249" s="268"/>
      <c r="F249" s="276"/>
      <c r="G249" s="268"/>
      <c r="H249" s="268"/>
      <c r="J249" s="268"/>
      <c r="K249" s="293"/>
      <c r="L249" s="268"/>
      <c r="O249" s="268"/>
      <c r="P249" s="276"/>
      <c r="Q249" s="268"/>
      <c r="T249" s="268"/>
      <c r="U249" s="276"/>
      <c r="V249" s="268"/>
      <c r="X249" s="268"/>
      <c r="Z249" s="270"/>
    </row>
    <row r="250" spans="1:27" x14ac:dyDescent="0.25">
      <c r="A250" s="264">
        <f t="shared" si="71"/>
        <v>21</v>
      </c>
      <c r="B250" s="253" t="s">
        <v>380</v>
      </c>
      <c r="C250" s="279"/>
      <c r="E250" s="253">
        <v>27727.420194455997</v>
      </c>
      <c r="F250" s="293">
        <v>2.25</v>
      </c>
      <c r="G250" s="267">
        <f>ROUND(E250*F250,2)</f>
        <v>62386.7</v>
      </c>
      <c r="H250" s="279"/>
      <c r="J250" s="268">
        <f>+E250</f>
        <v>27727.420194455997</v>
      </c>
      <c r="K250" s="293">
        <f t="shared" si="84"/>
        <v>2.25</v>
      </c>
      <c r="L250" s="267">
        <f>ROUND(J250*K250,2)</f>
        <v>62386.7</v>
      </c>
      <c r="M250" s="279"/>
      <c r="O250" s="253">
        <v>31411.289333333323</v>
      </c>
      <c r="P250" s="293">
        <f>+F250</f>
        <v>2.25</v>
      </c>
      <c r="Q250" s="267">
        <f>ROUND(O250*P250,2)</f>
        <v>70675.399999999994</v>
      </c>
      <c r="R250" s="279"/>
      <c r="T250" s="253">
        <f>+O250</f>
        <v>31411.289333333323</v>
      </c>
      <c r="U250" s="293">
        <v>2.25</v>
      </c>
      <c r="V250" s="267">
        <f>ROUND(T250*U250,2)</f>
        <v>70675.399999999994</v>
      </c>
      <c r="W250" s="279"/>
      <c r="X250" s="267">
        <f t="shared" ref="X250" si="87">+V250-Q250</f>
        <v>0</v>
      </c>
      <c r="Y250" s="269"/>
      <c r="Z250" s="270">
        <f t="shared" ref="Z250" si="88">IF(Q250=0,0,ROUND((X250/Q250),4))</f>
        <v>0</v>
      </c>
    </row>
    <row r="251" spans="1:27" x14ac:dyDescent="0.25">
      <c r="A251" s="264">
        <f t="shared" si="71"/>
        <v>22</v>
      </c>
      <c r="C251" s="279"/>
      <c r="F251" s="293"/>
      <c r="G251" s="267"/>
      <c r="H251" s="279"/>
      <c r="J251" s="268"/>
      <c r="K251" s="293"/>
      <c r="L251" s="267"/>
      <c r="M251" s="279"/>
      <c r="P251" s="293"/>
      <c r="Q251" s="267"/>
      <c r="R251" s="279"/>
      <c r="U251" s="293"/>
      <c r="V251" s="267"/>
      <c r="W251" s="279"/>
      <c r="X251" s="267"/>
      <c r="Y251" s="269"/>
      <c r="Z251" s="270"/>
    </row>
    <row r="252" spans="1:27" x14ac:dyDescent="0.25">
      <c r="A252" s="264">
        <f t="shared" si="71"/>
        <v>23</v>
      </c>
      <c r="B252" s="253" t="s">
        <v>371</v>
      </c>
      <c r="E252" s="268"/>
      <c r="F252" s="294"/>
      <c r="G252" s="268">
        <v>71849.180000000008</v>
      </c>
      <c r="H252" s="268"/>
      <c r="J252" s="268"/>
      <c r="K252" s="294">
        <f>+U252</f>
        <v>0</v>
      </c>
      <c r="L252" s="267">
        <f>+ROUND(SUM(L232:L250)*K252,2)</f>
        <v>0</v>
      </c>
      <c r="O252" s="268"/>
      <c r="P252" s="294"/>
      <c r="Q252" s="267">
        <v>112881.31</v>
      </c>
      <c r="T252" s="268"/>
      <c r="U252" s="294">
        <v>0</v>
      </c>
      <c r="V252" s="267">
        <f>+ROUND(SUM(V232:V250)*U252,2)</f>
        <v>0</v>
      </c>
      <c r="W252" s="279"/>
      <c r="X252" s="267">
        <f t="shared" ref="X252" si="89">+V252-Q252</f>
        <v>-112881.31</v>
      </c>
      <c r="Y252" s="269"/>
      <c r="Z252" s="270">
        <f t="shared" ref="Z252" si="90">IF(Q252=0,0,ROUND((X252/Q252),4))</f>
        <v>-1</v>
      </c>
    </row>
    <row r="253" spans="1:27" x14ac:dyDescent="0.25">
      <c r="A253" s="264">
        <f t="shared" si="71"/>
        <v>24</v>
      </c>
      <c r="C253" s="280"/>
      <c r="F253" s="280"/>
      <c r="G253" s="280"/>
      <c r="H253" s="280"/>
      <c r="K253" s="293"/>
      <c r="L253" s="280"/>
      <c r="M253" s="280"/>
      <c r="P253" s="280"/>
      <c r="Q253" s="280"/>
      <c r="R253" s="280"/>
      <c r="U253" s="280"/>
      <c r="V253" s="280"/>
      <c r="W253" s="280"/>
      <c r="X253" s="268"/>
      <c r="Z253" s="270"/>
      <c r="AA253" s="270"/>
    </row>
    <row r="254" spans="1:27" ht="15.75" thickBot="1" x14ac:dyDescent="0.3">
      <c r="A254" s="264">
        <f t="shared" si="71"/>
        <v>25</v>
      </c>
      <c r="B254" s="253" t="s">
        <v>19</v>
      </c>
      <c r="C254" s="282"/>
      <c r="D254" s="295"/>
      <c r="E254" s="296">
        <f>SUM(E244:E253)</f>
        <v>299791.57590637601</v>
      </c>
      <c r="F254" s="282"/>
      <c r="G254" s="297">
        <f>SUM(G232:G253)</f>
        <v>1374712.22</v>
      </c>
      <c r="H254" s="282"/>
      <c r="I254" s="295"/>
      <c r="J254" s="296">
        <f>SUM(J244:J253)</f>
        <v>299791.57590637601</v>
      </c>
      <c r="K254" s="282"/>
      <c r="L254" s="297">
        <f>SUM(L232:L253)</f>
        <v>1732607.44</v>
      </c>
      <c r="M254" s="282"/>
      <c r="N254" s="295"/>
      <c r="O254" s="296">
        <f>SUM(O244:O253)</f>
        <v>269884.87599999993</v>
      </c>
      <c r="P254" s="282"/>
      <c r="Q254" s="297">
        <f>SUM(Q232:Q253)</f>
        <v>1282287.46</v>
      </c>
      <c r="R254" s="282"/>
      <c r="S254" s="295"/>
      <c r="T254" s="296">
        <f>SUM(T244:T253)</f>
        <v>269884.87599999993</v>
      </c>
      <c r="U254" s="282"/>
      <c r="V254" s="297">
        <f>SUM(V232:V253)</f>
        <v>1549304.05</v>
      </c>
      <c r="W254" s="282"/>
      <c r="X254" s="297">
        <f>SUM(X232:X253)</f>
        <v>267016.58999999997</v>
      </c>
      <c r="Z254" s="290">
        <f t="shared" ref="Z254" si="91">IF(Q254=0,0,ROUND((X254/Q254),4))</f>
        <v>0.2082</v>
      </c>
    </row>
    <row r="255" spans="1:27" ht="15.75" thickTop="1" x14ac:dyDescent="0.25">
      <c r="A255" s="264"/>
      <c r="C255" s="268"/>
      <c r="F255" s="284"/>
      <c r="G255" s="268"/>
      <c r="H255" s="268"/>
      <c r="I255" s="268"/>
      <c r="J255" s="268"/>
      <c r="K255" s="268"/>
      <c r="L255" s="268"/>
      <c r="M255" s="268"/>
      <c r="N255" s="268"/>
      <c r="P255" s="284"/>
      <c r="Q255" s="268"/>
      <c r="R255" s="268"/>
      <c r="U255" s="284"/>
      <c r="V255" s="268"/>
      <c r="X255" s="268"/>
      <c r="Z255" s="270"/>
    </row>
    <row r="256" spans="1:27" x14ac:dyDescent="0.25">
      <c r="A256" s="264"/>
      <c r="C256" s="268"/>
      <c r="F256" s="284"/>
      <c r="G256" s="268"/>
      <c r="H256" s="268"/>
      <c r="I256" s="268"/>
      <c r="J256" s="268"/>
      <c r="K256" s="268"/>
      <c r="L256" s="268"/>
      <c r="M256" s="268"/>
      <c r="N256" s="268"/>
      <c r="P256" s="284"/>
      <c r="Q256" s="268"/>
      <c r="R256" s="268"/>
      <c r="U256" s="284"/>
      <c r="V256" s="268"/>
      <c r="X256" s="268"/>
      <c r="Z256" s="270"/>
    </row>
    <row r="257" spans="1:26" x14ac:dyDescent="0.25">
      <c r="A257" s="264"/>
      <c r="C257" s="268"/>
      <c r="D257" s="264"/>
      <c r="F257" s="284"/>
      <c r="G257" s="268"/>
      <c r="H257" s="268"/>
      <c r="I257" s="268"/>
      <c r="J257" s="268"/>
      <c r="K257" s="268"/>
      <c r="L257" s="268"/>
      <c r="M257" s="268"/>
      <c r="N257" s="268"/>
      <c r="P257" s="284"/>
      <c r="Q257" s="268" t="s">
        <v>129</v>
      </c>
      <c r="R257" s="268"/>
      <c r="S257" s="264"/>
      <c r="U257" s="284"/>
      <c r="V257" s="268"/>
      <c r="X257" s="268"/>
      <c r="Z257" s="270"/>
    </row>
    <row r="258" spans="1:26" x14ac:dyDescent="0.25">
      <c r="A258" s="264"/>
      <c r="F258" s="298"/>
      <c r="P258" s="298"/>
      <c r="U258" s="298"/>
      <c r="X258" s="268"/>
      <c r="Z258" s="270"/>
    </row>
    <row r="259" spans="1:26" x14ac:dyDescent="0.25">
      <c r="A259" s="319" t="str">
        <f>A$1</f>
        <v>Kentucky-American Water Company</v>
      </c>
      <c r="B259" s="319"/>
      <c r="C259" s="319"/>
      <c r="D259" s="319"/>
      <c r="E259" s="319"/>
      <c r="F259" s="319"/>
      <c r="G259" s="31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  <c r="T259" s="319"/>
      <c r="U259" s="319"/>
      <c r="V259" s="319"/>
      <c r="W259" s="319"/>
      <c r="X259" s="319"/>
      <c r="Y259" s="319"/>
      <c r="Z259" s="319"/>
    </row>
    <row r="260" spans="1:26" x14ac:dyDescent="0.25">
      <c r="A260" s="319" t="str">
        <f>+$A$2</f>
        <v>Forecast Year Operating Revenues at Present Rates &amp; Proposed Rates</v>
      </c>
      <c r="B260" s="319"/>
      <c r="C260" s="319"/>
      <c r="D260" s="319"/>
      <c r="E260" s="319"/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19"/>
      <c r="U260" s="319"/>
      <c r="V260" s="319"/>
      <c r="W260" s="319"/>
      <c r="X260" s="319"/>
      <c r="Y260" s="319"/>
      <c r="Z260" s="319"/>
    </row>
    <row r="261" spans="1:26" x14ac:dyDescent="0.25">
      <c r="A261" s="319" t="str">
        <f>+$A$3</f>
        <v>Base Year (12 Months Ending September 30, 2023)</v>
      </c>
      <c r="B261" s="319"/>
      <c r="C261" s="319"/>
      <c r="D261" s="319"/>
      <c r="E261" s="319"/>
      <c r="F261" s="319"/>
      <c r="G261" s="319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  <c r="T261" s="319"/>
      <c r="U261" s="319"/>
      <c r="V261" s="319"/>
      <c r="W261" s="319"/>
      <c r="X261" s="319"/>
      <c r="Y261" s="319"/>
      <c r="Z261" s="319"/>
    </row>
    <row r="262" spans="1:26" x14ac:dyDescent="0.25">
      <c r="A262" s="319" t="str">
        <f>+$A$4</f>
        <v>Forecast Year (12 Months Ending January 31, 2025)</v>
      </c>
      <c r="B262" s="319"/>
      <c r="C262" s="319"/>
      <c r="D262" s="319"/>
      <c r="E262" s="319"/>
      <c r="F262" s="319"/>
      <c r="G262" s="319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  <c r="T262" s="319"/>
      <c r="U262" s="319"/>
      <c r="V262" s="319"/>
      <c r="W262" s="319"/>
      <c r="X262" s="319"/>
      <c r="Y262" s="319"/>
      <c r="Z262" s="319"/>
    </row>
    <row r="263" spans="1:26" x14ac:dyDescent="0.25">
      <c r="A263" s="254"/>
      <c r="I263" s="319" t="s">
        <v>381</v>
      </c>
      <c r="J263" s="319"/>
      <c r="K263" s="319"/>
      <c r="L263" s="319"/>
      <c r="M263" s="319"/>
      <c r="N263" s="319"/>
      <c r="O263" s="319"/>
      <c r="P263" s="319"/>
      <c r="Q263" s="319"/>
    </row>
    <row r="264" spans="1:26" x14ac:dyDescent="0.25">
      <c r="A264" s="254"/>
      <c r="I264" s="252"/>
      <c r="J264" s="252"/>
      <c r="K264" s="252"/>
      <c r="L264" s="252"/>
      <c r="M264" s="252"/>
      <c r="N264" s="252"/>
      <c r="O264" s="252"/>
      <c r="P264" s="252"/>
      <c r="Q264" s="252"/>
      <c r="Z264" s="255" t="s">
        <v>345</v>
      </c>
    </row>
    <row r="265" spans="1:26" x14ac:dyDescent="0.25">
      <c r="A265" s="254"/>
      <c r="I265" s="252"/>
      <c r="J265" s="252"/>
      <c r="K265" s="252"/>
      <c r="L265" s="252"/>
      <c r="M265" s="252"/>
      <c r="N265" s="252"/>
      <c r="O265" s="252"/>
      <c r="P265" s="252"/>
      <c r="Q265" s="252"/>
      <c r="Z265" s="255" t="str">
        <f>+Z$7</f>
        <v>Witness Responsible:  Chuck Rea</v>
      </c>
    </row>
    <row r="266" spans="1:26" x14ac:dyDescent="0.25">
      <c r="A266" s="254"/>
      <c r="Z266" s="255" t="str">
        <f>$Z$8</f>
        <v>Revenues\[KAWC 2023 Rate Case - Exhibit 37 (M,N) Revenue Present &amp; Proposed.xlsx]Sch M2-M3</v>
      </c>
    </row>
    <row r="267" spans="1:26" x14ac:dyDescent="0.25">
      <c r="A267" s="257"/>
      <c r="B267" s="258"/>
      <c r="C267" s="259"/>
      <c r="D267" s="260"/>
      <c r="E267" s="258"/>
      <c r="F267" s="261"/>
      <c r="G267" s="259"/>
      <c r="H267" s="259"/>
      <c r="I267" s="259"/>
      <c r="J267" s="259"/>
      <c r="K267" s="259"/>
      <c r="L267" s="259"/>
      <c r="M267" s="259"/>
      <c r="N267" s="259"/>
      <c r="O267" s="258"/>
      <c r="P267" s="261"/>
      <c r="Q267" s="259"/>
      <c r="R267" s="259"/>
      <c r="S267" s="259"/>
      <c r="T267" s="260"/>
      <c r="U267" s="261"/>
      <c r="V267" s="260"/>
      <c r="W267" s="260"/>
      <c r="X267" s="262"/>
      <c r="Y267" s="260"/>
      <c r="Z267" s="263"/>
    </row>
    <row r="268" spans="1:26" x14ac:dyDescent="0.25">
      <c r="C268" s="264"/>
      <c r="D268" s="320" t="s">
        <v>326</v>
      </c>
      <c r="E268" s="320" t="s">
        <v>346</v>
      </c>
      <c r="F268" s="320"/>
      <c r="G268" s="320"/>
      <c r="H268" s="264"/>
      <c r="I268" s="320" t="s">
        <v>327</v>
      </c>
      <c r="J268" s="320" t="s">
        <v>346</v>
      </c>
      <c r="K268" s="320"/>
      <c r="L268" s="320"/>
      <c r="M268" s="264"/>
      <c r="N268" s="320" t="s">
        <v>328</v>
      </c>
      <c r="O268" s="320" t="s">
        <v>347</v>
      </c>
      <c r="P268" s="320"/>
      <c r="Q268" s="320"/>
      <c r="R268" s="264"/>
      <c r="S268" s="320" t="s">
        <v>329</v>
      </c>
      <c r="T268" s="320" t="s">
        <v>348</v>
      </c>
      <c r="U268" s="320"/>
      <c r="V268" s="320"/>
      <c r="W268" s="265"/>
      <c r="X268" s="265"/>
    </row>
    <row r="269" spans="1:26" x14ac:dyDescent="0.25">
      <c r="C269" s="264"/>
      <c r="D269" s="264" t="s">
        <v>349</v>
      </c>
      <c r="E269" s="264"/>
      <c r="F269" s="264"/>
      <c r="G269" s="264"/>
      <c r="H269" s="264"/>
      <c r="I269" s="264" t="s">
        <v>349</v>
      </c>
      <c r="J269" s="264"/>
      <c r="K269" s="264"/>
      <c r="L269" s="264"/>
      <c r="M269" s="264"/>
      <c r="N269" s="264" t="s">
        <v>349</v>
      </c>
      <c r="O269" s="264"/>
      <c r="P269" s="264"/>
      <c r="Q269" s="264"/>
      <c r="R269" s="264"/>
      <c r="S269" s="264" t="s">
        <v>349</v>
      </c>
      <c r="T269" s="264"/>
      <c r="U269" s="264"/>
      <c r="V269" s="264"/>
      <c r="W269" s="264"/>
      <c r="X269" s="264"/>
    </row>
    <row r="270" spans="1:26" x14ac:dyDescent="0.25">
      <c r="B270" s="264" t="s">
        <v>330</v>
      </c>
      <c r="C270" s="264"/>
      <c r="D270" s="264" t="s">
        <v>350</v>
      </c>
      <c r="E270" s="264" t="s">
        <v>331</v>
      </c>
      <c r="F270" s="264" t="s">
        <v>351</v>
      </c>
      <c r="G270" s="264" t="s">
        <v>19</v>
      </c>
      <c r="H270" s="264"/>
      <c r="I270" s="264" t="s">
        <v>350</v>
      </c>
      <c r="J270" s="264" t="s">
        <v>331</v>
      </c>
      <c r="K270" s="264" t="s">
        <v>352</v>
      </c>
      <c r="L270" s="264" t="s">
        <v>19</v>
      </c>
      <c r="M270" s="264"/>
      <c r="N270" s="264" t="s">
        <v>350</v>
      </c>
      <c r="O270" s="264" t="s">
        <v>331</v>
      </c>
      <c r="P270" s="264" t="s">
        <v>351</v>
      </c>
      <c r="Q270" s="264" t="s">
        <v>19</v>
      </c>
      <c r="R270" s="264"/>
      <c r="S270" s="264" t="s">
        <v>350</v>
      </c>
      <c r="T270" s="264" t="s">
        <v>331</v>
      </c>
      <c r="U270" s="264" t="s">
        <v>353</v>
      </c>
      <c r="V270" s="264" t="s">
        <v>19</v>
      </c>
      <c r="W270" s="264"/>
      <c r="X270" s="264" t="s">
        <v>332</v>
      </c>
      <c r="Z270" s="264" t="s">
        <v>333</v>
      </c>
    </row>
    <row r="271" spans="1:26" x14ac:dyDescent="0.25">
      <c r="A271" s="257" t="s">
        <v>57</v>
      </c>
      <c r="B271" s="257" t="s">
        <v>21</v>
      </c>
      <c r="C271" s="264"/>
      <c r="D271" s="257" t="s">
        <v>354</v>
      </c>
      <c r="E271" s="257" t="str">
        <f>E229</f>
        <v>(000 Gal)</v>
      </c>
      <c r="F271" s="257" t="s">
        <v>97</v>
      </c>
      <c r="G271" s="257" t="s">
        <v>91</v>
      </c>
      <c r="H271" s="264"/>
      <c r="I271" s="257" t="s">
        <v>354</v>
      </c>
      <c r="J271" s="257" t="str">
        <f>J229</f>
        <v>(000 Gal)</v>
      </c>
      <c r="K271" s="257" t="s">
        <v>97</v>
      </c>
      <c r="L271" s="257" t="s">
        <v>91</v>
      </c>
      <c r="M271" s="264"/>
      <c r="N271" s="257" t="s">
        <v>354</v>
      </c>
      <c r="O271" s="257" t="str">
        <f>E271</f>
        <v>(000 Gal)</v>
      </c>
      <c r="P271" s="257" t="s">
        <v>97</v>
      </c>
      <c r="Q271" s="257" t="s">
        <v>91</v>
      </c>
      <c r="R271" s="264"/>
      <c r="S271" s="257" t="s">
        <v>354</v>
      </c>
      <c r="T271" s="257" t="str">
        <f>O271</f>
        <v>(000 Gal)</v>
      </c>
      <c r="U271" s="257" t="s">
        <v>97</v>
      </c>
      <c r="V271" s="257" t="s">
        <v>91</v>
      </c>
      <c r="W271" s="264"/>
      <c r="X271" s="257" t="s">
        <v>335</v>
      </c>
      <c r="Z271" s="257" t="s">
        <v>335</v>
      </c>
    </row>
    <row r="272" spans="1:26" x14ac:dyDescent="0.25">
      <c r="A272" s="264">
        <v>1</v>
      </c>
      <c r="B272" s="254" t="str">
        <f>+I263</f>
        <v>MISCELLANEOUS CLASS (BULK SALES THROUGH LOADING STATIONS)</v>
      </c>
      <c r="C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  <c r="Z272" s="264"/>
    </row>
    <row r="273" spans="1:26" x14ac:dyDescent="0.25">
      <c r="A273" s="264">
        <v>2</v>
      </c>
      <c r="B273" s="266" t="s">
        <v>355</v>
      </c>
    </row>
    <row r="274" spans="1:26" x14ac:dyDescent="0.25">
      <c r="A274" s="264">
        <v>3</v>
      </c>
      <c r="B274" s="253" t="s">
        <v>356</v>
      </c>
      <c r="C274" s="267"/>
      <c r="D274" s="268">
        <v>182.78</v>
      </c>
      <c r="E274" s="269"/>
      <c r="F274" s="292">
        <v>15</v>
      </c>
      <c r="G274" s="267">
        <f>ROUND(D274*F274,2)</f>
        <v>2741.7</v>
      </c>
      <c r="H274" s="267"/>
      <c r="I274" s="268">
        <f>D274</f>
        <v>182.78</v>
      </c>
      <c r="J274" s="269"/>
      <c r="K274" s="292">
        <f>U274</f>
        <v>20</v>
      </c>
      <c r="L274" s="267">
        <f>ROUND(I274*K274,2)</f>
        <v>3655.6</v>
      </c>
      <c r="M274" s="267"/>
      <c r="N274" s="268">
        <v>180</v>
      </c>
      <c r="O274" s="269"/>
      <c r="P274" s="292">
        <f t="shared" ref="P274:P281" si="92">+F274</f>
        <v>15</v>
      </c>
      <c r="Q274" s="267">
        <f>ROUND(N274*P274,2)</f>
        <v>2700</v>
      </c>
      <c r="R274" s="267"/>
      <c r="S274" s="268">
        <f>N274</f>
        <v>180</v>
      </c>
      <c r="T274" s="269"/>
      <c r="U274" s="292">
        <v>20</v>
      </c>
      <c r="V274" s="267">
        <f>ROUND(S274*U274,2)</f>
        <v>3600</v>
      </c>
      <c r="W274" s="267"/>
      <c r="X274" s="267">
        <f>+V274-Q274</f>
        <v>900</v>
      </c>
      <c r="Y274" s="269"/>
      <c r="Z274" s="270">
        <f t="shared" ref="Z274:Z283" si="93">IF(Q274=0,0,ROUND((X274/Q274),4))</f>
        <v>0.33329999999999999</v>
      </c>
    </row>
    <row r="275" spans="1:26" x14ac:dyDescent="0.25">
      <c r="A275" s="264">
        <v>4</v>
      </c>
      <c r="B275" s="253" t="s">
        <v>357</v>
      </c>
      <c r="C275" s="268"/>
      <c r="D275" s="268">
        <v>0</v>
      </c>
      <c r="E275" s="269"/>
      <c r="F275" s="271">
        <v>22.4</v>
      </c>
      <c r="G275" s="268">
        <f t="shared" ref="G275:G282" si="94">ROUND(D275*F275,2)</f>
        <v>0</v>
      </c>
      <c r="H275" s="268"/>
      <c r="I275" s="268">
        <f t="shared" ref="I275:I282" si="95">D275</f>
        <v>0</v>
      </c>
      <c r="J275" s="269"/>
      <c r="K275" s="271">
        <f t="shared" ref="K275:K282" si="96">U275</f>
        <v>29.8</v>
      </c>
      <c r="L275" s="268">
        <f t="shared" ref="L275:L282" si="97">ROUND(I275*K275,2)</f>
        <v>0</v>
      </c>
      <c r="M275" s="268"/>
      <c r="N275" s="268">
        <v>0</v>
      </c>
      <c r="O275" s="269"/>
      <c r="P275" s="271">
        <f t="shared" si="92"/>
        <v>22.4</v>
      </c>
      <c r="Q275" s="268">
        <f t="shared" ref="Q275:Q282" si="98">ROUND(N275*P275,2)</f>
        <v>0</v>
      </c>
      <c r="R275" s="268"/>
      <c r="S275" s="268">
        <f t="shared" ref="S275:S282" si="99">N275</f>
        <v>0</v>
      </c>
      <c r="T275" s="269"/>
      <c r="U275" s="271">
        <v>29.8</v>
      </c>
      <c r="V275" s="268">
        <f t="shared" ref="V275:V282" si="100">ROUND(S275*U275,2)</f>
        <v>0</v>
      </c>
      <c r="W275" s="268"/>
      <c r="X275" s="268">
        <f t="shared" ref="X275:X283" si="101">+V275-Q275</f>
        <v>0</v>
      </c>
      <c r="Y275" s="269"/>
      <c r="Z275" s="270">
        <f t="shared" si="93"/>
        <v>0</v>
      </c>
    </row>
    <row r="276" spans="1:26" x14ac:dyDescent="0.25">
      <c r="A276" s="264">
        <v>5</v>
      </c>
      <c r="B276" s="253" t="s">
        <v>358</v>
      </c>
      <c r="C276" s="268"/>
      <c r="D276" s="268">
        <v>262.52</v>
      </c>
      <c r="E276" s="269"/>
      <c r="F276" s="271">
        <v>37.299999999999997</v>
      </c>
      <c r="G276" s="268">
        <f t="shared" si="94"/>
        <v>9792</v>
      </c>
      <c r="H276" s="268"/>
      <c r="I276" s="268">
        <f t="shared" si="95"/>
        <v>262.52</v>
      </c>
      <c r="J276" s="269"/>
      <c r="K276" s="271">
        <f t="shared" si="96"/>
        <v>49.6</v>
      </c>
      <c r="L276" s="268">
        <f t="shared" si="97"/>
        <v>13020.99</v>
      </c>
      <c r="M276" s="268"/>
      <c r="N276" s="268">
        <v>276</v>
      </c>
      <c r="O276" s="269"/>
      <c r="P276" s="271">
        <f t="shared" si="92"/>
        <v>37.299999999999997</v>
      </c>
      <c r="Q276" s="268">
        <f t="shared" si="98"/>
        <v>10294.799999999999</v>
      </c>
      <c r="R276" s="268"/>
      <c r="S276" s="268">
        <f t="shared" si="99"/>
        <v>276</v>
      </c>
      <c r="T276" s="269"/>
      <c r="U276" s="271">
        <v>49.6</v>
      </c>
      <c r="V276" s="268">
        <f t="shared" si="100"/>
        <v>13689.6</v>
      </c>
      <c r="W276" s="268"/>
      <c r="X276" s="268">
        <f t="shared" si="101"/>
        <v>3394.8000000000011</v>
      </c>
      <c r="Y276" s="269"/>
      <c r="Z276" s="270">
        <f t="shared" si="93"/>
        <v>0.32979999999999998</v>
      </c>
    </row>
    <row r="277" spans="1:26" x14ac:dyDescent="0.25">
      <c r="A277" s="264">
        <v>6</v>
      </c>
      <c r="B277" s="253" t="s">
        <v>359</v>
      </c>
      <c r="C277" s="268"/>
      <c r="D277" s="268">
        <v>0</v>
      </c>
      <c r="E277" s="269"/>
      <c r="F277" s="271">
        <v>74.7</v>
      </c>
      <c r="G277" s="268">
        <f t="shared" si="94"/>
        <v>0</v>
      </c>
      <c r="H277" s="268"/>
      <c r="I277" s="268">
        <f t="shared" si="95"/>
        <v>0</v>
      </c>
      <c r="J277" s="269"/>
      <c r="K277" s="271">
        <f t="shared" si="96"/>
        <v>99.4</v>
      </c>
      <c r="L277" s="268">
        <f t="shared" si="97"/>
        <v>0</v>
      </c>
      <c r="M277" s="268"/>
      <c r="N277" s="268">
        <v>0</v>
      </c>
      <c r="O277" s="269"/>
      <c r="P277" s="271">
        <f t="shared" si="92"/>
        <v>74.7</v>
      </c>
      <c r="Q277" s="268">
        <f t="shared" si="98"/>
        <v>0</v>
      </c>
      <c r="R277" s="268"/>
      <c r="S277" s="268">
        <f t="shared" si="99"/>
        <v>0</v>
      </c>
      <c r="T277" s="269"/>
      <c r="U277" s="271">
        <v>99.4</v>
      </c>
      <c r="V277" s="268">
        <f t="shared" si="100"/>
        <v>0</v>
      </c>
      <c r="W277" s="268"/>
      <c r="X277" s="268">
        <f t="shared" si="101"/>
        <v>0</v>
      </c>
      <c r="Y277" s="269"/>
      <c r="Z277" s="270">
        <f t="shared" si="93"/>
        <v>0</v>
      </c>
    </row>
    <row r="278" spans="1:26" x14ac:dyDescent="0.25">
      <c r="A278" s="264">
        <v>7</v>
      </c>
      <c r="B278" s="253" t="s">
        <v>360</v>
      </c>
      <c r="C278" s="268"/>
      <c r="D278" s="268">
        <v>0</v>
      </c>
      <c r="E278" s="269"/>
      <c r="F278" s="271">
        <v>119.5</v>
      </c>
      <c r="G278" s="268">
        <f t="shared" si="94"/>
        <v>0</v>
      </c>
      <c r="H278" s="268"/>
      <c r="I278" s="268">
        <f t="shared" si="95"/>
        <v>0</v>
      </c>
      <c r="J278" s="269"/>
      <c r="K278" s="271">
        <f t="shared" si="96"/>
        <v>158.9</v>
      </c>
      <c r="L278" s="268">
        <f t="shared" si="97"/>
        <v>0</v>
      </c>
      <c r="M278" s="268"/>
      <c r="N278" s="268">
        <v>0</v>
      </c>
      <c r="O278" s="269"/>
      <c r="P278" s="271">
        <f t="shared" si="92"/>
        <v>119.5</v>
      </c>
      <c r="Q278" s="268">
        <f t="shared" si="98"/>
        <v>0</v>
      </c>
      <c r="R278" s="268"/>
      <c r="S278" s="268">
        <f t="shared" si="99"/>
        <v>0</v>
      </c>
      <c r="T278" s="269"/>
      <c r="U278" s="271">
        <v>158.9</v>
      </c>
      <c r="V278" s="268">
        <f t="shared" si="100"/>
        <v>0</v>
      </c>
      <c r="W278" s="268"/>
      <c r="X278" s="268">
        <f t="shared" si="101"/>
        <v>0</v>
      </c>
      <c r="Y278" s="269"/>
      <c r="Z278" s="270">
        <f t="shared" si="93"/>
        <v>0</v>
      </c>
    </row>
    <row r="279" spans="1:26" x14ac:dyDescent="0.25">
      <c r="A279" s="264">
        <v>8</v>
      </c>
      <c r="B279" s="253" t="s">
        <v>361</v>
      </c>
      <c r="C279" s="268"/>
      <c r="D279" s="268">
        <v>250.5</v>
      </c>
      <c r="E279" s="269"/>
      <c r="F279" s="271">
        <v>224</v>
      </c>
      <c r="G279" s="268">
        <f t="shared" si="94"/>
        <v>56112</v>
      </c>
      <c r="H279" s="268"/>
      <c r="I279" s="268">
        <f t="shared" si="95"/>
        <v>250.5</v>
      </c>
      <c r="J279" s="269"/>
      <c r="K279" s="271">
        <f t="shared" si="96"/>
        <v>297.89999999999998</v>
      </c>
      <c r="L279" s="268">
        <f t="shared" si="97"/>
        <v>74623.95</v>
      </c>
      <c r="M279" s="268"/>
      <c r="N279" s="268">
        <v>240</v>
      </c>
      <c r="O279" s="269"/>
      <c r="P279" s="271">
        <f t="shared" si="92"/>
        <v>224</v>
      </c>
      <c r="Q279" s="268">
        <f t="shared" si="98"/>
        <v>53760</v>
      </c>
      <c r="R279" s="268"/>
      <c r="S279" s="268">
        <f t="shared" si="99"/>
        <v>240</v>
      </c>
      <c r="T279" s="269"/>
      <c r="U279" s="271">
        <v>297.89999999999998</v>
      </c>
      <c r="V279" s="268">
        <f t="shared" si="100"/>
        <v>71496</v>
      </c>
      <c r="W279" s="268"/>
      <c r="X279" s="268">
        <f t="shared" si="101"/>
        <v>17736</v>
      </c>
      <c r="Y279" s="269"/>
      <c r="Z279" s="270">
        <f t="shared" si="93"/>
        <v>0.32990000000000003</v>
      </c>
    </row>
    <row r="280" spans="1:26" x14ac:dyDescent="0.25">
      <c r="A280" s="264">
        <v>9</v>
      </c>
      <c r="B280" s="253" t="s">
        <v>362</v>
      </c>
      <c r="C280" s="268"/>
      <c r="D280" s="268">
        <v>0</v>
      </c>
      <c r="E280" s="269"/>
      <c r="F280" s="271">
        <v>373.4</v>
      </c>
      <c r="G280" s="268">
        <f t="shared" si="94"/>
        <v>0</v>
      </c>
      <c r="H280" s="268"/>
      <c r="I280" s="268">
        <f t="shared" si="95"/>
        <v>0</v>
      </c>
      <c r="J280" s="269"/>
      <c r="K280" s="271">
        <f t="shared" si="96"/>
        <v>496.6</v>
      </c>
      <c r="L280" s="268">
        <f t="shared" si="97"/>
        <v>0</v>
      </c>
      <c r="M280" s="268"/>
      <c r="N280" s="268">
        <v>0</v>
      </c>
      <c r="O280" s="269"/>
      <c r="P280" s="271">
        <f t="shared" si="92"/>
        <v>373.4</v>
      </c>
      <c r="Q280" s="268">
        <f t="shared" si="98"/>
        <v>0</v>
      </c>
      <c r="R280" s="268"/>
      <c r="S280" s="268">
        <f t="shared" si="99"/>
        <v>0</v>
      </c>
      <c r="T280" s="269"/>
      <c r="U280" s="271">
        <v>496.6</v>
      </c>
      <c r="V280" s="268">
        <f t="shared" si="100"/>
        <v>0</v>
      </c>
      <c r="W280" s="268"/>
      <c r="X280" s="268">
        <f t="shared" si="101"/>
        <v>0</v>
      </c>
      <c r="Y280" s="269"/>
      <c r="Z280" s="270">
        <f t="shared" si="93"/>
        <v>0</v>
      </c>
    </row>
    <row r="281" spans="1:26" x14ac:dyDescent="0.25">
      <c r="A281" s="264">
        <v>10</v>
      </c>
      <c r="B281" s="253" t="s">
        <v>363</v>
      </c>
      <c r="C281" s="268"/>
      <c r="D281" s="268">
        <v>0</v>
      </c>
      <c r="E281" s="269"/>
      <c r="F281" s="271">
        <v>746.7</v>
      </c>
      <c r="G281" s="268">
        <f t="shared" si="94"/>
        <v>0</v>
      </c>
      <c r="H281" s="268"/>
      <c r="I281" s="268">
        <f t="shared" si="95"/>
        <v>0</v>
      </c>
      <c r="J281" s="269"/>
      <c r="K281" s="271">
        <f t="shared" si="96"/>
        <v>993.1</v>
      </c>
      <c r="L281" s="268">
        <f t="shared" si="97"/>
        <v>0</v>
      </c>
      <c r="M281" s="268"/>
      <c r="N281" s="268">
        <v>0</v>
      </c>
      <c r="O281" s="269"/>
      <c r="P281" s="271">
        <f t="shared" si="92"/>
        <v>746.7</v>
      </c>
      <c r="Q281" s="268">
        <f t="shared" si="98"/>
        <v>0</v>
      </c>
      <c r="R281" s="268"/>
      <c r="S281" s="268">
        <f t="shared" si="99"/>
        <v>0</v>
      </c>
      <c r="T281" s="269"/>
      <c r="U281" s="271">
        <v>993.1</v>
      </c>
      <c r="V281" s="268">
        <f t="shared" si="100"/>
        <v>0</v>
      </c>
      <c r="W281" s="268"/>
      <c r="X281" s="268">
        <f t="shared" si="101"/>
        <v>0</v>
      </c>
      <c r="Y281" s="269"/>
      <c r="Z281" s="270">
        <f t="shared" si="93"/>
        <v>0</v>
      </c>
    </row>
    <row r="282" spans="1:26" x14ac:dyDescent="0.25">
      <c r="A282" s="264">
        <v>11</v>
      </c>
      <c r="B282" s="253" t="s">
        <v>364</v>
      </c>
      <c r="C282" s="268"/>
      <c r="D282" s="268">
        <v>0</v>
      </c>
      <c r="E282" s="269"/>
      <c r="F282" s="271">
        <v>1194.7</v>
      </c>
      <c r="G282" s="268">
        <f t="shared" si="94"/>
        <v>0</v>
      </c>
      <c r="H282" s="268"/>
      <c r="I282" s="268">
        <f t="shared" si="95"/>
        <v>0</v>
      </c>
      <c r="J282" s="269"/>
      <c r="K282" s="271">
        <f t="shared" si="96"/>
        <v>1589</v>
      </c>
      <c r="L282" s="268">
        <f t="shared" si="97"/>
        <v>0</v>
      </c>
      <c r="M282" s="268"/>
      <c r="N282" s="268">
        <v>0</v>
      </c>
      <c r="O282" s="269"/>
      <c r="P282" s="271">
        <f>+F282</f>
        <v>1194.7</v>
      </c>
      <c r="Q282" s="268">
        <f t="shared" si="98"/>
        <v>0</v>
      </c>
      <c r="R282" s="268"/>
      <c r="S282" s="268">
        <f t="shared" si="99"/>
        <v>0</v>
      </c>
      <c r="T282" s="269"/>
      <c r="U282" s="271">
        <v>1589</v>
      </c>
      <c r="V282" s="268">
        <f t="shared" si="100"/>
        <v>0</v>
      </c>
      <c r="W282" s="268"/>
      <c r="X282" s="268">
        <f t="shared" si="101"/>
        <v>0</v>
      </c>
      <c r="Y282" s="269"/>
      <c r="Z282" s="270">
        <f t="shared" si="93"/>
        <v>0</v>
      </c>
    </row>
    <row r="283" spans="1:26" x14ac:dyDescent="0.25">
      <c r="A283" s="264">
        <v>12</v>
      </c>
      <c r="C283" s="268"/>
      <c r="D283" s="268"/>
      <c r="E283" s="269"/>
      <c r="F283" s="271"/>
      <c r="G283" s="268"/>
      <c r="H283" s="268"/>
      <c r="I283" s="268"/>
      <c r="J283" s="269"/>
      <c r="K283" s="271"/>
      <c r="L283" s="268"/>
      <c r="M283" s="268"/>
      <c r="N283" s="268"/>
      <c r="O283" s="269"/>
      <c r="P283" s="271"/>
      <c r="Q283" s="268"/>
      <c r="R283" s="268"/>
      <c r="S283" s="268"/>
      <c r="T283" s="269"/>
      <c r="U283" s="271"/>
      <c r="V283" s="268"/>
      <c r="W283" s="268"/>
      <c r="X283" s="268">
        <f t="shared" si="101"/>
        <v>0</v>
      </c>
      <c r="Y283" s="269"/>
      <c r="Z283" s="270">
        <f t="shared" si="93"/>
        <v>0</v>
      </c>
    </row>
    <row r="284" spans="1:26" x14ac:dyDescent="0.25">
      <c r="A284" s="264">
        <v>13</v>
      </c>
      <c r="C284" s="268"/>
      <c r="D284" s="268"/>
      <c r="E284" s="269"/>
      <c r="F284" s="271"/>
      <c r="G284" s="268"/>
      <c r="H284" s="268"/>
      <c r="I284" s="268"/>
      <c r="J284" s="269"/>
      <c r="K284" s="271"/>
      <c r="L284" s="268"/>
      <c r="M284" s="268"/>
      <c r="N284" s="268"/>
      <c r="O284" s="269"/>
      <c r="P284" s="271"/>
      <c r="Q284" s="268"/>
      <c r="R284" s="268"/>
      <c r="S284" s="268"/>
      <c r="T284" s="269"/>
      <c r="U284" s="271"/>
      <c r="V284" s="268"/>
      <c r="W284" s="268"/>
      <c r="X284" s="267"/>
      <c r="Y284" s="269"/>
      <c r="Z284" s="270"/>
    </row>
    <row r="285" spans="1:26" x14ac:dyDescent="0.25">
      <c r="A285" s="264">
        <v>14</v>
      </c>
      <c r="C285" s="269"/>
      <c r="D285" s="269"/>
      <c r="E285" s="269"/>
      <c r="F285" s="269"/>
      <c r="G285" s="269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8"/>
      <c r="Y285" s="269"/>
      <c r="Z285" s="270"/>
    </row>
    <row r="286" spans="1:26" x14ac:dyDescent="0.25">
      <c r="A286" s="264">
        <v>15</v>
      </c>
      <c r="F286" s="269"/>
      <c r="K286" s="269"/>
    </row>
    <row r="287" spans="1:26" x14ac:dyDescent="0.25">
      <c r="A287" s="264">
        <v>16</v>
      </c>
      <c r="B287" s="266" t="s">
        <v>368</v>
      </c>
      <c r="C287" s="269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8"/>
      <c r="Y287" s="269"/>
      <c r="Z287" s="270"/>
    </row>
    <row r="288" spans="1:26" x14ac:dyDescent="0.25">
      <c r="A288" s="264">
        <v>17</v>
      </c>
      <c r="B288" s="253" t="s">
        <v>322</v>
      </c>
      <c r="C288" s="267"/>
      <c r="D288" s="269"/>
      <c r="E288" s="268">
        <v>15246.863999999998</v>
      </c>
      <c r="F288" s="293">
        <v>3.3479999999999999</v>
      </c>
      <c r="G288" s="267">
        <f>ROUND(E288*F288,2)</f>
        <v>51046.5</v>
      </c>
      <c r="H288" s="267"/>
      <c r="I288" s="269"/>
      <c r="J288" s="268">
        <f>E288</f>
        <v>15246.863999999998</v>
      </c>
      <c r="K288" s="293">
        <f>U288</f>
        <v>4.5613000000000001</v>
      </c>
      <c r="L288" s="267">
        <f>ROUND(J288*K288,2)</f>
        <v>69545.52</v>
      </c>
      <c r="M288" s="267"/>
      <c r="N288" s="269"/>
      <c r="O288" s="268">
        <v>8989.6000000000022</v>
      </c>
      <c r="P288" s="293">
        <f>+F288</f>
        <v>3.3479999999999999</v>
      </c>
      <c r="Q288" s="267">
        <f>ROUND(O288*P288,2)</f>
        <v>30097.18</v>
      </c>
      <c r="R288" s="267"/>
      <c r="S288" s="269"/>
      <c r="T288" s="268">
        <f>O288</f>
        <v>8989.6000000000022</v>
      </c>
      <c r="U288" s="293">
        <v>4.5613000000000001</v>
      </c>
      <c r="V288" s="267">
        <f>ROUND(T288*U288,2)</f>
        <v>41004.26</v>
      </c>
      <c r="W288" s="268"/>
      <c r="X288" s="267">
        <f t="shared" ref="X288" si="102">+V288-Q288</f>
        <v>10907.080000000002</v>
      </c>
      <c r="Y288" s="269"/>
      <c r="Z288" s="270">
        <f t="shared" ref="Z288" si="103">IF(Q288=0,0,ROUND((X288/Q288),4))</f>
        <v>0.3624</v>
      </c>
    </row>
    <row r="289" spans="1:28" x14ac:dyDescent="0.25">
      <c r="A289" s="264">
        <v>18</v>
      </c>
      <c r="C289" s="268"/>
      <c r="E289" s="268"/>
      <c r="F289" s="276"/>
      <c r="G289" s="268"/>
      <c r="H289" s="268"/>
      <c r="J289" s="268"/>
      <c r="K289" s="276"/>
      <c r="L289" s="268"/>
      <c r="M289" s="268"/>
      <c r="O289" s="268"/>
      <c r="P289" s="276"/>
      <c r="Q289" s="268"/>
      <c r="R289" s="268"/>
      <c r="T289" s="268"/>
      <c r="U289" s="276"/>
      <c r="V289" s="268"/>
      <c r="W289" s="268"/>
      <c r="X289" s="268"/>
      <c r="Z289" s="270"/>
      <c r="AB289" s="298"/>
    </row>
    <row r="290" spans="1:28" x14ac:dyDescent="0.25">
      <c r="A290" s="264">
        <v>19</v>
      </c>
      <c r="C290" s="268"/>
      <c r="E290" s="268"/>
      <c r="F290" s="276"/>
      <c r="G290" s="268"/>
      <c r="H290" s="268"/>
      <c r="J290" s="268"/>
      <c r="K290" s="276"/>
      <c r="L290" s="268"/>
      <c r="M290" s="268"/>
      <c r="O290" s="268"/>
      <c r="P290" s="276"/>
      <c r="Q290" s="268"/>
      <c r="R290" s="268"/>
      <c r="T290" s="268"/>
      <c r="U290" s="276"/>
      <c r="V290" s="268"/>
      <c r="W290" s="268"/>
      <c r="X290" s="268"/>
      <c r="Z290" s="270"/>
    </row>
    <row r="291" spans="1:28" x14ac:dyDescent="0.25">
      <c r="A291" s="264">
        <v>20</v>
      </c>
      <c r="C291" s="268"/>
      <c r="E291" s="268"/>
      <c r="F291" s="276"/>
      <c r="G291" s="268"/>
      <c r="H291" s="268"/>
      <c r="J291" s="268"/>
      <c r="K291" s="276"/>
      <c r="L291" s="268"/>
      <c r="M291" s="268"/>
      <c r="O291" s="268"/>
      <c r="P291" s="276"/>
      <c r="Q291" s="268"/>
      <c r="R291" s="268"/>
      <c r="T291" s="268"/>
      <c r="U291" s="276"/>
      <c r="V291" s="268"/>
      <c r="W291" s="268"/>
      <c r="X291" s="268"/>
      <c r="Z291" s="270"/>
    </row>
    <row r="292" spans="1:28" x14ac:dyDescent="0.25">
      <c r="A292" s="264">
        <v>21</v>
      </c>
      <c r="B292" s="253" t="s">
        <v>371</v>
      </c>
      <c r="E292" s="268"/>
      <c r="F292" s="294"/>
      <c r="G292" s="268">
        <v>6509.7200000000012</v>
      </c>
      <c r="H292" s="268"/>
      <c r="J292" s="268"/>
      <c r="K292" s="294">
        <f>+U292</f>
        <v>0</v>
      </c>
      <c r="L292" s="268">
        <f>+ROUND(SUM(L274:L288)*K292,2)</f>
        <v>0</v>
      </c>
      <c r="O292" s="268"/>
      <c r="P292" s="294"/>
      <c r="Q292" s="267">
        <v>9322.4100000000017</v>
      </c>
      <c r="T292" s="268"/>
      <c r="U292" s="294">
        <v>0</v>
      </c>
      <c r="V292" s="267">
        <f>+ROUND(SUM(V274:V288)*U292,2)</f>
        <v>0</v>
      </c>
      <c r="X292" s="267">
        <f t="shared" ref="X292" si="104">+V292-Q292</f>
        <v>-9322.4100000000017</v>
      </c>
      <c r="Y292" s="269"/>
      <c r="Z292" s="270">
        <f t="shared" ref="Z292" si="105">IF(Q292=0,0,ROUND((X292/Q292),4))</f>
        <v>-1</v>
      </c>
    </row>
    <row r="293" spans="1:28" x14ac:dyDescent="0.25">
      <c r="A293" s="264">
        <v>22</v>
      </c>
      <c r="E293" s="268"/>
      <c r="F293" s="276"/>
      <c r="G293" s="268"/>
      <c r="H293" s="268"/>
      <c r="J293" s="268"/>
      <c r="K293" s="276"/>
      <c r="L293" s="268"/>
      <c r="O293" s="268"/>
      <c r="P293" s="276"/>
      <c r="Q293" s="268"/>
      <c r="T293" s="268"/>
      <c r="U293" s="276"/>
      <c r="V293" s="268"/>
      <c r="X293" s="268"/>
      <c r="Z293" s="270"/>
    </row>
    <row r="294" spans="1:28" x14ac:dyDescent="0.25">
      <c r="A294" s="264">
        <v>23</v>
      </c>
      <c r="C294" s="279"/>
      <c r="F294" s="276"/>
      <c r="G294" s="279"/>
      <c r="H294" s="279"/>
      <c r="J294" s="268"/>
      <c r="K294" s="293"/>
      <c r="L294" s="279"/>
      <c r="M294" s="279"/>
      <c r="P294" s="264"/>
      <c r="Q294" s="279"/>
      <c r="R294" s="279"/>
      <c r="U294" s="264"/>
      <c r="V294" s="279"/>
      <c r="W294" s="279"/>
      <c r="X294" s="279"/>
      <c r="Z294" s="270"/>
    </row>
    <row r="295" spans="1:28" x14ac:dyDescent="0.25">
      <c r="A295" s="264">
        <v>24</v>
      </c>
      <c r="C295" s="280"/>
      <c r="F295" s="280"/>
      <c r="G295" s="280"/>
      <c r="H295" s="280"/>
      <c r="K295" s="280"/>
      <c r="L295" s="280"/>
      <c r="M295" s="280"/>
      <c r="P295" s="280"/>
      <c r="Q295" s="280"/>
      <c r="R295" s="280"/>
      <c r="U295" s="280"/>
      <c r="V295" s="280"/>
      <c r="W295" s="280"/>
      <c r="X295" s="268"/>
      <c r="Z295" s="270"/>
      <c r="AA295" s="270"/>
    </row>
    <row r="296" spans="1:28" ht="15.75" thickBot="1" x14ac:dyDescent="0.3">
      <c r="A296" s="264">
        <v>25</v>
      </c>
      <c r="B296" s="253" t="s">
        <v>19</v>
      </c>
      <c r="C296" s="282"/>
      <c r="D296" s="295"/>
      <c r="E296" s="296">
        <f>SUM(E288:E295)</f>
        <v>15246.863999999998</v>
      </c>
      <c r="F296" s="282"/>
      <c r="G296" s="297">
        <f>SUM(G274:G295)</f>
        <v>126201.92</v>
      </c>
      <c r="H296" s="282"/>
      <c r="I296" s="295"/>
      <c r="J296" s="296">
        <f>SUM(J288:J295)</f>
        <v>15246.863999999998</v>
      </c>
      <c r="K296" s="282"/>
      <c r="L296" s="297">
        <f>SUM(L274:L295)</f>
        <v>160846.06</v>
      </c>
      <c r="M296" s="282"/>
      <c r="N296" s="295"/>
      <c r="O296" s="296">
        <f>SUM(O288:O295)</f>
        <v>8989.6000000000022</v>
      </c>
      <c r="P296" s="282"/>
      <c r="Q296" s="297">
        <f>SUM(Q274:Q295)</f>
        <v>106174.39000000001</v>
      </c>
      <c r="R296" s="282"/>
      <c r="S296" s="295"/>
      <c r="T296" s="296">
        <f>SUM(T288:T295)</f>
        <v>8989.6000000000022</v>
      </c>
      <c r="U296" s="282"/>
      <c r="V296" s="297">
        <f>SUM(V274:V295)</f>
        <v>129789.86000000002</v>
      </c>
      <c r="W296" s="282"/>
      <c r="X296" s="297">
        <f>SUM(X274:X295)</f>
        <v>23615.47</v>
      </c>
      <c r="Z296" s="290">
        <f t="shared" ref="Z296" si="106">IF(Q296=0,0,ROUND((X296/Q296),4))</f>
        <v>0.22239999999999999</v>
      </c>
    </row>
    <row r="297" spans="1:28" ht="15.75" thickTop="1" x14ac:dyDescent="0.25">
      <c r="A297" s="264"/>
      <c r="C297" s="268"/>
      <c r="F297" s="284"/>
      <c r="G297" s="268"/>
      <c r="H297" s="268"/>
      <c r="I297" s="268"/>
      <c r="J297" s="268"/>
      <c r="K297" s="268"/>
      <c r="L297" s="268"/>
      <c r="M297" s="268"/>
      <c r="N297" s="268"/>
      <c r="P297" s="284"/>
      <c r="Q297" s="268"/>
      <c r="R297" s="268"/>
      <c r="U297" s="284"/>
      <c r="V297" s="268"/>
      <c r="X297" s="268"/>
      <c r="Z297" s="270"/>
    </row>
    <row r="298" spans="1:28" x14ac:dyDescent="0.25">
      <c r="A298" s="264"/>
      <c r="C298" s="268"/>
      <c r="F298" s="284"/>
      <c r="G298" s="268"/>
      <c r="H298" s="268"/>
      <c r="I298" s="268"/>
      <c r="J298" s="268"/>
      <c r="K298" s="268"/>
      <c r="L298" s="268"/>
      <c r="M298" s="268"/>
      <c r="N298" s="268"/>
      <c r="P298" s="284"/>
      <c r="Q298" s="268"/>
      <c r="R298" s="268"/>
      <c r="U298" s="284"/>
      <c r="V298" s="268"/>
      <c r="X298" s="268"/>
      <c r="Z298" s="270"/>
    </row>
    <row r="299" spans="1:28" x14ac:dyDescent="0.25">
      <c r="A299" s="264"/>
      <c r="C299" s="268"/>
      <c r="D299" s="264"/>
      <c r="F299" s="284"/>
      <c r="G299" s="268"/>
      <c r="H299" s="268"/>
      <c r="I299" s="268"/>
      <c r="J299" s="268"/>
      <c r="K299" s="268"/>
      <c r="L299" s="268"/>
      <c r="M299" s="268"/>
      <c r="N299" s="268"/>
      <c r="P299" s="284"/>
      <c r="Q299" s="268" t="s">
        <v>129</v>
      </c>
      <c r="R299" s="268"/>
      <c r="S299" s="264"/>
      <c r="U299" s="284"/>
      <c r="V299" s="268"/>
      <c r="X299" s="268"/>
      <c r="Z299" s="270"/>
    </row>
    <row r="300" spans="1:28" x14ac:dyDescent="0.25">
      <c r="A300" s="264"/>
      <c r="F300" s="298"/>
      <c r="P300" s="298"/>
      <c r="U300" s="298"/>
      <c r="X300" s="268"/>
      <c r="Z300" s="270"/>
    </row>
    <row r="301" spans="1:28" x14ac:dyDescent="0.25">
      <c r="A301" s="264"/>
      <c r="F301" s="298"/>
      <c r="P301" s="298"/>
      <c r="U301" s="298"/>
      <c r="X301" s="268"/>
      <c r="Z301" s="270"/>
    </row>
    <row r="302" spans="1:28" x14ac:dyDescent="0.25">
      <c r="A302" s="319" t="str">
        <f>A$1</f>
        <v>Kentucky-American Water Company</v>
      </c>
      <c r="B302" s="319"/>
      <c r="C302" s="319"/>
      <c r="D302" s="319"/>
      <c r="E302" s="319"/>
      <c r="F302" s="319"/>
      <c r="G302" s="319"/>
      <c r="H302" s="319"/>
      <c r="I302" s="319"/>
      <c r="J302" s="319"/>
      <c r="K302" s="319"/>
      <c r="L302" s="319"/>
      <c r="M302" s="319"/>
      <c r="N302" s="319"/>
      <c r="O302" s="319"/>
      <c r="P302" s="319"/>
      <c r="Q302" s="319"/>
      <c r="R302" s="319"/>
      <c r="S302" s="319"/>
      <c r="T302" s="319"/>
      <c r="U302" s="319"/>
      <c r="V302" s="319"/>
      <c r="W302" s="319"/>
      <c r="X302" s="319"/>
      <c r="Y302" s="319"/>
      <c r="Z302" s="319"/>
    </row>
    <row r="303" spans="1:28" x14ac:dyDescent="0.25">
      <c r="A303" s="319" t="str">
        <f>+$A$2</f>
        <v>Forecast Year Operating Revenues at Present Rates &amp; Proposed Rates</v>
      </c>
      <c r="B303" s="319"/>
      <c r="C303" s="319"/>
      <c r="D303" s="319"/>
      <c r="E303" s="319"/>
      <c r="F303" s="319"/>
      <c r="G303" s="319"/>
      <c r="H303" s="319"/>
      <c r="I303" s="319"/>
      <c r="J303" s="319"/>
      <c r="K303" s="319"/>
      <c r="L303" s="319"/>
      <c r="M303" s="319"/>
      <c r="N303" s="319"/>
      <c r="O303" s="319"/>
      <c r="P303" s="319"/>
      <c r="Q303" s="319"/>
      <c r="R303" s="319"/>
      <c r="S303" s="319"/>
      <c r="T303" s="319"/>
      <c r="U303" s="319"/>
      <c r="V303" s="319"/>
      <c r="W303" s="319"/>
      <c r="X303" s="319"/>
      <c r="Y303" s="319"/>
      <c r="Z303" s="319"/>
    </row>
    <row r="304" spans="1:28" x14ac:dyDescent="0.25">
      <c r="A304" s="319" t="str">
        <f>+$A$3</f>
        <v>Base Year (12 Months Ending September 30, 2023)</v>
      </c>
      <c r="B304" s="319"/>
      <c r="C304" s="319"/>
      <c r="D304" s="319"/>
      <c r="E304" s="319"/>
      <c r="F304" s="319"/>
      <c r="G304" s="319"/>
      <c r="H304" s="319"/>
      <c r="I304" s="319"/>
      <c r="J304" s="319"/>
      <c r="K304" s="319"/>
      <c r="L304" s="319"/>
      <c r="M304" s="319"/>
      <c r="N304" s="319"/>
      <c r="O304" s="319"/>
      <c r="P304" s="319"/>
      <c r="Q304" s="319"/>
      <c r="R304" s="319"/>
      <c r="S304" s="319"/>
      <c r="T304" s="319"/>
      <c r="U304" s="319"/>
      <c r="V304" s="319"/>
      <c r="W304" s="319"/>
      <c r="X304" s="319"/>
      <c r="Y304" s="319"/>
      <c r="Z304" s="319"/>
    </row>
    <row r="305" spans="1:26" x14ac:dyDescent="0.25">
      <c r="A305" s="319" t="str">
        <f>+$A$4</f>
        <v>Forecast Year (12 Months Ending January 31, 2025)</v>
      </c>
      <c r="B305" s="319"/>
      <c r="C305" s="319"/>
      <c r="D305" s="319"/>
      <c r="E305" s="319"/>
      <c r="F305" s="319"/>
      <c r="G305" s="319"/>
      <c r="H305" s="319"/>
      <c r="I305" s="319"/>
      <c r="J305" s="319"/>
      <c r="K305" s="319"/>
      <c r="L305" s="319"/>
      <c r="M305" s="319"/>
      <c r="N305" s="319"/>
      <c r="O305" s="319"/>
      <c r="P305" s="319"/>
      <c r="Q305" s="319"/>
      <c r="R305" s="319"/>
      <c r="S305" s="319"/>
      <c r="T305" s="319"/>
      <c r="U305" s="319"/>
      <c r="V305" s="319"/>
      <c r="W305" s="319"/>
      <c r="X305" s="319"/>
      <c r="Y305" s="319"/>
      <c r="Z305" s="319"/>
    </row>
    <row r="306" spans="1:26" x14ac:dyDescent="0.25">
      <c r="A306" s="254"/>
      <c r="I306" s="319" t="s">
        <v>382</v>
      </c>
      <c r="J306" s="319"/>
      <c r="K306" s="319"/>
      <c r="L306" s="319"/>
      <c r="M306" s="319"/>
      <c r="N306" s="319"/>
      <c r="O306" s="319"/>
      <c r="P306" s="319"/>
      <c r="Q306" s="319"/>
    </row>
    <row r="307" spans="1:26" x14ac:dyDescent="0.25">
      <c r="A307" s="254"/>
      <c r="I307" s="252"/>
      <c r="J307" s="252"/>
      <c r="K307" s="252"/>
      <c r="L307" s="252"/>
      <c r="M307" s="252"/>
      <c r="N307" s="252"/>
      <c r="O307" s="252"/>
      <c r="P307" s="252"/>
      <c r="Q307" s="252"/>
      <c r="Z307" s="255" t="s">
        <v>345</v>
      </c>
    </row>
    <row r="308" spans="1:26" x14ac:dyDescent="0.25">
      <c r="A308" s="254"/>
      <c r="I308" s="252"/>
      <c r="J308" s="252"/>
      <c r="K308" s="252"/>
      <c r="L308" s="252"/>
      <c r="M308" s="252"/>
      <c r="N308" s="252"/>
      <c r="O308" s="252"/>
      <c r="P308" s="252"/>
      <c r="Q308" s="252"/>
      <c r="Z308" s="255" t="str">
        <f>+Z$7</f>
        <v>Witness Responsible:  Chuck Rea</v>
      </c>
    </row>
    <row r="309" spans="1:26" x14ac:dyDescent="0.25">
      <c r="A309" s="254"/>
      <c r="Z309" s="255" t="str">
        <f>$Z$8</f>
        <v>Revenues\[KAWC 2023 Rate Case - Exhibit 37 (M,N) Revenue Present &amp; Proposed.xlsx]Sch M2-M3</v>
      </c>
    </row>
    <row r="310" spans="1:26" x14ac:dyDescent="0.25">
      <c r="A310" s="257"/>
      <c r="B310" s="258"/>
      <c r="C310" s="259"/>
      <c r="D310" s="260"/>
      <c r="E310" s="258"/>
      <c r="F310" s="261"/>
      <c r="G310" s="259"/>
      <c r="H310" s="259"/>
      <c r="I310" s="259"/>
      <c r="J310" s="259"/>
      <c r="K310" s="259"/>
      <c r="L310" s="259"/>
      <c r="M310" s="259"/>
      <c r="N310" s="259"/>
      <c r="O310" s="258"/>
      <c r="P310" s="261"/>
      <c r="Q310" s="259"/>
      <c r="R310" s="259"/>
      <c r="S310" s="259"/>
      <c r="T310" s="260"/>
      <c r="U310" s="261"/>
      <c r="V310" s="260"/>
      <c r="W310" s="260"/>
      <c r="X310" s="262"/>
      <c r="Y310" s="260"/>
      <c r="Z310" s="263"/>
    </row>
    <row r="311" spans="1:26" x14ac:dyDescent="0.25">
      <c r="C311" s="264"/>
      <c r="E311" s="320" t="s">
        <v>326</v>
      </c>
      <c r="F311" s="320"/>
      <c r="G311" s="320"/>
      <c r="H311" s="264"/>
      <c r="I311" s="264"/>
      <c r="J311" s="320" t="s">
        <v>327</v>
      </c>
      <c r="K311" s="320"/>
      <c r="L311" s="320"/>
      <c r="M311" s="264"/>
      <c r="O311" s="320" t="s">
        <v>328</v>
      </c>
      <c r="P311" s="320"/>
      <c r="Q311" s="320"/>
      <c r="R311" s="264"/>
      <c r="T311" s="320" t="s">
        <v>329</v>
      </c>
      <c r="U311" s="320"/>
      <c r="V311" s="320"/>
    </row>
    <row r="312" spans="1:26" x14ac:dyDescent="0.25">
      <c r="C312" s="264"/>
      <c r="E312" s="264" t="s">
        <v>20</v>
      </c>
      <c r="F312" s="264"/>
      <c r="G312" s="264"/>
      <c r="H312" s="264"/>
      <c r="I312" s="264"/>
      <c r="J312" s="264" t="s">
        <v>20</v>
      </c>
      <c r="K312" s="264"/>
      <c r="L312" s="264"/>
      <c r="M312" s="264"/>
      <c r="N312" s="264"/>
      <c r="O312" s="264" t="s">
        <v>20</v>
      </c>
      <c r="P312" s="264"/>
      <c r="Q312" s="264"/>
      <c r="R312" s="264"/>
      <c r="T312" s="264" t="s">
        <v>20</v>
      </c>
      <c r="U312" s="264"/>
      <c r="V312" s="264"/>
      <c r="W312" s="264"/>
      <c r="X312" s="264"/>
    </row>
    <row r="313" spans="1:26" x14ac:dyDescent="0.25">
      <c r="B313" s="264" t="s">
        <v>383</v>
      </c>
      <c r="C313" s="264"/>
      <c r="E313" s="264" t="s">
        <v>384</v>
      </c>
      <c r="F313" s="264" t="s">
        <v>351</v>
      </c>
      <c r="G313" s="264" t="s">
        <v>19</v>
      </c>
      <c r="H313" s="264"/>
      <c r="I313" s="264"/>
      <c r="J313" s="264" t="s">
        <v>384</v>
      </c>
      <c r="K313" s="264" t="s">
        <v>353</v>
      </c>
      <c r="L313" s="264" t="s">
        <v>19</v>
      </c>
      <c r="M313" s="264"/>
      <c r="N313" s="264"/>
      <c r="O313" s="264" t="s">
        <v>384</v>
      </c>
      <c r="P313" s="264" t="s">
        <v>351</v>
      </c>
      <c r="Q313" s="264" t="s">
        <v>19</v>
      </c>
      <c r="R313" s="264"/>
      <c r="T313" s="264" t="s">
        <v>384</v>
      </c>
      <c r="U313" s="264" t="s">
        <v>353</v>
      </c>
      <c r="V313" s="264" t="s">
        <v>19</v>
      </c>
      <c r="W313" s="264"/>
      <c r="X313" s="264" t="s">
        <v>332</v>
      </c>
      <c r="Z313" s="264" t="s">
        <v>333</v>
      </c>
    </row>
    <row r="314" spans="1:26" x14ac:dyDescent="0.25">
      <c r="A314" s="258" t="s">
        <v>57</v>
      </c>
      <c r="B314" s="257" t="s">
        <v>385</v>
      </c>
      <c r="C314" s="264"/>
      <c r="E314" s="257" t="s">
        <v>386</v>
      </c>
      <c r="F314" s="257" t="s">
        <v>97</v>
      </c>
      <c r="G314" s="257" t="s">
        <v>91</v>
      </c>
      <c r="H314" s="264"/>
      <c r="I314" s="264"/>
      <c r="J314" s="257" t="s">
        <v>386</v>
      </c>
      <c r="K314" s="257" t="s">
        <v>97</v>
      </c>
      <c r="L314" s="257" t="s">
        <v>91</v>
      </c>
      <c r="M314" s="264"/>
      <c r="N314" s="264"/>
      <c r="O314" s="257" t="s">
        <v>386</v>
      </c>
      <c r="P314" s="257" t="s">
        <v>97</v>
      </c>
      <c r="Q314" s="257" t="s">
        <v>91</v>
      </c>
      <c r="R314" s="264"/>
      <c r="T314" s="257" t="s">
        <v>386</v>
      </c>
      <c r="U314" s="257" t="s">
        <v>97</v>
      </c>
      <c r="V314" s="257" t="s">
        <v>91</v>
      </c>
      <c r="W314" s="264"/>
      <c r="X314" s="257" t="s">
        <v>335</v>
      </c>
      <c r="Z314" s="257" t="s">
        <v>335</v>
      </c>
    </row>
    <row r="315" spans="1:26" x14ac:dyDescent="0.25">
      <c r="A315" s="264">
        <v>1</v>
      </c>
      <c r="B315" s="254" t="s">
        <v>339</v>
      </c>
      <c r="C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T315" s="264"/>
      <c r="U315" s="264"/>
      <c r="V315" s="264"/>
      <c r="W315" s="264"/>
      <c r="X315" s="264"/>
      <c r="Z315" s="270"/>
    </row>
    <row r="316" spans="1:26" x14ac:dyDescent="0.25">
      <c r="A316" s="264">
        <f t="shared" ref="A316:A349" si="107">+A315+1</f>
        <v>2</v>
      </c>
      <c r="B316" s="253" t="s">
        <v>387</v>
      </c>
      <c r="C316" s="267"/>
      <c r="D316" s="269"/>
      <c r="E316" s="268">
        <v>16619.516666666663</v>
      </c>
      <c r="F316" s="292">
        <v>76.569999999999993</v>
      </c>
      <c r="G316" s="267">
        <f>ROUND(E316*F316,2)</f>
        <v>1272556.3899999999</v>
      </c>
      <c r="H316" s="267"/>
      <c r="I316" s="267"/>
      <c r="J316" s="268">
        <f>E316</f>
        <v>16619.516666666663</v>
      </c>
      <c r="K316" s="292">
        <f>U316</f>
        <v>104.3</v>
      </c>
      <c r="L316" s="267">
        <f>ROUND(J316*K316,2)</f>
        <v>1733415.59</v>
      </c>
      <c r="M316" s="267"/>
      <c r="N316" s="267"/>
      <c r="O316" s="268">
        <v>16898.666666666664</v>
      </c>
      <c r="P316" s="292">
        <f>+F316</f>
        <v>76.569999999999993</v>
      </c>
      <c r="Q316" s="267">
        <f>ROUND(O316*P316,2)</f>
        <v>1293930.9099999999</v>
      </c>
      <c r="R316" s="267"/>
      <c r="T316" s="268">
        <f>O316</f>
        <v>16898.666666666664</v>
      </c>
      <c r="U316" s="292">
        <v>104.3</v>
      </c>
      <c r="V316" s="267">
        <f>ROUND(T316*U316,2)</f>
        <v>1762530.93</v>
      </c>
      <c r="X316" s="267">
        <f>+V316-Q316</f>
        <v>468600.02</v>
      </c>
      <c r="Y316" s="269"/>
      <c r="Z316" s="270">
        <f>IF(Q316=0,0,ROUND((X316/Q316),4))</f>
        <v>0.36220000000000002</v>
      </c>
    </row>
    <row r="317" spans="1:26" x14ac:dyDescent="0.25">
      <c r="A317" s="264">
        <f t="shared" si="107"/>
        <v>3</v>
      </c>
      <c r="B317" s="253" t="s">
        <v>388</v>
      </c>
      <c r="C317" s="268"/>
      <c r="D317" s="269"/>
      <c r="E317" s="268">
        <v>835.84333333333348</v>
      </c>
      <c r="F317" s="271">
        <v>8.76</v>
      </c>
      <c r="G317" s="268">
        <f>ROUND(E317*F317,2)</f>
        <v>7321.99</v>
      </c>
      <c r="H317" s="268"/>
      <c r="I317" s="268"/>
      <c r="J317" s="268">
        <f t="shared" ref="J317:J324" si="108">E317</f>
        <v>835.84333333333348</v>
      </c>
      <c r="K317" s="292">
        <f t="shared" ref="K317:K324" si="109">U317</f>
        <v>11.9</v>
      </c>
      <c r="L317" s="268">
        <f>ROUND(J317*K317,2)</f>
        <v>9946.5400000000009</v>
      </c>
      <c r="M317" s="268"/>
      <c r="N317" s="268"/>
      <c r="O317" s="268">
        <v>803.99999999999977</v>
      </c>
      <c r="P317" s="271">
        <f>+F317</f>
        <v>8.76</v>
      </c>
      <c r="Q317" s="268">
        <f>ROUND(O317*P317,2)</f>
        <v>7043.04</v>
      </c>
      <c r="R317" s="268"/>
      <c r="T317" s="268">
        <f t="shared" ref="T317:T324" si="110">O317</f>
        <v>803.99999999999977</v>
      </c>
      <c r="U317" s="271">
        <v>11.9</v>
      </c>
      <c r="V317" s="268">
        <f>ROUND(T317*U317,2)</f>
        <v>9567.6</v>
      </c>
      <c r="W317" s="267"/>
      <c r="X317" s="268">
        <f t="shared" ref="X317:X324" si="111">+V317-Q317</f>
        <v>2524.5600000000004</v>
      </c>
      <c r="Y317" s="269"/>
      <c r="Z317" s="270">
        <f t="shared" ref="Z317:Z324" si="112">IF(Q317=0,0,ROUND((X317/Q317),4))</f>
        <v>0.3584</v>
      </c>
    </row>
    <row r="318" spans="1:26" x14ac:dyDescent="0.25">
      <c r="A318" s="264">
        <f t="shared" si="107"/>
        <v>4</v>
      </c>
      <c r="B318" s="253" t="s">
        <v>389</v>
      </c>
      <c r="C318" s="268"/>
      <c r="D318" s="269"/>
      <c r="E318" s="268">
        <v>5962.81</v>
      </c>
      <c r="F318" s="271">
        <v>35.28</v>
      </c>
      <c r="G318" s="268">
        <f t="shared" ref="G318:G324" si="113">ROUND(E318*F318,2)</f>
        <v>210367.94</v>
      </c>
      <c r="H318" s="268"/>
      <c r="I318" s="268"/>
      <c r="J318" s="268">
        <f t="shared" si="108"/>
        <v>5962.81</v>
      </c>
      <c r="K318" s="292">
        <f t="shared" si="109"/>
        <v>48</v>
      </c>
      <c r="L318" s="268">
        <f t="shared" ref="L318:L324" si="114">ROUND(J318*K318,2)</f>
        <v>286214.88</v>
      </c>
      <c r="M318" s="268"/>
      <c r="N318" s="268"/>
      <c r="O318" s="268">
        <v>6048.8888888888896</v>
      </c>
      <c r="P318" s="271">
        <f t="shared" ref="P318:P324" si="115">+F318</f>
        <v>35.28</v>
      </c>
      <c r="Q318" s="268">
        <f t="shared" ref="Q318:Q324" si="116">ROUND(O318*P318,2)</f>
        <v>213404.79999999999</v>
      </c>
      <c r="R318" s="268"/>
      <c r="T318" s="268">
        <f t="shared" si="110"/>
        <v>6048.8888888888896</v>
      </c>
      <c r="U318" s="271">
        <v>48</v>
      </c>
      <c r="V318" s="268">
        <f t="shared" ref="V318:V324" si="117">ROUND(T318*U318,2)</f>
        <v>290346.67</v>
      </c>
      <c r="W318" s="268"/>
      <c r="X318" s="268">
        <f t="shared" si="111"/>
        <v>76941.87</v>
      </c>
      <c r="Y318" s="269"/>
      <c r="Z318" s="270">
        <f t="shared" si="112"/>
        <v>0.36049999999999999</v>
      </c>
    </row>
    <row r="319" spans="1:26" x14ac:dyDescent="0.25">
      <c r="A319" s="264">
        <f t="shared" si="107"/>
        <v>5</v>
      </c>
      <c r="B319" s="253" t="s">
        <v>390</v>
      </c>
      <c r="C319" s="268"/>
      <c r="D319" s="269"/>
      <c r="E319" s="268">
        <v>12054.346666666666</v>
      </c>
      <c r="F319" s="271">
        <v>79.37</v>
      </c>
      <c r="G319" s="268">
        <f t="shared" si="113"/>
        <v>956753.49</v>
      </c>
      <c r="H319" s="268"/>
      <c r="I319" s="268"/>
      <c r="J319" s="268">
        <f t="shared" si="108"/>
        <v>12054.346666666666</v>
      </c>
      <c r="K319" s="292">
        <f t="shared" si="109"/>
        <v>107.9</v>
      </c>
      <c r="L319" s="268">
        <f t="shared" si="114"/>
        <v>1300664.01</v>
      </c>
      <c r="M319" s="268"/>
      <c r="N319" s="268"/>
      <c r="O319" s="268">
        <v>12102.777777777783</v>
      </c>
      <c r="P319" s="271">
        <f t="shared" si="115"/>
        <v>79.37</v>
      </c>
      <c r="Q319" s="268">
        <f t="shared" si="116"/>
        <v>960597.47</v>
      </c>
      <c r="R319" s="268"/>
      <c r="T319" s="268">
        <f t="shared" si="110"/>
        <v>12102.777777777783</v>
      </c>
      <c r="U319" s="271">
        <v>107.9</v>
      </c>
      <c r="V319" s="268">
        <f t="shared" si="117"/>
        <v>1305889.72</v>
      </c>
      <c r="W319" s="267"/>
      <c r="X319" s="268">
        <f t="shared" si="111"/>
        <v>345292.25</v>
      </c>
      <c r="Y319" s="269"/>
      <c r="Z319" s="270">
        <f t="shared" si="112"/>
        <v>0.35949999999999999</v>
      </c>
    </row>
    <row r="320" spans="1:26" x14ac:dyDescent="0.25">
      <c r="A320" s="264">
        <f t="shared" si="107"/>
        <v>6</v>
      </c>
      <c r="B320" s="253" t="s">
        <v>391</v>
      </c>
      <c r="C320" s="268"/>
      <c r="D320" s="269"/>
      <c r="E320" s="268">
        <v>4235.8166666666666</v>
      </c>
      <c r="F320" s="271">
        <v>141.09</v>
      </c>
      <c r="G320" s="268">
        <f t="shared" si="113"/>
        <v>597631.37</v>
      </c>
      <c r="H320" s="268"/>
      <c r="I320" s="268"/>
      <c r="J320" s="268">
        <f t="shared" si="108"/>
        <v>4235.8166666666666</v>
      </c>
      <c r="K320" s="292">
        <f t="shared" si="109"/>
        <v>191.9</v>
      </c>
      <c r="L320" s="268">
        <f t="shared" si="114"/>
        <v>812853.22</v>
      </c>
      <c r="M320" s="268"/>
      <c r="N320" s="268"/>
      <c r="O320" s="268">
        <v>4356.8888888888887</v>
      </c>
      <c r="P320" s="271">
        <f t="shared" si="115"/>
        <v>141.09</v>
      </c>
      <c r="Q320" s="268">
        <f t="shared" si="116"/>
        <v>614713.44999999995</v>
      </c>
      <c r="R320" s="268"/>
      <c r="T320" s="268">
        <f t="shared" si="110"/>
        <v>4356.8888888888887</v>
      </c>
      <c r="U320" s="271">
        <v>191.9</v>
      </c>
      <c r="V320" s="268">
        <f t="shared" si="117"/>
        <v>836086.98</v>
      </c>
      <c r="W320" s="268"/>
      <c r="X320" s="268">
        <f t="shared" si="111"/>
        <v>221373.53000000003</v>
      </c>
      <c r="Y320" s="269"/>
      <c r="Z320" s="270">
        <f t="shared" si="112"/>
        <v>0.36009999999999998</v>
      </c>
    </row>
    <row r="321" spans="1:26" x14ac:dyDescent="0.25">
      <c r="A321" s="264">
        <f t="shared" si="107"/>
        <v>7</v>
      </c>
      <c r="B321" s="253" t="s">
        <v>392</v>
      </c>
      <c r="C321" s="268"/>
      <c r="D321" s="269"/>
      <c r="E321" s="268">
        <v>183.07666666666668</v>
      </c>
      <c r="F321" s="271">
        <v>220.51</v>
      </c>
      <c r="G321" s="268">
        <f t="shared" si="113"/>
        <v>40370.239999999998</v>
      </c>
      <c r="H321" s="268"/>
      <c r="I321" s="268"/>
      <c r="J321" s="268">
        <f t="shared" si="108"/>
        <v>183.07666666666668</v>
      </c>
      <c r="K321" s="292">
        <f t="shared" si="109"/>
        <v>299.89999999999998</v>
      </c>
      <c r="L321" s="268">
        <f t="shared" si="114"/>
        <v>54904.69</v>
      </c>
      <c r="M321" s="268"/>
      <c r="N321" s="268"/>
      <c r="O321" s="268">
        <v>189.66666666666669</v>
      </c>
      <c r="P321" s="271">
        <f t="shared" si="115"/>
        <v>220.51</v>
      </c>
      <c r="Q321" s="268">
        <f t="shared" si="116"/>
        <v>41823.4</v>
      </c>
      <c r="R321" s="268"/>
      <c r="T321" s="268">
        <f t="shared" si="110"/>
        <v>189.66666666666669</v>
      </c>
      <c r="U321" s="271">
        <v>299.89999999999998</v>
      </c>
      <c r="V321" s="268">
        <f t="shared" si="117"/>
        <v>56881.03</v>
      </c>
      <c r="W321" s="267"/>
      <c r="X321" s="268">
        <f t="shared" si="111"/>
        <v>15057.629999999997</v>
      </c>
      <c r="Y321" s="269"/>
      <c r="Z321" s="270">
        <f t="shared" si="112"/>
        <v>0.36</v>
      </c>
    </row>
    <row r="322" spans="1:26" x14ac:dyDescent="0.25">
      <c r="A322" s="264">
        <f t="shared" si="107"/>
        <v>8</v>
      </c>
      <c r="B322" s="253" t="s">
        <v>393</v>
      </c>
      <c r="C322" s="268"/>
      <c r="D322" s="269"/>
      <c r="E322" s="268">
        <v>72.58</v>
      </c>
      <c r="F322" s="271">
        <v>330.03</v>
      </c>
      <c r="G322" s="268">
        <f t="shared" si="113"/>
        <v>23953.58</v>
      </c>
      <c r="H322" s="268"/>
      <c r="I322" s="268"/>
      <c r="J322" s="268">
        <f t="shared" si="108"/>
        <v>72.58</v>
      </c>
      <c r="K322" s="292">
        <f t="shared" si="109"/>
        <v>448.8</v>
      </c>
      <c r="L322" s="268">
        <f t="shared" si="114"/>
        <v>32573.9</v>
      </c>
      <c r="M322" s="268"/>
      <c r="N322" s="268"/>
      <c r="O322" s="268">
        <v>72</v>
      </c>
      <c r="P322" s="271">
        <f t="shared" si="115"/>
        <v>330.03</v>
      </c>
      <c r="Q322" s="268">
        <f t="shared" si="116"/>
        <v>23762.16</v>
      </c>
      <c r="R322" s="268"/>
      <c r="T322" s="268">
        <f t="shared" si="110"/>
        <v>72</v>
      </c>
      <c r="U322" s="271">
        <v>448.8</v>
      </c>
      <c r="V322" s="268">
        <f t="shared" si="117"/>
        <v>32313.599999999999</v>
      </c>
      <c r="W322" s="268"/>
      <c r="X322" s="268">
        <f t="shared" si="111"/>
        <v>8551.4399999999987</v>
      </c>
      <c r="Y322" s="269"/>
      <c r="Z322" s="270">
        <f t="shared" si="112"/>
        <v>0.3599</v>
      </c>
    </row>
    <row r="323" spans="1:26" x14ac:dyDescent="0.25">
      <c r="A323" s="264">
        <f t="shared" si="107"/>
        <v>9</v>
      </c>
      <c r="B323" s="253" t="s">
        <v>394</v>
      </c>
      <c r="C323" s="268"/>
      <c r="D323" s="269"/>
      <c r="E323" s="268">
        <v>0</v>
      </c>
      <c r="F323" s="271">
        <v>317.98</v>
      </c>
      <c r="G323" s="268">
        <f t="shared" si="113"/>
        <v>0</v>
      </c>
      <c r="H323" s="268"/>
      <c r="I323" s="268"/>
      <c r="J323" s="268">
        <f t="shared" si="108"/>
        <v>0</v>
      </c>
      <c r="K323" s="292">
        <f t="shared" si="109"/>
        <v>432.5</v>
      </c>
      <c r="L323" s="268">
        <f t="shared" si="114"/>
        <v>0</v>
      </c>
      <c r="M323" s="268"/>
      <c r="N323" s="268"/>
      <c r="O323" s="268">
        <v>0</v>
      </c>
      <c r="P323" s="271">
        <f t="shared" si="115"/>
        <v>317.98</v>
      </c>
      <c r="Q323" s="268">
        <f t="shared" si="116"/>
        <v>0</v>
      </c>
      <c r="R323" s="268"/>
      <c r="T323" s="268">
        <f t="shared" si="110"/>
        <v>0</v>
      </c>
      <c r="U323" s="271">
        <v>432.5</v>
      </c>
      <c r="V323" s="268">
        <f t="shared" si="117"/>
        <v>0</v>
      </c>
      <c r="W323" s="267"/>
      <c r="X323" s="268">
        <f t="shared" si="111"/>
        <v>0</v>
      </c>
      <c r="Y323" s="269"/>
      <c r="Z323" s="270">
        <f t="shared" si="112"/>
        <v>0</v>
      </c>
    </row>
    <row r="324" spans="1:26" x14ac:dyDescent="0.25">
      <c r="A324" s="264">
        <f t="shared" si="107"/>
        <v>10</v>
      </c>
      <c r="B324" s="253" t="s">
        <v>395</v>
      </c>
      <c r="C324" s="268"/>
      <c r="D324" s="269"/>
      <c r="E324" s="268">
        <v>12.61</v>
      </c>
      <c r="F324" s="271">
        <v>564.63</v>
      </c>
      <c r="G324" s="268">
        <f t="shared" si="113"/>
        <v>7119.98</v>
      </c>
      <c r="H324" s="268"/>
      <c r="I324" s="268"/>
      <c r="J324" s="268">
        <f t="shared" si="108"/>
        <v>12.61</v>
      </c>
      <c r="K324" s="292">
        <f t="shared" si="109"/>
        <v>767.89679999999998</v>
      </c>
      <c r="L324" s="268">
        <f t="shared" si="114"/>
        <v>9683.18</v>
      </c>
      <c r="M324" s="268"/>
      <c r="N324" s="268"/>
      <c r="O324" s="268">
        <v>12</v>
      </c>
      <c r="P324" s="271">
        <f t="shared" si="115"/>
        <v>564.63</v>
      </c>
      <c r="Q324" s="268">
        <f t="shared" si="116"/>
        <v>6775.56</v>
      </c>
      <c r="R324" s="268"/>
      <c r="T324" s="268">
        <f t="shared" si="110"/>
        <v>12</v>
      </c>
      <c r="U324" s="271">
        <v>767.89679999999998</v>
      </c>
      <c r="V324" s="268">
        <f t="shared" si="117"/>
        <v>9214.76</v>
      </c>
      <c r="W324" s="268"/>
      <c r="X324" s="268">
        <f t="shared" si="111"/>
        <v>2439.1999999999998</v>
      </c>
      <c r="Y324" s="269"/>
      <c r="Z324" s="270">
        <f t="shared" si="112"/>
        <v>0.36</v>
      </c>
    </row>
    <row r="325" spans="1:26" x14ac:dyDescent="0.25">
      <c r="A325" s="264">
        <f t="shared" si="107"/>
        <v>11</v>
      </c>
      <c r="B325" s="264"/>
      <c r="C325" s="268"/>
      <c r="E325" s="268"/>
      <c r="F325" s="271"/>
      <c r="G325" s="268"/>
      <c r="H325" s="268"/>
      <c r="I325" s="268"/>
      <c r="J325" s="268"/>
      <c r="K325" s="271"/>
      <c r="L325" s="268"/>
      <c r="M325" s="268"/>
      <c r="N325" s="268"/>
      <c r="O325" s="268"/>
      <c r="P325" s="271"/>
      <c r="Q325" s="268"/>
      <c r="R325" s="268"/>
      <c r="T325" s="268"/>
      <c r="U325" s="271"/>
      <c r="V325" s="268"/>
      <c r="W325" s="267"/>
      <c r="X325" s="267"/>
      <c r="Y325" s="269"/>
      <c r="Z325" s="270"/>
    </row>
    <row r="326" spans="1:26" x14ac:dyDescent="0.25">
      <c r="A326" s="264">
        <f t="shared" si="107"/>
        <v>12</v>
      </c>
      <c r="B326" s="295" t="s">
        <v>356</v>
      </c>
      <c r="E326" s="253">
        <v>1722.3293333333334</v>
      </c>
      <c r="F326" s="292">
        <v>15</v>
      </c>
      <c r="G326" s="267">
        <f>ROUND(E326*F326,2)</f>
        <v>25834.94</v>
      </c>
      <c r="J326" s="253">
        <f>+E326</f>
        <v>1722.3293333333334</v>
      </c>
      <c r="K326" s="292">
        <f>+U326</f>
        <v>20</v>
      </c>
      <c r="L326" s="267">
        <f>ROUND(J326*K326,2)</f>
        <v>34446.589999999997</v>
      </c>
      <c r="O326" s="253">
        <v>1411</v>
      </c>
      <c r="P326" s="292">
        <f>+F326</f>
        <v>15</v>
      </c>
      <c r="Q326" s="267">
        <f>ROUND(O326*P326,2)</f>
        <v>21165</v>
      </c>
      <c r="T326" s="253">
        <f>+O326</f>
        <v>1411</v>
      </c>
      <c r="U326" s="292">
        <v>20</v>
      </c>
      <c r="V326" s="267">
        <f>ROUND(T326*U326,2)</f>
        <v>28220</v>
      </c>
      <c r="W326" s="268"/>
      <c r="X326" s="267">
        <f>+V326-Q326</f>
        <v>7055</v>
      </c>
      <c r="Y326" s="269"/>
      <c r="Z326" s="270">
        <f>IF(Q326=0,0,ROUND((X326/Q326),4))</f>
        <v>0.33329999999999999</v>
      </c>
    </row>
    <row r="327" spans="1:26" x14ac:dyDescent="0.25">
      <c r="A327" s="264">
        <f t="shared" si="107"/>
        <v>13</v>
      </c>
      <c r="B327" s="295" t="s">
        <v>358</v>
      </c>
      <c r="E327" s="253">
        <v>13</v>
      </c>
      <c r="F327" s="271">
        <v>37.299999999999997</v>
      </c>
      <c r="G327" s="268">
        <f>ROUND(E327*F327,2)</f>
        <v>484.9</v>
      </c>
      <c r="J327" s="253">
        <f>+E327</f>
        <v>13</v>
      </c>
      <c r="K327" s="271">
        <f>+U327</f>
        <v>49.6</v>
      </c>
      <c r="L327" s="268">
        <f>ROUND(J327*K327,2)</f>
        <v>644.79999999999995</v>
      </c>
      <c r="O327" s="253">
        <v>12</v>
      </c>
      <c r="P327" s="271">
        <f>+F327</f>
        <v>37.299999999999997</v>
      </c>
      <c r="Q327" s="268">
        <f>ROUND(O327*P327,2)</f>
        <v>447.6</v>
      </c>
      <c r="T327" s="253">
        <f>+O327</f>
        <v>12</v>
      </c>
      <c r="U327" s="271">
        <v>49.6</v>
      </c>
      <c r="V327" s="268">
        <f>ROUND(T327*U327,2)</f>
        <v>595.20000000000005</v>
      </c>
      <c r="W327" s="268"/>
      <c r="X327" s="268">
        <f t="shared" ref="X327:X328" si="118">+V327-Q327</f>
        <v>147.60000000000002</v>
      </c>
      <c r="Y327" s="269"/>
      <c r="Z327" s="270">
        <f t="shared" ref="Z327:Z328" si="119">IF(Q327=0,0,ROUND((X327/Q327),4))</f>
        <v>0.32979999999999998</v>
      </c>
    </row>
    <row r="328" spans="1:26" x14ac:dyDescent="0.25">
      <c r="A328" s="264">
        <f t="shared" si="107"/>
        <v>14</v>
      </c>
      <c r="B328" s="253" t="s">
        <v>364</v>
      </c>
      <c r="C328" s="268"/>
      <c r="D328" s="269"/>
      <c r="E328" s="253">
        <v>5</v>
      </c>
      <c r="F328" s="271">
        <v>1194.7</v>
      </c>
      <c r="G328" s="268">
        <f t="shared" ref="G328" si="120">ROUND(E328*F328,2)</f>
        <v>5973.5</v>
      </c>
      <c r="H328" s="279"/>
      <c r="I328" s="279"/>
      <c r="J328" s="253">
        <f>+E328</f>
        <v>5</v>
      </c>
      <c r="K328" s="271">
        <f>+U328</f>
        <v>1589</v>
      </c>
      <c r="L328" s="268">
        <f t="shared" ref="L328" si="121">ROUND(J328*K328,2)</f>
        <v>7945</v>
      </c>
      <c r="M328" s="279"/>
      <c r="O328" s="253">
        <v>5</v>
      </c>
      <c r="P328" s="271">
        <f>+F328</f>
        <v>1194.7</v>
      </c>
      <c r="Q328" s="268">
        <f t="shared" ref="Q328" si="122">ROUND(O328*P328,2)</f>
        <v>5973.5</v>
      </c>
      <c r="R328" s="279"/>
      <c r="T328" s="253">
        <f>+O328</f>
        <v>5</v>
      </c>
      <c r="U328" s="271">
        <v>1589</v>
      </c>
      <c r="V328" s="268">
        <f t="shared" ref="V328" si="123">ROUND(T328*U328,2)</f>
        <v>7945</v>
      </c>
      <c r="W328" s="267"/>
      <c r="X328" s="268">
        <f t="shared" si="118"/>
        <v>1971.5</v>
      </c>
      <c r="Y328" s="269"/>
      <c r="Z328" s="270">
        <f t="shared" si="119"/>
        <v>0.33</v>
      </c>
    </row>
    <row r="329" spans="1:26" x14ac:dyDescent="0.25">
      <c r="A329" s="264">
        <f t="shared" si="107"/>
        <v>15</v>
      </c>
      <c r="C329" s="268"/>
      <c r="D329" s="269"/>
      <c r="F329" s="276"/>
      <c r="G329" s="279"/>
      <c r="H329" s="279"/>
      <c r="I329" s="279"/>
      <c r="K329" s="276"/>
      <c r="L329" s="279"/>
      <c r="M329" s="279"/>
      <c r="P329" s="264"/>
      <c r="Q329" s="279"/>
      <c r="R329" s="279"/>
      <c r="U329" s="264"/>
      <c r="V329" s="279"/>
      <c r="W329" s="267"/>
      <c r="X329" s="268"/>
      <c r="Y329" s="269"/>
      <c r="Z329" s="270"/>
    </row>
    <row r="330" spans="1:26" ht="15.75" thickBot="1" x14ac:dyDescent="0.3">
      <c r="A330" s="264">
        <f t="shared" si="107"/>
        <v>16</v>
      </c>
      <c r="B330" s="253" t="s">
        <v>19</v>
      </c>
      <c r="C330" s="300"/>
      <c r="D330" s="264"/>
      <c r="E330" s="301">
        <f>SUM(E316:E328)</f>
        <v>41716.929333333333</v>
      </c>
      <c r="F330" s="264"/>
      <c r="G330" s="302">
        <f>SUM(G316:G328)</f>
        <v>3148368.32</v>
      </c>
      <c r="H330" s="300"/>
      <c r="I330" s="300"/>
      <c r="J330" s="301">
        <f>SUM(J316:J328)</f>
        <v>41716.929333333333</v>
      </c>
      <c r="K330" s="264"/>
      <c r="L330" s="302">
        <f>SUM(L316:L328)</f>
        <v>4283292.4000000004</v>
      </c>
      <c r="M330" s="300"/>
      <c r="N330" s="300"/>
      <c r="O330" s="301">
        <f>SUM(O316:O328)</f>
        <v>41912.888888888891</v>
      </c>
      <c r="P330" s="264"/>
      <c r="Q330" s="302">
        <f>SUM(Q316:Q328)</f>
        <v>3189636.89</v>
      </c>
      <c r="R330" s="300"/>
      <c r="T330" s="301">
        <f>SUM(T316:T328)</f>
        <v>41912.888888888891</v>
      </c>
      <c r="U330" s="279"/>
      <c r="V330" s="302">
        <f>SUM(V316:V328)</f>
        <v>4339591.49</v>
      </c>
      <c r="W330" s="279"/>
      <c r="X330" s="302">
        <f>SUM(X316:X328)</f>
        <v>1149954.5999999999</v>
      </c>
      <c r="Z330" s="290">
        <f>IF(Q330=0,0,ROUND((X330/Q330),4))</f>
        <v>0.36049999999999999</v>
      </c>
    </row>
    <row r="331" spans="1:26" ht="15.75" thickTop="1" x14ac:dyDescent="0.25">
      <c r="A331" s="264">
        <f t="shared" si="107"/>
        <v>17</v>
      </c>
      <c r="C331" s="268"/>
      <c r="E331" s="268"/>
      <c r="F331" s="276"/>
      <c r="G331" s="268"/>
      <c r="H331" s="268"/>
      <c r="I331" s="268"/>
      <c r="J331" s="268"/>
      <c r="K331" s="276"/>
      <c r="L331" s="268"/>
      <c r="M331" s="268"/>
      <c r="N331" s="268"/>
      <c r="O331" s="268"/>
      <c r="P331" s="276"/>
      <c r="Q331" s="268"/>
      <c r="R331" s="268"/>
      <c r="T331" s="268"/>
      <c r="U331" s="271"/>
      <c r="V331" s="276"/>
      <c r="W331" s="268"/>
      <c r="X331" s="268"/>
      <c r="Z331" s="270"/>
    </row>
    <row r="332" spans="1:26" x14ac:dyDescent="0.25">
      <c r="A332" s="264">
        <f t="shared" si="107"/>
        <v>18</v>
      </c>
      <c r="B332" s="266" t="s">
        <v>368</v>
      </c>
      <c r="C332" s="269"/>
      <c r="D332" s="269"/>
      <c r="E332" s="269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8"/>
      <c r="Y332" s="269"/>
      <c r="Z332" s="270"/>
    </row>
    <row r="333" spans="1:26" x14ac:dyDescent="0.25">
      <c r="A333" s="264">
        <f t="shared" si="107"/>
        <v>19</v>
      </c>
      <c r="B333" s="253" t="s">
        <v>322</v>
      </c>
      <c r="C333" s="267"/>
      <c r="D333" s="269"/>
      <c r="E333" s="268">
        <v>9684.3372247403913</v>
      </c>
      <c r="F333" s="293">
        <v>5.2065999999999999</v>
      </c>
      <c r="G333" s="267">
        <f>ROUND(E333*F333,2)</f>
        <v>50422.47</v>
      </c>
      <c r="H333" s="267"/>
      <c r="I333" s="269"/>
      <c r="J333" s="268">
        <f>E333</f>
        <v>9684.3372247403913</v>
      </c>
      <c r="K333" s="293">
        <f>U333</f>
        <v>7.0759999999999996</v>
      </c>
      <c r="L333" s="267">
        <f>ROUND(J333*K333,2)</f>
        <v>68526.37</v>
      </c>
      <c r="M333" s="267"/>
      <c r="N333" s="269"/>
      <c r="O333" s="268">
        <v>6379.4384494807882</v>
      </c>
      <c r="P333" s="293">
        <f>+F333</f>
        <v>5.2065999999999999</v>
      </c>
      <c r="Q333" s="267">
        <f>ROUND(O333*P333,2)</f>
        <v>33215.18</v>
      </c>
      <c r="R333" s="267"/>
      <c r="S333" s="269"/>
      <c r="T333" s="268">
        <f>O333</f>
        <v>6379.4384494807882</v>
      </c>
      <c r="U333" s="293">
        <v>7.0759999999999996</v>
      </c>
      <c r="V333" s="267">
        <f>ROUND(T333*U333,2)</f>
        <v>45140.91</v>
      </c>
      <c r="W333" s="268"/>
      <c r="X333" s="267">
        <f t="shared" ref="X333" si="124">+V333-Q333</f>
        <v>11925.730000000003</v>
      </c>
      <c r="Y333" s="269"/>
      <c r="Z333" s="270">
        <f t="shared" ref="Z333" si="125">IF(Q333=0,0,ROUND((X333/Q333),4))</f>
        <v>0.35899999999999999</v>
      </c>
    </row>
    <row r="334" spans="1:26" x14ac:dyDescent="0.25">
      <c r="A334" s="264">
        <f t="shared" si="107"/>
        <v>20</v>
      </c>
      <c r="C334" s="268"/>
      <c r="E334" s="268"/>
      <c r="F334" s="276"/>
      <c r="G334" s="268"/>
      <c r="H334" s="268"/>
      <c r="I334" s="268"/>
      <c r="J334" s="268"/>
      <c r="K334" s="276"/>
      <c r="L334" s="268"/>
      <c r="M334" s="268"/>
      <c r="N334" s="268"/>
      <c r="O334" s="268"/>
      <c r="P334" s="276"/>
      <c r="Q334" s="268"/>
      <c r="R334" s="268"/>
      <c r="T334" s="268"/>
      <c r="U334" s="271"/>
      <c r="V334" s="276"/>
      <c r="W334" s="268"/>
      <c r="X334" s="268"/>
      <c r="Z334" s="270"/>
    </row>
    <row r="335" spans="1:26" x14ac:dyDescent="0.25">
      <c r="A335" s="264">
        <f t="shared" si="107"/>
        <v>21</v>
      </c>
      <c r="B335" s="253" t="s">
        <v>371</v>
      </c>
      <c r="E335" s="268"/>
      <c r="F335" s="294"/>
      <c r="G335" s="268">
        <v>175646.36</v>
      </c>
      <c r="H335" s="268"/>
      <c r="J335" s="268"/>
      <c r="K335" s="294">
        <f>+U335</f>
        <v>0</v>
      </c>
      <c r="L335" s="267">
        <f>+ROUND(SUM(L330:L333)*K335,2)</f>
        <v>0</v>
      </c>
      <c r="O335" s="268"/>
      <c r="P335" s="294"/>
      <c r="Q335" s="267">
        <v>310042.47000000003</v>
      </c>
      <c r="T335" s="268"/>
      <c r="U335" s="294">
        <v>0</v>
      </c>
      <c r="V335" s="267">
        <f>+ROUND(SUM(V330:V333)*U335,2)</f>
        <v>0</v>
      </c>
      <c r="X335" s="267">
        <f t="shared" ref="X335" si="126">+V335-Q335</f>
        <v>-310042.47000000003</v>
      </c>
      <c r="Y335" s="269"/>
      <c r="Z335" s="270">
        <f t="shared" ref="Z335" si="127">IF(Q335=0,0,ROUND((X335/Q335),4))</f>
        <v>-1</v>
      </c>
    </row>
    <row r="336" spans="1:26" x14ac:dyDescent="0.25">
      <c r="A336" s="264">
        <f t="shared" si="107"/>
        <v>22</v>
      </c>
      <c r="C336" s="268"/>
      <c r="E336" s="268"/>
      <c r="F336" s="276"/>
      <c r="G336" s="268"/>
      <c r="H336" s="268"/>
      <c r="I336" s="268"/>
      <c r="J336" s="268"/>
      <c r="K336" s="276"/>
      <c r="L336" s="268"/>
      <c r="M336" s="268"/>
      <c r="N336" s="268"/>
      <c r="O336" s="268"/>
      <c r="P336" s="276"/>
      <c r="Q336" s="268"/>
      <c r="R336" s="268"/>
      <c r="T336" s="268"/>
      <c r="U336" s="271"/>
      <c r="V336" s="276"/>
      <c r="W336" s="268"/>
      <c r="X336" s="268"/>
      <c r="Z336" s="270"/>
    </row>
    <row r="337" spans="1:26" ht="15.75" thickBot="1" x14ac:dyDescent="0.3">
      <c r="A337" s="264">
        <f t="shared" si="107"/>
        <v>23</v>
      </c>
      <c r="B337" s="254" t="s">
        <v>396</v>
      </c>
      <c r="C337" s="268"/>
      <c r="E337" s="268"/>
      <c r="F337" s="276"/>
      <c r="G337" s="303">
        <f>+SUM(G330:G335)</f>
        <v>3374437.15</v>
      </c>
      <c r="H337" s="304"/>
      <c r="I337" s="304"/>
      <c r="J337" s="304"/>
      <c r="K337" s="305"/>
      <c r="L337" s="303">
        <f>+SUM(L330:L335)</f>
        <v>4351818.7700000005</v>
      </c>
      <c r="M337" s="304"/>
      <c r="N337" s="304"/>
      <c r="O337" s="304"/>
      <c r="P337" s="305"/>
      <c r="Q337" s="303">
        <f>+SUM(Q330:Q335)</f>
        <v>3532894.5400000005</v>
      </c>
      <c r="R337" s="304"/>
      <c r="S337" s="254"/>
      <c r="T337" s="304"/>
      <c r="U337" s="306"/>
      <c r="V337" s="303">
        <f>+SUM(V330:V335)</f>
        <v>4384732.4000000004</v>
      </c>
      <c r="W337" s="304"/>
      <c r="X337" s="303">
        <f>+SUM(X330:X335)</f>
        <v>851837.85999999987</v>
      </c>
      <c r="Y337" s="254"/>
      <c r="Z337" s="307">
        <f>IF(Q337=0,0,ROUND((X337/Q337),4))</f>
        <v>0.24110000000000001</v>
      </c>
    </row>
    <row r="338" spans="1:26" ht="15.75" thickTop="1" x14ac:dyDescent="0.25">
      <c r="A338" s="264">
        <f t="shared" si="107"/>
        <v>24</v>
      </c>
      <c r="C338" s="268"/>
      <c r="E338" s="268"/>
      <c r="F338" s="276"/>
      <c r="G338" s="268"/>
      <c r="H338" s="268"/>
      <c r="I338" s="268"/>
      <c r="J338" s="268"/>
      <c r="K338" s="276"/>
      <c r="L338" s="268"/>
      <c r="M338" s="268"/>
      <c r="N338" s="268"/>
      <c r="O338" s="268"/>
      <c r="P338" s="276"/>
      <c r="Q338" s="268"/>
      <c r="R338" s="268"/>
      <c r="T338" s="268"/>
      <c r="U338" s="271"/>
      <c r="V338" s="276"/>
      <c r="W338" s="268"/>
      <c r="X338" s="268"/>
      <c r="Z338" s="270"/>
    </row>
    <row r="339" spans="1:26" x14ac:dyDescent="0.25">
      <c r="A339" s="264">
        <f t="shared" si="107"/>
        <v>25</v>
      </c>
    </row>
    <row r="340" spans="1:26" x14ac:dyDescent="0.25">
      <c r="A340" s="264">
        <f t="shared" si="107"/>
        <v>26</v>
      </c>
      <c r="B340" s="254" t="s">
        <v>397</v>
      </c>
      <c r="C340" s="268"/>
      <c r="D340" s="283"/>
      <c r="F340" s="284"/>
      <c r="G340" s="268"/>
      <c r="H340" s="268"/>
      <c r="I340" s="268"/>
      <c r="K340" s="284"/>
      <c r="L340" s="268"/>
      <c r="M340" s="268"/>
      <c r="N340" s="268"/>
      <c r="P340" s="284"/>
      <c r="Q340" s="268"/>
      <c r="R340" s="268"/>
      <c r="T340" s="283"/>
      <c r="V340" s="284"/>
      <c r="W340" s="283"/>
      <c r="X340" s="268"/>
      <c r="Z340" s="270"/>
    </row>
    <row r="341" spans="1:26" x14ac:dyDescent="0.25">
      <c r="A341" s="264">
        <f t="shared" si="107"/>
        <v>27</v>
      </c>
      <c r="B341" s="253" t="s">
        <v>398</v>
      </c>
      <c r="C341" s="268"/>
      <c r="E341" s="253">
        <v>91388.57</v>
      </c>
      <c r="F341" s="292">
        <v>48.7</v>
      </c>
      <c r="G341" s="267">
        <f>ROUND(E341*F341,2)</f>
        <v>4450623.3600000003</v>
      </c>
      <c r="H341" s="267"/>
      <c r="I341" s="268"/>
      <c r="J341" s="253">
        <f>E341</f>
        <v>91388.57</v>
      </c>
      <c r="K341" s="292">
        <f>U341</f>
        <v>66</v>
      </c>
      <c r="L341" s="267">
        <f>ROUND(J341*K341,2)</f>
        <v>6031645.6200000001</v>
      </c>
      <c r="M341" s="268"/>
      <c r="N341" s="268"/>
      <c r="O341" s="253">
        <v>91926.777777777752</v>
      </c>
      <c r="P341" s="292">
        <f>+F341</f>
        <v>48.7</v>
      </c>
      <c r="Q341" s="267">
        <f>ROUND(O341*P341,2)</f>
        <v>4476834.08</v>
      </c>
      <c r="R341" s="268"/>
      <c r="T341" s="253">
        <f>+O341</f>
        <v>91926.777777777752</v>
      </c>
      <c r="U341" s="292">
        <v>66</v>
      </c>
      <c r="V341" s="267">
        <f>ROUND(T341*U341,2)</f>
        <v>6067167.3300000001</v>
      </c>
      <c r="X341" s="267">
        <f>+V341-Q341</f>
        <v>1590333.25</v>
      </c>
      <c r="Z341" s="270">
        <f t="shared" ref="Z341" si="128">IF(Q341=0,0,ROUND((X341/Q341),4))</f>
        <v>0.35520000000000002</v>
      </c>
    </row>
    <row r="342" spans="1:26" x14ac:dyDescent="0.25">
      <c r="A342" s="264">
        <f t="shared" si="107"/>
        <v>28</v>
      </c>
      <c r="B342" s="308"/>
      <c r="C342" s="300"/>
      <c r="D342" s="264"/>
      <c r="F342" s="271"/>
      <c r="G342" s="268"/>
      <c r="H342" s="268"/>
      <c r="K342" s="271"/>
      <c r="L342" s="268"/>
      <c r="P342" s="271"/>
      <c r="Q342" s="268"/>
      <c r="U342" s="271"/>
      <c r="V342" s="268"/>
      <c r="X342" s="268"/>
      <c r="Z342" s="270"/>
    </row>
    <row r="343" spans="1:26" ht="15.75" thickBot="1" x14ac:dyDescent="0.3">
      <c r="A343" s="264">
        <f t="shared" si="107"/>
        <v>29</v>
      </c>
      <c r="E343" s="296">
        <f>SUM(E341:E342)</f>
        <v>91388.57</v>
      </c>
      <c r="F343" s="292"/>
      <c r="G343" s="302">
        <f>SUM(G341:G342)</f>
        <v>4450623.3600000003</v>
      </c>
      <c r="H343" s="300"/>
      <c r="I343" s="300"/>
      <c r="J343" s="296">
        <f>SUM(J341:J342)</f>
        <v>91388.57</v>
      </c>
      <c r="K343" s="292"/>
      <c r="L343" s="302">
        <f>SUM(L341:L342)</f>
        <v>6031645.6200000001</v>
      </c>
      <c r="M343" s="300"/>
      <c r="N343" s="300"/>
      <c r="O343" s="296">
        <f>SUM(O341:O342)</f>
        <v>91926.777777777752</v>
      </c>
      <c r="P343" s="292"/>
      <c r="Q343" s="302">
        <f>SUM(Q341:Q342)</f>
        <v>4476834.08</v>
      </c>
      <c r="R343" s="300"/>
      <c r="T343" s="296">
        <f>SUM(T341:T342)</f>
        <v>91926.777777777752</v>
      </c>
      <c r="U343" s="292"/>
      <c r="V343" s="302">
        <f>SUM(V341:V342)</f>
        <v>6067167.3300000001</v>
      </c>
      <c r="W343" s="267"/>
      <c r="X343" s="302">
        <f>+V343-Q343</f>
        <v>1590333.25</v>
      </c>
      <c r="Y343" s="269"/>
      <c r="Z343" s="290">
        <f>IF(Q343=0,0,ROUND((X343/Q343),4))</f>
        <v>0.35520000000000002</v>
      </c>
    </row>
    <row r="344" spans="1:26" ht="15.75" thickTop="1" x14ac:dyDescent="0.25">
      <c r="A344" s="264">
        <f t="shared" si="107"/>
        <v>30</v>
      </c>
    </row>
    <row r="345" spans="1:26" x14ac:dyDescent="0.25">
      <c r="A345" s="264">
        <f t="shared" si="107"/>
        <v>31</v>
      </c>
      <c r="B345" s="253" t="s">
        <v>371</v>
      </c>
      <c r="E345" s="268"/>
      <c r="F345" s="294"/>
      <c r="G345" s="268">
        <v>244167.59000000003</v>
      </c>
      <c r="H345" s="268"/>
      <c r="J345" s="268"/>
      <c r="K345" s="294">
        <f>+U345</f>
        <v>0</v>
      </c>
      <c r="L345" s="267">
        <f>+ROUND(SUM(L343)*K345,2)</f>
        <v>0</v>
      </c>
      <c r="O345" s="268"/>
      <c r="P345" s="294"/>
      <c r="Q345" s="267">
        <v>430366.86</v>
      </c>
      <c r="T345" s="268"/>
      <c r="U345" s="294">
        <v>0</v>
      </c>
      <c r="V345" s="267">
        <f>+ROUND(SUM(V343)*U345,2)</f>
        <v>0</v>
      </c>
      <c r="X345" s="267">
        <f t="shared" ref="X345" si="129">+V345-Q345</f>
        <v>-430366.86</v>
      </c>
      <c r="Y345" s="269"/>
      <c r="Z345" s="270">
        <f t="shared" ref="Z345" si="130">IF(Q345=0,0,ROUND((X345/Q345),4))</f>
        <v>-1</v>
      </c>
    </row>
    <row r="346" spans="1:26" x14ac:dyDescent="0.25">
      <c r="A346" s="264">
        <f t="shared" si="107"/>
        <v>32</v>
      </c>
      <c r="E346" s="268"/>
      <c r="F346" s="294"/>
      <c r="G346" s="268"/>
      <c r="H346" s="268"/>
      <c r="J346" s="268"/>
      <c r="K346" s="294"/>
      <c r="L346" s="267"/>
      <c r="O346" s="268"/>
      <c r="P346" s="294"/>
      <c r="Q346" s="267"/>
      <c r="T346" s="268"/>
      <c r="U346" s="294"/>
      <c r="V346" s="267"/>
      <c r="X346" s="268"/>
      <c r="Z346" s="270"/>
    </row>
    <row r="347" spans="1:26" ht="15.75" thickBot="1" x14ac:dyDescent="0.3">
      <c r="A347" s="264">
        <f t="shared" si="107"/>
        <v>33</v>
      </c>
      <c r="B347" s="254" t="s">
        <v>399</v>
      </c>
      <c r="E347" s="268"/>
      <c r="F347" s="294"/>
      <c r="G347" s="303">
        <f>+SUM(G343:G345)</f>
        <v>4694790.95</v>
      </c>
      <c r="H347" s="304"/>
      <c r="I347" s="254"/>
      <c r="J347" s="304"/>
      <c r="K347" s="309"/>
      <c r="L347" s="303">
        <f>+SUM(L343:L345)</f>
        <v>6031645.6200000001</v>
      </c>
      <c r="M347" s="254"/>
      <c r="N347" s="254"/>
      <c r="O347" s="304"/>
      <c r="P347" s="309"/>
      <c r="Q347" s="303">
        <f>+SUM(Q343:Q345)</f>
        <v>4907200.9400000004</v>
      </c>
      <c r="R347" s="254"/>
      <c r="S347" s="254"/>
      <c r="T347" s="304"/>
      <c r="U347" s="309"/>
      <c r="V347" s="303">
        <f>+SUM(V343:V345)</f>
        <v>6067167.3300000001</v>
      </c>
      <c r="W347" s="254"/>
      <c r="X347" s="303">
        <f>+SUM(X343:X345)</f>
        <v>1159966.3900000001</v>
      </c>
      <c r="Y347" s="254"/>
      <c r="Z347" s="307">
        <f>IF(Q347=0,0,ROUND((X347/Q347),4))</f>
        <v>0.2364</v>
      </c>
    </row>
    <row r="348" spans="1:26" ht="15.75" thickTop="1" x14ac:dyDescent="0.25">
      <c r="A348" s="264">
        <f t="shared" si="107"/>
        <v>34</v>
      </c>
      <c r="E348" s="268"/>
      <c r="F348" s="294"/>
      <c r="G348" s="268"/>
      <c r="H348" s="268"/>
      <c r="J348" s="268"/>
      <c r="K348" s="294"/>
      <c r="L348" s="267"/>
      <c r="O348" s="268"/>
      <c r="P348" s="294"/>
      <c r="Q348" s="267"/>
      <c r="T348" s="268"/>
      <c r="U348" s="294"/>
      <c r="V348" s="267"/>
      <c r="X348" s="268"/>
      <c r="Z348" s="270"/>
    </row>
    <row r="349" spans="1:26" ht="15.75" thickBot="1" x14ac:dyDescent="0.3">
      <c r="A349" s="264">
        <f t="shared" si="107"/>
        <v>35</v>
      </c>
      <c r="B349" s="254" t="s">
        <v>400</v>
      </c>
      <c r="C349" s="254"/>
      <c r="D349" s="254"/>
      <c r="E349" s="254"/>
      <c r="F349" s="254"/>
      <c r="G349" s="310">
        <f>+G337+G347</f>
        <v>8069228.0999999996</v>
      </c>
      <c r="H349" s="311"/>
      <c r="I349" s="254"/>
      <c r="J349" s="254"/>
      <c r="K349" s="254"/>
      <c r="L349" s="310">
        <f>+L337+L347</f>
        <v>10383464.390000001</v>
      </c>
      <c r="M349" s="254"/>
      <c r="N349" s="254"/>
      <c r="O349" s="254"/>
      <c r="P349" s="254"/>
      <c r="Q349" s="310">
        <f>+Q337+Q347</f>
        <v>8440095.4800000004</v>
      </c>
      <c r="R349" s="254"/>
      <c r="S349" s="254"/>
      <c r="T349" s="254"/>
      <c r="U349" s="254"/>
      <c r="V349" s="310">
        <f>+V337+V347</f>
        <v>10451899.73</v>
      </c>
      <c r="W349" s="254"/>
      <c r="X349" s="310">
        <f>+X337+X347</f>
        <v>2011804.25</v>
      </c>
      <c r="Y349" s="254"/>
      <c r="Z349" s="307">
        <f>IF(Q349=0,0,ROUND((X349/Q349),4))</f>
        <v>0.2384</v>
      </c>
    </row>
    <row r="350" spans="1:26" ht="15.75" thickTop="1" x14ac:dyDescent="0.25">
      <c r="A350" s="264"/>
    </row>
    <row r="351" spans="1:26" x14ac:dyDescent="0.25">
      <c r="A351" s="264"/>
    </row>
    <row r="352" spans="1:26" x14ac:dyDescent="0.25">
      <c r="A352" s="264"/>
      <c r="G352" s="312"/>
    </row>
    <row r="353" spans="1:26" x14ac:dyDescent="0.25">
      <c r="A353" s="264"/>
      <c r="C353" s="280"/>
      <c r="D353" s="280"/>
      <c r="F353" s="280"/>
      <c r="G353" s="280"/>
      <c r="H353" s="280"/>
      <c r="I353" s="280"/>
      <c r="J353" s="280"/>
      <c r="K353" s="280"/>
      <c r="L353" s="280"/>
      <c r="M353" s="280"/>
      <c r="N353" s="280"/>
      <c r="P353" s="280"/>
      <c r="Q353" s="280"/>
      <c r="R353" s="280"/>
      <c r="S353" s="280"/>
      <c r="T353" s="266"/>
      <c r="U353" s="266"/>
      <c r="V353" s="266"/>
      <c r="W353" s="266"/>
      <c r="X353" s="266"/>
      <c r="Y353" s="264"/>
    </row>
    <row r="354" spans="1:26" x14ac:dyDescent="0.25">
      <c r="A354" s="264"/>
      <c r="C354" s="282"/>
      <c r="D354" s="283"/>
      <c r="F354" s="291"/>
      <c r="G354" s="282"/>
      <c r="H354" s="282"/>
      <c r="I354" s="282"/>
      <c r="J354" s="282"/>
      <c r="K354" s="282"/>
      <c r="L354" s="282"/>
      <c r="M354" s="282"/>
      <c r="N354" s="282"/>
      <c r="P354" s="291"/>
      <c r="Q354" s="282"/>
      <c r="R354" s="282"/>
      <c r="S354" s="282"/>
      <c r="T354" s="283"/>
      <c r="U354" s="291"/>
      <c r="V354" s="283"/>
      <c r="W354" s="283"/>
      <c r="X354" s="268"/>
      <c r="Y354" s="283"/>
      <c r="Z354" s="270"/>
    </row>
    <row r="355" spans="1:26" x14ac:dyDescent="0.25">
      <c r="A355" s="264"/>
      <c r="C355" s="282"/>
      <c r="D355" s="283"/>
      <c r="F355" s="291"/>
      <c r="G355" s="282"/>
      <c r="H355" s="282"/>
      <c r="I355" s="282"/>
      <c r="J355" s="282"/>
      <c r="K355" s="282"/>
      <c r="L355" s="282"/>
      <c r="M355" s="282"/>
      <c r="N355" s="282"/>
      <c r="P355" s="291"/>
      <c r="Q355" s="282"/>
      <c r="R355" s="282"/>
      <c r="S355" s="282"/>
      <c r="T355" s="283"/>
      <c r="U355" s="291"/>
      <c r="V355" s="283"/>
    </row>
    <row r="356" spans="1:26" x14ac:dyDescent="0.25">
      <c r="A356" s="264"/>
      <c r="F356" s="298"/>
      <c r="P356" s="298"/>
      <c r="U356" s="298"/>
      <c r="X356" s="268"/>
      <c r="Z356" s="270"/>
    </row>
  </sheetData>
  <mergeCells count="72">
    <mergeCell ref="D53:G53"/>
    <mergeCell ref="I53:L53"/>
    <mergeCell ref="N53:Q53"/>
    <mergeCell ref="S53:V53"/>
    <mergeCell ref="A1:Z1"/>
    <mergeCell ref="A2:Z2"/>
    <mergeCell ref="A3:Z3"/>
    <mergeCell ref="A4:Z4"/>
    <mergeCell ref="I5:Q5"/>
    <mergeCell ref="E10:G10"/>
    <mergeCell ref="J10:L10"/>
    <mergeCell ref="O10:Q10"/>
    <mergeCell ref="T10:V10"/>
    <mergeCell ref="A44:Z44"/>
    <mergeCell ref="A45:Z45"/>
    <mergeCell ref="A46:Z46"/>
    <mergeCell ref="A47:Z47"/>
    <mergeCell ref="I48:Q48"/>
    <mergeCell ref="D142:G142"/>
    <mergeCell ref="I142:L142"/>
    <mergeCell ref="N142:Q142"/>
    <mergeCell ref="S142:V142"/>
    <mergeCell ref="A91:Z91"/>
    <mergeCell ref="A92:Z92"/>
    <mergeCell ref="A93:Z93"/>
    <mergeCell ref="A94:Z94"/>
    <mergeCell ref="I95:Q95"/>
    <mergeCell ref="D100:G100"/>
    <mergeCell ref="I100:L100"/>
    <mergeCell ref="N100:Q100"/>
    <mergeCell ref="S100:V100"/>
    <mergeCell ref="A133:Z133"/>
    <mergeCell ref="A134:Z134"/>
    <mergeCell ref="A135:Z135"/>
    <mergeCell ref="A136:Z136"/>
    <mergeCell ref="I137:Q137"/>
    <mergeCell ref="D226:G226"/>
    <mergeCell ref="I226:L226"/>
    <mergeCell ref="N226:Q226"/>
    <mergeCell ref="S226:V226"/>
    <mergeCell ref="A175:Z175"/>
    <mergeCell ref="A176:Z176"/>
    <mergeCell ref="A177:Z177"/>
    <mergeCell ref="A178:Z178"/>
    <mergeCell ref="A179:Z179"/>
    <mergeCell ref="D184:G184"/>
    <mergeCell ref="I184:L184"/>
    <mergeCell ref="N184:Q184"/>
    <mergeCell ref="S268:V268"/>
    <mergeCell ref="A302:Z302"/>
    <mergeCell ref="A303:Z303"/>
    <mergeCell ref="S184:V184"/>
    <mergeCell ref="A217:Z217"/>
    <mergeCell ref="A218:Z218"/>
    <mergeCell ref="A219:Z219"/>
    <mergeCell ref="A220:Z220"/>
    <mergeCell ref="A304:Z304"/>
    <mergeCell ref="A305:Z305"/>
    <mergeCell ref="I306:Q306"/>
    <mergeCell ref="I221:Q221"/>
    <mergeCell ref="E311:G311"/>
    <mergeCell ref="J311:L311"/>
    <mergeCell ref="O311:Q311"/>
    <mergeCell ref="T311:V311"/>
    <mergeCell ref="A259:Z259"/>
    <mergeCell ref="A260:Z260"/>
    <mergeCell ref="A261:Z261"/>
    <mergeCell ref="A262:Z262"/>
    <mergeCell ref="I263:Q263"/>
    <mergeCell ref="D268:G268"/>
    <mergeCell ref="I268:L268"/>
    <mergeCell ref="N268:Q268"/>
  </mergeCells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43" max="25" man="1"/>
    <brk id="90" max="25" man="1"/>
    <brk id="132" max="25" man="1"/>
    <brk id="174" max="25" man="1"/>
    <brk id="216" max="25" man="1"/>
    <brk id="258" max="25" man="1"/>
    <brk id="30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ABD8-2D98-429A-AAA8-1B74EF568F61}">
  <sheetPr>
    <pageSetUpPr fitToPage="1"/>
  </sheetPr>
  <dimension ref="A1:W89"/>
  <sheetViews>
    <sheetView zoomScaleNormal="100" zoomScaleSheetLayoutView="80" workbookViewId="0">
      <pane xSplit="1" topLeftCell="B1" activePane="topRight" state="frozen"/>
      <selection pane="topRight" activeCell="B1" sqref="B1"/>
    </sheetView>
  </sheetViews>
  <sheetFormatPr defaultColWidth="12.5703125" defaultRowHeight="15" x14ac:dyDescent="0.25"/>
  <cols>
    <col min="1" max="1" width="34.5703125" bestFit="1" customWidth="1"/>
    <col min="2" max="2" width="9.7109375" style="3" bestFit="1" customWidth="1"/>
    <col min="3" max="3" width="19.28515625" style="3" bestFit="1" customWidth="1"/>
  </cols>
  <sheetData>
    <row r="1" spans="1:23" x14ac:dyDescent="0.25">
      <c r="A1" s="1" t="s">
        <v>224</v>
      </c>
    </row>
    <row r="2" spans="1:23" x14ac:dyDescent="0.25">
      <c r="A2" s="1" t="s">
        <v>256</v>
      </c>
    </row>
    <row r="4" spans="1:23" x14ac:dyDescent="0.25">
      <c r="A4" s="1" t="s">
        <v>250</v>
      </c>
      <c r="D4" s="3" t="s">
        <v>240</v>
      </c>
      <c r="E4" s="3" t="s">
        <v>240</v>
      </c>
      <c r="F4" s="3" t="s">
        <v>240</v>
      </c>
      <c r="G4" s="3" t="s">
        <v>240</v>
      </c>
      <c r="H4" s="3" t="s">
        <v>240</v>
      </c>
      <c r="I4" s="3" t="s">
        <v>240</v>
      </c>
      <c r="J4" s="3" t="s">
        <v>240</v>
      </c>
      <c r="K4" s="3" t="s">
        <v>240</v>
      </c>
      <c r="L4" s="3" t="s">
        <v>240</v>
      </c>
      <c r="M4" s="3" t="s">
        <v>240</v>
      </c>
      <c r="N4" s="3" t="s">
        <v>240</v>
      </c>
      <c r="O4" s="3" t="s">
        <v>240</v>
      </c>
      <c r="P4" s="3" t="s">
        <v>240</v>
      </c>
      <c r="Q4" s="3" t="s">
        <v>240</v>
      </c>
      <c r="R4" s="3" t="s">
        <v>240</v>
      </c>
      <c r="S4" s="3" t="s">
        <v>240</v>
      </c>
      <c r="T4" s="3" t="s">
        <v>240</v>
      </c>
      <c r="U4" s="3" t="s">
        <v>240</v>
      </c>
      <c r="V4" s="3" t="s">
        <v>240</v>
      </c>
      <c r="W4" s="5" t="s">
        <v>245</v>
      </c>
    </row>
    <row r="5" spans="1:23" x14ac:dyDescent="0.25">
      <c r="D5" s="196">
        <v>45138</v>
      </c>
      <c r="E5" s="196">
        <v>45169</v>
      </c>
      <c r="F5" s="196">
        <v>45199</v>
      </c>
      <c r="G5" s="196">
        <v>45230</v>
      </c>
      <c r="H5" s="196">
        <v>45260</v>
      </c>
      <c r="I5" s="196">
        <v>45291</v>
      </c>
      <c r="J5" s="196">
        <v>45292</v>
      </c>
      <c r="K5" s="196">
        <v>45323</v>
      </c>
      <c r="L5" s="196">
        <v>45352</v>
      </c>
      <c r="M5" s="196">
        <v>45383</v>
      </c>
      <c r="N5" s="196">
        <v>45413</v>
      </c>
      <c r="O5" s="196">
        <v>45444</v>
      </c>
      <c r="P5" s="196">
        <v>45474</v>
      </c>
      <c r="Q5" s="196">
        <v>45505</v>
      </c>
      <c r="R5" s="196">
        <v>45536</v>
      </c>
      <c r="S5" s="196">
        <v>45566</v>
      </c>
      <c r="T5" s="196">
        <v>45597</v>
      </c>
      <c r="U5" s="196">
        <v>45627</v>
      </c>
      <c r="V5" s="196">
        <v>45658</v>
      </c>
      <c r="W5" s="63" t="s">
        <v>19</v>
      </c>
    </row>
    <row r="6" spans="1:23" x14ac:dyDescent="0.25">
      <c r="A6" s="203" t="s">
        <v>238</v>
      </c>
      <c r="D6" s="206">
        <v>728250</v>
      </c>
      <c r="E6" s="206">
        <v>2234556</v>
      </c>
      <c r="F6" s="206">
        <v>2553327.5</v>
      </c>
      <c r="G6" s="206">
        <v>2806440</v>
      </c>
      <c r="H6" s="206">
        <v>2356495.5</v>
      </c>
      <c r="I6" s="206">
        <v>0</v>
      </c>
      <c r="J6" s="206">
        <v>0</v>
      </c>
      <c r="K6" s="206">
        <v>0</v>
      </c>
      <c r="L6" s="206">
        <v>1815135</v>
      </c>
      <c r="M6" s="206">
        <v>3308423</v>
      </c>
      <c r="N6" s="206">
        <v>2484738.5</v>
      </c>
      <c r="O6" s="206">
        <v>1354319</v>
      </c>
      <c r="P6" s="206">
        <v>0</v>
      </c>
      <c r="Q6" s="206">
        <v>0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191">
        <f t="shared" ref="W6:W11" si="0">SUM(K6:V6)</f>
        <v>8962615.5</v>
      </c>
    </row>
    <row r="7" spans="1:23" x14ac:dyDescent="0.25">
      <c r="A7" s="203" t="s">
        <v>237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  <c r="M7" s="206">
        <v>0</v>
      </c>
      <c r="N7" s="206">
        <v>0</v>
      </c>
      <c r="O7" s="206">
        <v>0</v>
      </c>
      <c r="P7" s="206">
        <v>0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206">
        <v>0</v>
      </c>
      <c r="W7" s="191">
        <f t="shared" si="0"/>
        <v>0</v>
      </c>
    </row>
    <row r="8" spans="1:23" x14ac:dyDescent="0.25">
      <c r="A8" s="203" t="s">
        <v>236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191">
        <f t="shared" si="0"/>
        <v>0</v>
      </c>
    </row>
    <row r="9" spans="1:23" x14ac:dyDescent="0.25">
      <c r="A9" s="203" t="s">
        <v>235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v>0</v>
      </c>
      <c r="P9" s="206">
        <v>0</v>
      </c>
      <c r="Q9" s="206">
        <v>0</v>
      </c>
      <c r="R9" s="206">
        <v>0</v>
      </c>
      <c r="S9" s="206">
        <v>0</v>
      </c>
      <c r="T9" s="206">
        <v>0</v>
      </c>
      <c r="U9" s="206">
        <v>0</v>
      </c>
      <c r="V9" s="206">
        <v>0</v>
      </c>
      <c r="W9" s="191">
        <f t="shared" si="0"/>
        <v>0</v>
      </c>
    </row>
    <row r="10" spans="1:23" x14ac:dyDescent="0.25">
      <c r="A10" s="203" t="s">
        <v>234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191">
        <f t="shared" si="0"/>
        <v>0</v>
      </c>
    </row>
    <row r="11" spans="1:23" ht="15.75" thickBot="1" x14ac:dyDescent="0.3">
      <c r="A11" s="203" t="s">
        <v>233</v>
      </c>
      <c r="D11" s="206">
        <v>0</v>
      </c>
      <c r="E11" s="206">
        <v>0</v>
      </c>
      <c r="F11" s="206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v>0</v>
      </c>
      <c r="P11" s="206">
        <v>0</v>
      </c>
      <c r="Q11" s="206">
        <v>0</v>
      </c>
      <c r="R11" s="206">
        <v>0</v>
      </c>
      <c r="S11" s="206">
        <v>0</v>
      </c>
      <c r="T11" s="206">
        <v>0</v>
      </c>
      <c r="U11" s="206">
        <v>0</v>
      </c>
      <c r="V11" s="206">
        <v>0</v>
      </c>
      <c r="W11" s="191">
        <f t="shared" si="0"/>
        <v>0</v>
      </c>
    </row>
    <row r="12" spans="1:23" ht="15.75" thickBot="1" x14ac:dyDescent="0.3">
      <c r="A12" s="203"/>
      <c r="D12" s="205">
        <f t="shared" ref="D12:W12" si="1">SUM(D6:D11)</f>
        <v>728250</v>
      </c>
      <c r="E12" s="205">
        <f t="shared" si="1"/>
        <v>2234556</v>
      </c>
      <c r="F12" s="205">
        <f t="shared" si="1"/>
        <v>2553327.5</v>
      </c>
      <c r="G12" s="205">
        <f t="shared" si="1"/>
        <v>2806440</v>
      </c>
      <c r="H12" s="205">
        <f t="shared" si="1"/>
        <v>2356495.5</v>
      </c>
      <c r="I12" s="205">
        <f t="shared" si="1"/>
        <v>0</v>
      </c>
      <c r="J12" s="205">
        <f t="shared" si="1"/>
        <v>0</v>
      </c>
      <c r="K12" s="205">
        <f t="shared" si="1"/>
        <v>0</v>
      </c>
      <c r="L12" s="205">
        <f t="shared" si="1"/>
        <v>1815135</v>
      </c>
      <c r="M12" s="205">
        <f t="shared" si="1"/>
        <v>3308423</v>
      </c>
      <c r="N12" s="205">
        <f t="shared" si="1"/>
        <v>2484738.5</v>
      </c>
      <c r="O12" s="205">
        <f t="shared" si="1"/>
        <v>1354319</v>
      </c>
      <c r="P12" s="205">
        <f t="shared" si="1"/>
        <v>0</v>
      </c>
      <c r="Q12" s="205">
        <f t="shared" si="1"/>
        <v>0</v>
      </c>
      <c r="R12" s="205">
        <f t="shared" si="1"/>
        <v>0</v>
      </c>
      <c r="S12" s="205">
        <f t="shared" si="1"/>
        <v>0</v>
      </c>
      <c r="T12" s="205">
        <f t="shared" si="1"/>
        <v>0</v>
      </c>
      <c r="U12" s="205">
        <f t="shared" si="1"/>
        <v>0</v>
      </c>
      <c r="V12" s="210">
        <f t="shared" si="1"/>
        <v>0</v>
      </c>
      <c r="W12" s="199">
        <f t="shared" si="1"/>
        <v>8962615.5</v>
      </c>
    </row>
    <row r="13" spans="1:23" x14ac:dyDescent="0.25">
      <c r="M13" s="3"/>
    </row>
    <row r="14" spans="1:23" x14ac:dyDescent="0.25"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1:23" x14ac:dyDescent="0.25">
      <c r="A15" s="1" t="s">
        <v>253</v>
      </c>
      <c r="B15" s="322" t="s">
        <v>252</v>
      </c>
      <c r="C15" s="322"/>
      <c r="D15" s="3" t="s">
        <v>240</v>
      </c>
      <c r="E15" s="3" t="s">
        <v>240</v>
      </c>
      <c r="F15" s="3" t="s">
        <v>240</v>
      </c>
      <c r="G15" s="3" t="s">
        <v>240</v>
      </c>
      <c r="H15" s="3" t="s">
        <v>240</v>
      </c>
      <c r="I15" s="3" t="s">
        <v>240</v>
      </c>
      <c r="J15" s="3" t="s">
        <v>240</v>
      </c>
      <c r="K15" s="3" t="s">
        <v>240</v>
      </c>
      <c r="L15" s="3" t="s">
        <v>240</v>
      </c>
      <c r="M15" s="3" t="s">
        <v>240</v>
      </c>
      <c r="N15" s="3" t="s">
        <v>240</v>
      </c>
      <c r="O15" s="3" t="s">
        <v>240</v>
      </c>
      <c r="P15" s="3" t="s">
        <v>240</v>
      </c>
      <c r="Q15" s="3" t="s">
        <v>240</v>
      </c>
      <c r="R15" s="3" t="s">
        <v>240</v>
      </c>
      <c r="S15" s="3" t="s">
        <v>240</v>
      </c>
      <c r="T15" s="3" t="s">
        <v>240</v>
      </c>
      <c r="U15" s="3" t="s">
        <v>240</v>
      </c>
      <c r="V15" s="3" t="s">
        <v>240</v>
      </c>
      <c r="W15" s="5" t="s">
        <v>245</v>
      </c>
    </row>
    <row r="16" spans="1:23" x14ac:dyDescent="0.25">
      <c r="B16" s="3" t="s">
        <v>9</v>
      </c>
      <c r="C16" s="3" t="s">
        <v>254</v>
      </c>
      <c r="D16" s="196">
        <v>45138</v>
      </c>
      <c r="E16" s="196">
        <v>45169</v>
      </c>
      <c r="F16" s="196">
        <v>45199</v>
      </c>
      <c r="G16" s="196">
        <v>45230</v>
      </c>
      <c r="H16" s="196">
        <v>45260</v>
      </c>
      <c r="I16" s="196">
        <v>45291</v>
      </c>
      <c r="J16" s="196">
        <v>45292</v>
      </c>
      <c r="K16" s="196">
        <v>45323</v>
      </c>
      <c r="L16" s="196">
        <v>45352</v>
      </c>
      <c r="M16" s="196">
        <v>45383</v>
      </c>
      <c r="N16" s="196">
        <v>45413</v>
      </c>
      <c r="O16" s="196">
        <v>45444</v>
      </c>
      <c r="P16" s="196">
        <v>45474</v>
      </c>
      <c r="Q16" s="196">
        <v>45505</v>
      </c>
      <c r="R16" s="196">
        <v>45536</v>
      </c>
      <c r="S16" s="196">
        <v>45566</v>
      </c>
      <c r="T16" s="196">
        <v>45597</v>
      </c>
      <c r="U16" s="196">
        <v>45627</v>
      </c>
      <c r="V16" s="196">
        <v>45658</v>
      </c>
      <c r="W16" s="63" t="s">
        <v>19</v>
      </c>
    </row>
    <row r="17" spans="1:23" x14ac:dyDescent="0.25">
      <c r="A17" s="203" t="s">
        <v>238</v>
      </c>
      <c r="B17" s="216">
        <v>2.2599999999999999E-2</v>
      </c>
      <c r="C17" s="216">
        <v>2.2599999999999999E-2</v>
      </c>
      <c r="D17" s="209">
        <f t="shared" ref="D17:J22" si="2">D6*$B17</f>
        <v>16458.45</v>
      </c>
      <c r="E17" s="209">
        <f t="shared" si="2"/>
        <v>50500.965599999996</v>
      </c>
      <c r="F17" s="209">
        <f t="shared" si="2"/>
        <v>57705.201499999996</v>
      </c>
      <c r="G17" s="209">
        <f t="shared" si="2"/>
        <v>63425.543999999994</v>
      </c>
      <c r="H17" s="209">
        <f t="shared" si="2"/>
        <v>53256.798299999995</v>
      </c>
      <c r="I17" s="209">
        <f t="shared" si="2"/>
        <v>0</v>
      </c>
      <c r="J17" s="209">
        <f t="shared" si="2"/>
        <v>0</v>
      </c>
      <c r="K17" s="209">
        <f t="shared" ref="K17:V17" si="3">K6*$C17</f>
        <v>0</v>
      </c>
      <c r="L17" s="209">
        <f t="shared" si="3"/>
        <v>41022.050999999999</v>
      </c>
      <c r="M17" s="209">
        <f t="shared" si="3"/>
        <v>74770.359799999991</v>
      </c>
      <c r="N17" s="209">
        <f t="shared" si="3"/>
        <v>56155.090099999994</v>
      </c>
      <c r="O17" s="209">
        <f t="shared" si="3"/>
        <v>30607.609399999998</v>
      </c>
      <c r="P17" s="209">
        <f t="shared" si="3"/>
        <v>0</v>
      </c>
      <c r="Q17" s="209">
        <f t="shared" si="3"/>
        <v>0</v>
      </c>
      <c r="R17" s="209">
        <f t="shared" si="3"/>
        <v>0</v>
      </c>
      <c r="S17" s="209">
        <f t="shared" si="3"/>
        <v>0</v>
      </c>
      <c r="T17" s="209">
        <f t="shared" si="3"/>
        <v>0</v>
      </c>
      <c r="U17" s="209">
        <f t="shared" si="3"/>
        <v>0</v>
      </c>
      <c r="V17" s="209">
        <f t="shared" si="3"/>
        <v>0</v>
      </c>
      <c r="W17" s="191">
        <f t="shared" ref="W17:W22" si="4">SUM(K17:V17)</f>
        <v>202555.11029999997</v>
      </c>
    </row>
    <row r="18" spans="1:23" x14ac:dyDescent="0.25">
      <c r="A18" s="203" t="s">
        <v>237</v>
      </c>
      <c r="B18" s="217">
        <v>0</v>
      </c>
      <c r="C18" s="217">
        <v>0</v>
      </c>
      <c r="D18" s="209">
        <f t="shared" si="2"/>
        <v>0</v>
      </c>
      <c r="E18" s="209">
        <f t="shared" si="2"/>
        <v>0</v>
      </c>
      <c r="F18" s="209">
        <f t="shared" si="2"/>
        <v>0</v>
      </c>
      <c r="G18" s="209">
        <f t="shared" si="2"/>
        <v>0</v>
      </c>
      <c r="H18" s="209">
        <f t="shared" si="2"/>
        <v>0</v>
      </c>
      <c r="I18" s="209">
        <f t="shared" si="2"/>
        <v>0</v>
      </c>
      <c r="J18" s="209">
        <f t="shared" si="2"/>
        <v>0</v>
      </c>
      <c r="K18" s="209">
        <f t="shared" ref="K18:V18" si="5">K7*$C18</f>
        <v>0</v>
      </c>
      <c r="L18" s="209">
        <f t="shared" si="5"/>
        <v>0</v>
      </c>
      <c r="M18" s="209">
        <f t="shared" si="5"/>
        <v>0</v>
      </c>
      <c r="N18" s="209">
        <f t="shared" si="5"/>
        <v>0</v>
      </c>
      <c r="O18" s="209">
        <f t="shared" si="5"/>
        <v>0</v>
      </c>
      <c r="P18" s="209">
        <f t="shared" si="5"/>
        <v>0</v>
      </c>
      <c r="Q18" s="209">
        <f t="shared" si="5"/>
        <v>0</v>
      </c>
      <c r="R18" s="209">
        <f t="shared" si="5"/>
        <v>0</v>
      </c>
      <c r="S18" s="209">
        <f t="shared" si="5"/>
        <v>0</v>
      </c>
      <c r="T18" s="209">
        <f t="shared" si="5"/>
        <v>0</v>
      </c>
      <c r="U18" s="209">
        <f t="shared" si="5"/>
        <v>0</v>
      </c>
      <c r="V18" s="209">
        <f t="shared" si="5"/>
        <v>0</v>
      </c>
      <c r="W18" s="191">
        <f t="shared" si="4"/>
        <v>0</v>
      </c>
    </row>
    <row r="19" spans="1:23" x14ac:dyDescent="0.25">
      <c r="A19" s="203" t="s">
        <v>236</v>
      </c>
      <c r="B19" s="217">
        <v>0</v>
      </c>
      <c r="C19" s="217">
        <v>0</v>
      </c>
      <c r="D19" s="209">
        <f t="shared" si="2"/>
        <v>0</v>
      </c>
      <c r="E19" s="209">
        <f t="shared" si="2"/>
        <v>0</v>
      </c>
      <c r="F19" s="209">
        <f t="shared" si="2"/>
        <v>0</v>
      </c>
      <c r="G19" s="209">
        <f t="shared" si="2"/>
        <v>0</v>
      </c>
      <c r="H19" s="209">
        <f t="shared" si="2"/>
        <v>0</v>
      </c>
      <c r="I19" s="209">
        <f t="shared" si="2"/>
        <v>0</v>
      </c>
      <c r="J19" s="209">
        <f t="shared" si="2"/>
        <v>0</v>
      </c>
      <c r="K19" s="209">
        <f t="shared" ref="K19:V19" si="6">K8*$C19</f>
        <v>0</v>
      </c>
      <c r="L19" s="209">
        <f t="shared" si="6"/>
        <v>0</v>
      </c>
      <c r="M19" s="209">
        <f t="shared" si="6"/>
        <v>0</v>
      </c>
      <c r="N19" s="209">
        <f t="shared" si="6"/>
        <v>0</v>
      </c>
      <c r="O19" s="209">
        <f t="shared" si="6"/>
        <v>0</v>
      </c>
      <c r="P19" s="209">
        <f t="shared" si="6"/>
        <v>0</v>
      </c>
      <c r="Q19" s="209">
        <f t="shared" si="6"/>
        <v>0</v>
      </c>
      <c r="R19" s="209">
        <f t="shared" si="6"/>
        <v>0</v>
      </c>
      <c r="S19" s="209">
        <f t="shared" si="6"/>
        <v>0</v>
      </c>
      <c r="T19" s="209">
        <f t="shared" si="6"/>
        <v>0</v>
      </c>
      <c r="U19" s="209">
        <f t="shared" si="6"/>
        <v>0</v>
      </c>
      <c r="V19" s="209">
        <f t="shared" si="6"/>
        <v>0</v>
      </c>
      <c r="W19" s="191">
        <f t="shared" si="4"/>
        <v>0</v>
      </c>
    </row>
    <row r="20" spans="1:23" x14ac:dyDescent="0.25">
      <c r="A20" s="203" t="s">
        <v>235</v>
      </c>
      <c r="B20" s="217">
        <v>0</v>
      </c>
      <c r="C20" s="217">
        <v>0</v>
      </c>
      <c r="D20" s="209">
        <f t="shared" si="2"/>
        <v>0</v>
      </c>
      <c r="E20" s="209">
        <f t="shared" si="2"/>
        <v>0</v>
      </c>
      <c r="F20" s="209">
        <f t="shared" si="2"/>
        <v>0</v>
      </c>
      <c r="G20" s="209">
        <f t="shared" si="2"/>
        <v>0</v>
      </c>
      <c r="H20" s="209">
        <f t="shared" si="2"/>
        <v>0</v>
      </c>
      <c r="I20" s="209">
        <f t="shared" si="2"/>
        <v>0</v>
      </c>
      <c r="J20" s="209">
        <f t="shared" si="2"/>
        <v>0</v>
      </c>
      <c r="K20" s="209">
        <f t="shared" ref="K20:V20" si="7">K9*$C20</f>
        <v>0</v>
      </c>
      <c r="L20" s="209">
        <f t="shared" si="7"/>
        <v>0</v>
      </c>
      <c r="M20" s="209">
        <f t="shared" si="7"/>
        <v>0</v>
      </c>
      <c r="N20" s="209">
        <f t="shared" si="7"/>
        <v>0</v>
      </c>
      <c r="O20" s="209">
        <f t="shared" si="7"/>
        <v>0</v>
      </c>
      <c r="P20" s="209">
        <f t="shared" si="7"/>
        <v>0</v>
      </c>
      <c r="Q20" s="209">
        <f t="shared" si="7"/>
        <v>0</v>
      </c>
      <c r="R20" s="209">
        <f t="shared" si="7"/>
        <v>0</v>
      </c>
      <c r="S20" s="209">
        <f t="shared" si="7"/>
        <v>0</v>
      </c>
      <c r="T20" s="209">
        <f t="shared" si="7"/>
        <v>0</v>
      </c>
      <c r="U20" s="209">
        <f t="shared" si="7"/>
        <v>0</v>
      </c>
      <c r="V20" s="209">
        <f t="shared" si="7"/>
        <v>0</v>
      </c>
      <c r="W20" s="191">
        <f t="shared" si="4"/>
        <v>0</v>
      </c>
    </row>
    <row r="21" spans="1:23" x14ac:dyDescent="0.25">
      <c r="A21" s="203" t="s">
        <v>234</v>
      </c>
      <c r="B21" s="217">
        <v>0</v>
      </c>
      <c r="C21" s="217">
        <v>0</v>
      </c>
      <c r="D21" s="209">
        <f t="shared" si="2"/>
        <v>0</v>
      </c>
      <c r="E21" s="209">
        <f t="shared" si="2"/>
        <v>0</v>
      </c>
      <c r="F21" s="209">
        <f t="shared" si="2"/>
        <v>0</v>
      </c>
      <c r="G21" s="209">
        <f t="shared" si="2"/>
        <v>0</v>
      </c>
      <c r="H21" s="209">
        <f t="shared" si="2"/>
        <v>0</v>
      </c>
      <c r="I21" s="209">
        <f t="shared" si="2"/>
        <v>0</v>
      </c>
      <c r="J21" s="209">
        <f t="shared" si="2"/>
        <v>0</v>
      </c>
      <c r="K21" s="209">
        <f t="shared" ref="K21:V21" si="8">K10*$C21</f>
        <v>0</v>
      </c>
      <c r="L21" s="209">
        <f t="shared" si="8"/>
        <v>0</v>
      </c>
      <c r="M21" s="209">
        <f t="shared" si="8"/>
        <v>0</v>
      </c>
      <c r="N21" s="209">
        <f t="shared" si="8"/>
        <v>0</v>
      </c>
      <c r="O21" s="209">
        <f t="shared" si="8"/>
        <v>0</v>
      </c>
      <c r="P21" s="209">
        <f t="shared" si="8"/>
        <v>0</v>
      </c>
      <c r="Q21" s="209">
        <f t="shared" si="8"/>
        <v>0</v>
      </c>
      <c r="R21" s="209">
        <f t="shared" si="8"/>
        <v>0</v>
      </c>
      <c r="S21" s="209">
        <f t="shared" si="8"/>
        <v>0</v>
      </c>
      <c r="T21" s="209">
        <f t="shared" si="8"/>
        <v>0</v>
      </c>
      <c r="U21" s="209">
        <f t="shared" si="8"/>
        <v>0</v>
      </c>
      <c r="V21" s="209">
        <f t="shared" si="8"/>
        <v>0</v>
      </c>
      <c r="W21" s="191">
        <f t="shared" si="4"/>
        <v>0</v>
      </c>
    </row>
    <row r="22" spans="1:23" ht="15.75" thickBot="1" x14ac:dyDescent="0.3">
      <c r="A22" s="203" t="s">
        <v>233</v>
      </c>
      <c r="B22" s="217">
        <v>0</v>
      </c>
      <c r="C22" s="217">
        <v>0</v>
      </c>
      <c r="D22" s="209">
        <f t="shared" si="2"/>
        <v>0</v>
      </c>
      <c r="E22" s="209">
        <f t="shared" si="2"/>
        <v>0</v>
      </c>
      <c r="F22" s="209">
        <f t="shared" si="2"/>
        <v>0</v>
      </c>
      <c r="G22" s="209">
        <f t="shared" si="2"/>
        <v>0</v>
      </c>
      <c r="H22" s="209">
        <f t="shared" si="2"/>
        <v>0</v>
      </c>
      <c r="I22" s="209">
        <f t="shared" si="2"/>
        <v>0</v>
      </c>
      <c r="J22" s="209">
        <f t="shared" si="2"/>
        <v>0</v>
      </c>
      <c r="K22" s="209">
        <f t="shared" ref="K22:V22" si="9">K11*$C22</f>
        <v>0</v>
      </c>
      <c r="L22" s="209">
        <f t="shared" si="9"/>
        <v>0</v>
      </c>
      <c r="M22" s="209">
        <f t="shared" si="9"/>
        <v>0</v>
      </c>
      <c r="N22" s="209">
        <f t="shared" si="9"/>
        <v>0</v>
      </c>
      <c r="O22" s="209">
        <f t="shared" si="9"/>
        <v>0</v>
      </c>
      <c r="P22" s="209">
        <f t="shared" si="9"/>
        <v>0</v>
      </c>
      <c r="Q22" s="209">
        <f t="shared" si="9"/>
        <v>0</v>
      </c>
      <c r="R22" s="209">
        <f t="shared" si="9"/>
        <v>0</v>
      </c>
      <c r="S22" s="209">
        <f t="shared" si="9"/>
        <v>0</v>
      </c>
      <c r="T22" s="209">
        <f t="shared" si="9"/>
        <v>0</v>
      </c>
      <c r="U22" s="209">
        <f t="shared" si="9"/>
        <v>0</v>
      </c>
      <c r="V22" s="209">
        <f t="shared" si="9"/>
        <v>0</v>
      </c>
      <c r="W22" s="191">
        <f t="shared" si="4"/>
        <v>0</v>
      </c>
    </row>
    <row r="23" spans="1:23" ht="15.75" thickBot="1" x14ac:dyDescent="0.3">
      <c r="A23" s="203"/>
      <c r="D23" s="205">
        <f t="shared" ref="D23:W23" si="10">SUM(D17:D22)</f>
        <v>16458.45</v>
      </c>
      <c r="E23" s="205">
        <f t="shared" si="10"/>
        <v>50500.965599999996</v>
      </c>
      <c r="F23" s="205">
        <f t="shared" si="10"/>
        <v>57705.201499999996</v>
      </c>
      <c r="G23" s="205">
        <f t="shared" si="10"/>
        <v>63425.543999999994</v>
      </c>
      <c r="H23" s="205">
        <f t="shared" si="10"/>
        <v>53256.798299999995</v>
      </c>
      <c r="I23" s="205">
        <f t="shared" si="10"/>
        <v>0</v>
      </c>
      <c r="J23" s="205">
        <f t="shared" si="10"/>
        <v>0</v>
      </c>
      <c r="K23" s="205">
        <f t="shared" si="10"/>
        <v>0</v>
      </c>
      <c r="L23" s="205">
        <f t="shared" si="10"/>
        <v>41022.050999999999</v>
      </c>
      <c r="M23" s="205">
        <f t="shared" si="10"/>
        <v>74770.359799999991</v>
      </c>
      <c r="N23" s="205">
        <f t="shared" si="10"/>
        <v>56155.090099999994</v>
      </c>
      <c r="O23" s="205">
        <f t="shared" si="10"/>
        <v>30607.609399999998</v>
      </c>
      <c r="P23" s="205">
        <f t="shared" si="10"/>
        <v>0</v>
      </c>
      <c r="Q23" s="205">
        <f t="shared" si="10"/>
        <v>0</v>
      </c>
      <c r="R23" s="205">
        <f t="shared" si="10"/>
        <v>0</v>
      </c>
      <c r="S23" s="205">
        <f t="shared" si="10"/>
        <v>0</v>
      </c>
      <c r="T23" s="205">
        <f t="shared" si="10"/>
        <v>0</v>
      </c>
      <c r="U23" s="205">
        <f t="shared" si="10"/>
        <v>0</v>
      </c>
      <c r="V23" s="210">
        <f t="shared" si="10"/>
        <v>0</v>
      </c>
      <c r="W23" s="199">
        <f t="shared" si="10"/>
        <v>202555.11029999997</v>
      </c>
    </row>
    <row r="24" spans="1:23" x14ac:dyDescent="0.25">
      <c r="A24" s="203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191"/>
    </row>
    <row r="25" spans="1:23" x14ac:dyDescent="0.25">
      <c r="D25" s="3"/>
      <c r="E25" s="3"/>
      <c r="F25" s="3"/>
      <c r="G25" s="3"/>
      <c r="H25" s="3"/>
      <c r="I25" s="3"/>
      <c r="J25" s="3"/>
      <c r="W25" s="198"/>
    </row>
    <row r="26" spans="1:23" x14ac:dyDescent="0.25">
      <c r="A26" s="1" t="s">
        <v>251</v>
      </c>
      <c r="B26" s="322" t="s">
        <v>252</v>
      </c>
      <c r="C26" s="322"/>
      <c r="D26" s="3" t="s">
        <v>240</v>
      </c>
      <c r="E26" s="3" t="s">
        <v>240</v>
      </c>
      <c r="F26" s="3" t="s">
        <v>240</v>
      </c>
      <c r="G26" s="3" t="s">
        <v>240</v>
      </c>
      <c r="H26" s="3" t="s">
        <v>240</v>
      </c>
      <c r="I26" s="3" t="s">
        <v>240</v>
      </c>
      <c r="J26" s="3" t="s">
        <v>240</v>
      </c>
      <c r="K26" s="3" t="s">
        <v>240</v>
      </c>
      <c r="L26" s="3" t="s">
        <v>240</v>
      </c>
      <c r="M26" s="3" t="s">
        <v>240</v>
      </c>
      <c r="N26" s="3" t="s">
        <v>240</v>
      </c>
      <c r="O26" s="3" t="s">
        <v>240</v>
      </c>
      <c r="P26" s="3" t="s">
        <v>240</v>
      </c>
      <c r="Q26" s="3" t="s">
        <v>240</v>
      </c>
      <c r="R26" s="3" t="s">
        <v>240</v>
      </c>
      <c r="S26" s="3" t="s">
        <v>240</v>
      </c>
      <c r="T26" s="3" t="s">
        <v>240</v>
      </c>
      <c r="U26" s="3" t="s">
        <v>240</v>
      </c>
      <c r="V26" s="3" t="s">
        <v>240</v>
      </c>
      <c r="W26" s="5" t="s">
        <v>245</v>
      </c>
    </row>
    <row r="27" spans="1:23" x14ac:dyDescent="0.25">
      <c r="B27" s="3" t="s">
        <v>9</v>
      </c>
      <c r="C27" s="3" t="s">
        <v>254</v>
      </c>
      <c r="D27" s="196">
        <v>45138</v>
      </c>
      <c r="E27" s="196">
        <v>45169</v>
      </c>
      <c r="F27" s="196">
        <v>45199</v>
      </c>
      <c r="G27" s="196">
        <v>45230</v>
      </c>
      <c r="H27" s="196">
        <v>45260</v>
      </c>
      <c r="I27" s="196">
        <v>45291</v>
      </c>
      <c r="J27" s="196">
        <v>45292</v>
      </c>
      <c r="K27" s="196">
        <v>45323</v>
      </c>
      <c r="L27" s="196">
        <v>45352</v>
      </c>
      <c r="M27" s="196">
        <v>45383</v>
      </c>
      <c r="N27" s="196">
        <v>45413</v>
      </c>
      <c r="O27" s="196">
        <v>45444</v>
      </c>
      <c r="P27" s="196">
        <v>45474</v>
      </c>
      <c r="Q27" s="196">
        <v>45505</v>
      </c>
      <c r="R27" s="196">
        <v>45536</v>
      </c>
      <c r="S27" s="196">
        <v>45566</v>
      </c>
      <c r="T27" s="196">
        <v>45597</v>
      </c>
      <c r="U27" s="196">
        <v>45627</v>
      </c>
      <c r="V27" s="196">
        <v>45658</v>
      </c>
      <c r="W27" s="63" t="s">
        <v>19</v>
      </c>
    </row>
    <row r="28" spans="1:23" x14ac:dyDescent="0.25">
      <c r="A28" s="203" t="s">
        <v>238</v>
      </c>
      <c r="B28" s="208">
        <v>0.1</v>
      </c>
      <c r="C28" s="208">
        <v>0.23</v>
      </c>
      <c r="D28" s="209">
        <f t="shared" ref="D28:J33" si="11">D6*$B28</f>
        <v>72825</v>
      </c>
      <c r="E28" s="209">
        <f t="shared" si="11"/>
        <v>223455.6</v>
      </c>
      <c r="F28" s="209">
        <f t="shared" si="11"/>
        <v>255332.75</v>
      </c>
      <c r="G28" s="209">
        <f t="shared" si="11"/>
        <v>280644</v>
      </c>
      <c r="H28" s="209">
        <f t="shared" si="11"/>
        <v>235649.55000000002</v>
      </c>
      <c r="I28" s="209">
        <f t="shared" si="11"/>
        <v>0</v>
      </c>
      <c r="J28" s="209">
        <f t="shared" si="11"/>
        <v>0</v>
      </c>
      <c r="K28" s="209">
        <f t="shared" ref="K28:V28" si="12">K6*$C28</f>
        <v>0</v>
      </c>
      <c r="L28" s="209">
        <f t="shared" si="12"/>
        <v>417481.05000000005</v>
      </c>
      <c r="M28" s="209">
        <f t="shared" si="12"/>
        <v>760937.29</v>
      </c>
      <c r="N28" s="209">
        <f t="shared" si="12"/>
        <v>571489.85499999998</v>
      </c>
      <c r="O28" s="209">
        <f t="shared" si="12"/>
        <v>311493.37</v>
      </c>
      <c r="P28" s="209">
        <f t="shared" si="12"/>
        <v>0</v>
      </c>
      <c r="Q28" s="209">
        <f t="shared" si="12"/>
        <v>0</v>
      </c>
      <c r="R28" s="209">
        <f t="shared" si="12"/>
        <v>0</v>
      </c>
      <c r="S28" s="209">
        <f t="shared" si="12"/>
        <v>0</v>
      </c>
      <c r="T28" s="209">
        <f t="shared" si="12"/>
        <v>0</v>
      </c>
      <c r="U28" s="209">
        <f t="shared" si="12"/>
        <v>0</v>
      </c>
      <c r="V28" s="209">
        <f t="shared" si="12"/>
        <v>0</v>
      </c>
      <c r="W28" s="191">
        <f t="shared" ref="W28:W33" si="13">SUM(K28:V28)</f>
        <v>2061401.5649999999</v>
      </c>
    </row>
    <row r="29" spans="1:23" x14ac:dyDescent="0.25">
      <c r="A29" s="203" t="s">
        <v>237</v>
      </c>
      <c r="B29" s="217">
        <v>0</v>
      </c>
      <c r="C29" s="217">
        <v>0</v>
      </c>
      <c r="D29" s="209">
        <f t="shared" si="11"/>
        <v>0</v>
      </c>
      <c r="E29" s="209">
        <f t="shared" si="11"/>
        <v>0</v>
      </c>
      <c r="F29" s="209">
        <f t="shared" si="11"/>
        <v>0</v>
      </c>
      <c r="G29" s="209">
        <f t="shared" si="11"/>
        <v>0</v>
      </c>
      <c r="H29" s="209">
        <f t="shared" si="11"/>
        <v>0</v>
      </c>
      <c r="I29" s="209">
        <f t="shared" si="11"/>
        <v>0</v>
      </c>
      <c r="J29" s="209">
        <f t="shared" si="11"/>
        <v>0</v>
      </c>
      <c r="K29" s="209">
        <f t="shared" ref="K29:V29" si="14">K7*$C29</f>
        <v>0</v>
      </c>
      <c r="L29" s="209">
        <f t="shared" si="14"/>
        <v>0</v>
      </c>
      <c r="M29" s="209">
        <f t="shared" si="14"/>
        <v>0</v>
      </c>
      <c r="N29" s="209">
        <f t="shared" si="14"/>
        <v>0</v>
      </c>
      <c r="O29" s="209">
        <f t="shared" si="14"/>
        <v>0</v>
      </c>
      <c r="P29" s="209">
        <f t="shared" si="14"/>
        <v>0</v>
      </c>
      <c r="Q29" s="209">
        <f t="shared" si="14"/>
        <v>0</v>
      </c>
      <c r="R29" s="209">
        <f t="shared" si="14"/>
        <v>0</v>
      </c>
      <c r="S29" s="209">
        <f t="shared" si="14"/>
        <v>0</v>
      </c>
      <c r="T29" s="209">
        <f t="shared" si="14"/>
        <v>0</v>
      </c>
      <c r="U29" s="209">
        <f t="shared" si="14"/>
        <v>0</v>
      </c>
      <c r="V29" s="209">
        <f t="shared" si="14"/>
        <v>0</v>
      </c>
      <c r="W29" s="191">
        <f t="shared" si="13"/>
        <v>0</v>
      </c>
    </row>
    <row r="30" spans="1:23" x14ac:dyDescent="0.25">
      <c r="A30" s="203" t="s">
        <v>236</v>
      </c>
      <c r="B30" s="217">
        <v>0</v>
      </c>
      <c r="C30" s="217">
        <v>0</v>
      </c>
      <c r="D30" s="209">
        <f t="shared" si="11"/>
        <v>0</v>
      </c>
      <c r="E30" s="209">
        <f t="shared" si="11"/>
        <v>0</v>
      </c>
      <c r="F30" s="209">
        <f t="shared" si="11"/>
        <v>0</v>
      </c>
      <c r="G30" s="209">
        <f t="shared" si="11"/>
        <v>0</v>
      </c>
      <c r="H30" s="209">
        <f t="shared" si="11"/>
        <v>0</v>
      </c>
      <c r="I30" s="209">
        <f t="shared" si="11"/>
        <v>0</v>
      </c>
      <c r="J30" s="209">
        <f t="shared" si="11"/>
        <v>0</v>
      </c>
      <c r="K30" s="209">
        <f t="shared" ref="K30:V30" si="15">K8*$C30</f>
        <v>0</v>
      </c>
      <c r="L30" s="209">
        <f t="shared" si="15"/>
        <v>0</v>
      </c>
      <c r="M30" s="209">
        <f t="shared" si="15"/>
        <v>0</v>
      </c>
      <c r="N30" s="209">
        <f t="shared" si="15"/>
        <v>0</v>
      </c>
      <c r="O30" s="209">
        <f t="shared" si="15"/>
        <v>0</v>
      </c>
      <c r="P30" s="209">
        <f t="shared" si="15"/>
        <v>0</v>
      </c>
      <c r="Q30" s="209">
        <f t="shared" si="15"/>
        <v>0</v>
      </c>
      <c r="R30" s="209">
        <f t="shared" si="15"/>
        <v>0</v>
      </c>
      <c r="S30" s="209">
        <f t="shared" si="15"/>
        <v>0</v>
      </c>
      <c r="T30" s="209">
        <f t="shared" si="15"/>
        <v>0</v>
      </c>
      <c r="U30" s="209">
        <f t="shared" si="15"/>
        <v>0</v>
      </c>
      <c r="V30" s="209">
        <f t="shared" si="15"/>
        <v>0</v>
      </c>
      <c r="W30" s="191">
        <f t="shared" si="13"/>
        <v>0</v>
      </c>
    </row>
    <row r="31" spans="1:23" x14ac:dyDescent="0.25">
      <c r="A31" s="203" t="s">
        <v>235</v>
      </c>
      <c r="B31" s="217">
        <v>0</v>
      </c>
      <c r="C31" s="217">
        <v>0</v>
      </c>
      <c r="D31" s="209">
        <f t="shared" si="11"/>
        <v>0</v>
      </c>
      <c r="E31" s="209">
        <f t="shared" si="11"/>
        <v>0</v>
      </c>
      <c r="F31" s="209">
        <f t="shared" si="11"/>
        <v>0</v>
      </c>
      <c r="G31" s="209">
        <f t="shared" si="11"/>
        <v>0</v>
      </c>
      <c r="H31" s="209">
        <f t="shared" si="11"/>
        <v>0</v>
      </c>
      <c r="I31" s="209">
        <f t="shared" si="11"/>
        <v>0</v>
      </c>
      <c r="J31" s="209">
        <f t="shared" si="11"/>
        <v>0</v>
      </c>
      <c r="K31" s="209">
        <f t="shared" ref="K31:V31" si="16">K9*$C31</f>
        <v>0</v>
      </c>
      <c r="L31" s="209">
        <f t="shared" si="16"/>
        <v>0</v>
      </c>
      <c r="M31" s="209">
        <f t="shared" si="16"/>
        <v>0</v>
      </c>
      <c r="N31" s="209">
        <f t="shared" si="16"/>
        <v>0</v>
      </c>
      <c r="O31" s="209">
        <f t="shared" si="16"/>
        <v>0</v>
      </c>
      <c r="P31" s="209">
        <f t="shared" si="16"/>
        <v>0</v>
      </c>
      <c r="Q31" s="209">
        <f t="shared" si="16"/>
        <v>0</v>
      </c>
      <c r="R31" s="209">
        <f t="shared" si="16"/>
        <v>0</v>
      </c>
      <c r="S31" s="209">
        <f t="shared" si="16"/>
        <v>0</v>
      </c>
      <c r="T31" s="209">
        <f t="shared" si="16"/>
        <v>0</v>
      </c>
      <c r="U31" s="209">
        <f t="shared" si="16"/>
        <v>0</v>
      </c>
      <c r="V31" s="209">
        <f t="shared" si="16"/>
        <v>0</v>
      </c>
      <c r="W31" s="191">
        <f t="shared" si="13"/>
        <v>0</v>
      </c>
    </row>
    <row r="32" spans="1:23" x14ac:dyDescent="0.25">
      <c r="A32" s="203" t="s">
        <v>234</v>
      </c>
      <c r="B32" s="217">
        <v>0</v>
      </c>
      <c r="C32" s="217">
        <v>0</v>
      </c>
      <c r="D32" s="209">
        <f t="shared" si="11"/>
        <v>0</v>
      </c>
      <c r="E32" s="209">
        <f t="shared" si="11"/>
        <v>0</v>
      </c>
      <c r="F32" s="209">
        <f t="shared" si="11"/>
        <v>0</v>
      </c>
      <c r="G32" s="209">
        <f t="shared" si="11"/>
        <v>0</v>
      </c>
      <c r="H32" s="209">
        <f t="shared" si="11"/>
        <v>0</v>
      </c>
      <c r="I32" s="209">
        <f t="shared" si="11"/>
        <v>0</v>
      </c>
      <c r="J32" s="209">
        <f t="shared" si="11"/>
        <v>0</v>
      </c>
      <c r="K32" s="209">
        <f t="shared" ref="K32:V32" si="17">K10*$C32</f>
        <v>0</v>
      </c>
      <c r="L32" s="209">
        <f t="shared" si="17"/>
        <v>0</v>
      </c>
      <c r="M32" s="209">
        <f t="shared" si="17"/>
        <v>0</v>
      </c>
      <c r="N32" s="209">
        <f t="shared" si="17"/>
        <v>0</v>
      </c>
      <c r="O32" s="209">
        <f t="shared" si="17"/>
        <v>0</v>
      </c>
      <c r="P32" s="209">
        <f t="shared" si="17"/>
        <v>0</v>
      </c>
      <c r="Q32" s="209">
        <f t="shared" si="17"/>
        <v>0</v>
      </c>
      <c r="R32" s="209">
        <f t="shared" si="17"/>
        <v>0</v>
      </c>
      <c r="S32" s="209">
        <f t="shared" si="17"/>
        <v>0</v>
      </c>
      <c r="T32" s="209">
        <f t="shared" si="17"/>
        <v>0</v>
      </c>
      <c r="U32" s="209">
        <f t="shared" si="17"/>
        <v>0</v>
      </c>
      <c r="V32" s="209">
        <f t="shared" si="17"/>
        <v>0</v>
      </c>
      <c r="W32" s="191">
        <f t="shared" si="13"/>
        <v>0</v>
      </c>
    </row>
    <row r="33" spans="1:23" ht="15.75" thickBot="1" x14ac:dyDescent="0.3">
      <c r="A33" s="203" t="s">
        <v>233</v>
      </c>
      <c r="B33" s="217">
        <v>0</v>
      </c>
      <c r="C33" s="217">
        <v>0</v>
      </c>
      <c r="D33" s="209">
        <f t="shared" si="11"/>
        <v>0</v>
      </c>
      <c r="E33" s="209">
        <f t="shared" si="11"/>
        <v>0</v>
      </c>
      <c r="F33" s="209">
        <f t="shared" si="11"/>
        <v>0</v>
      </c>
      <c r="G33" s="209">
        <f t="shared" si="11"/>
        <v>0</v>
      </c>
      <c r="H33" s="209">
        <f t="shared" si="11"/>
        <v>0</v>
      </c>
      <c r="I33" s="209">
        <f t="shared" si="11"/>
        <v>0</v>
      </c>
      <c r="J33" s="209">
        <f t="shared" si="11"/>
        <v>0</v>
      </c>
      <c r="K33" s="209">
        <f t="shared" ref="K33:V33" si="18">K11*$C33</f>
        <v>0</v>
      </c>
      <c r="L33" s="209">
        <f t="shared" si="18"/>
        <v>0</v>
      </c>
      <c r="M33" s="209">
        <f t="shared" si="18"/>
        <v>0</v>
      </c>
      <c r="N33" s="209">
        <f t="shared" si="18"/>
        <v>0</v>
      </c>
      <c r="O33" s="209">
        <f t="shared" si="18"/>
        <v>0</v>
      </c>
      <c r="P33" s="209">
        <f t="shared" si="18"/>
        <v>0</v>
      </c>
      <c r="Q33" s="209">
        <f t="shared" si="18"/>
        <v>0</v>
      </c>
      <c r="R33" s="209">
        <f t="shared" si="18"/>
        <v>0</v>
      </c>
      <c r="S33" s="209">
        <f t="shared" si="18"/>
        <v>0</v>
      </c>
      <c r="T33" s="209">
        <f t="shared" si="18"/>
        <v>0</v>
      </c>
      <c r="U33" s="209">
        <f t="shared" si="18"/>
        <v>0</v>
      </c>
      <c r="V33" s="209">
        <f t="shared" si="18"/>
        <v>0</v>
      </c>
      <c r="W33" s="191">
        <f t="shared" si="13"/>
        <v>0</v>
      </c>
    </row>
    <row r="34" spans="1:23" ht="15.75" thickBot="1" x14ac:dyDescent="0.3">
      <c r="A34" s="203"/>
      <c r="D34" s="205">
        <f t="shared" ref="D34:W34" si="19">SUM(D28:D33)</f>
        <v>72825</v>
      </c>
      <c r="E34" s="205">
        <f t="shared" si="19"/>
        <v>223455.6</v>
      </c>
      <c r="F34" s="205">
        <f t="shared" si="19"/>
        <v>255332.75</v>
      </c>
      <c r="G34" s="205">
        <f t="shared" si="19"/>
        <v>280644</v>
      </c>
      <c r="H34" s="205">
        <f t="shared" si="19"/>
        <v>235649.55000000002</v>
      </c>
      <c r="I34" s="205">
        <f t="shared" si="19"/>
        <v>0</v>
      </c>
      <c r="J34" s="205">
        <f t="shared" si="19"/>
        <v>0</v>
      </c>
      <c r="K34" s="205">
        <f t="shared" si="19"/>
        <v>0</v>
      </c>
      <c r="L34" s="205">
        <f t="shared" si="19"/>
        <v>417481.05000000005</v>
      </c>
      <c r="M34" s="205">
        <f t="shared" si="19"/>
        <v>760937.29</v>
      </c>
      <c r="N34" s="205">
        <f t="shared" si="19"/>
        <v>571489.85499999998</v>
      </c>
      <c r="O34" s="205">
        <f t="shared" si="19"/>
        <v>311493.37</v>
      </c>
      <c r="P34" s="205">
        <f t="shared" si="19"/>
        <v>0</v>
      </c>
      <c r="Q34" s="205">
        <f t="shared" si="19"/>
        <v>0</v>
      </c>
      <c r="R34" s="205">
        <f t="shared" si="19"/>
        <v>0</v>
      </c>
      <c r="S34" s="205">
        <f t="shared" si="19"/>
        <v>0</v>
      </c>
      <c r="T34" s="205">
        <f t="shared" si="19"/>
        <v>0</v>
      </c>
      <c r="U34" s="205">
        <f t="shared" si="19"/>
        <v>0</v>
      </c>
      <c r="V34" s="205">
        <f t="shared" si="19"/>
        <v>0</v>
      </c>
      <c r="W34" s="199">
        <f t="shared" si="19"/>
        <v>2061401.5649999999</v>
      </c>
    </row>
    <row r="35" spans="1:23" x14ac:dyDescent="0.25">
      <c r="M35" s="3"/>
    </row>
    <row r="36" spans="1:23" x14ac:dyDescent="0.25"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</row>
    <row r="37" spans="1:23" x14ac:dyDescent="0.25">
      <c r="A37" s="1" t="s">
        <v>249</v>
      </c>
      <c r="C37" s="3" t="s">
        <v>241</v>
      </c>
      <c r="D37" s="3" t="s">
        <v>240</v>
      </c>
      <c r="E37" s="3" t="s">
        <v>240</v>
      </c>
      <c r="F37" s="3" t="s">
        <v>240</v>
      </c>
      <c r="G37" s="3" t="s">
        <v>240</v>
      </c>
      <c r="H37" s="3" t="s">
        <v>240</v>
      </c>
      <c r="I37" s="3" t="s">
        <v>240</v>
      </c>
      <c r="J37" s="3" t="s">
        <v>240</v>
      </c>
      <c r="K37" s="3" t="s">
        <v>240</v>
      </c>
      <c r="L37" s="3" t="s">
        <v>240</v>
      </c>
      <c r="M37" s="3" t="s">
        <v>240</v>
      </c>
      <c r="N37" s="3" t="s">
        <v>240</v>
      </c>
      <c r="O37" s="3" t="s">
        <v>240</v>
      </c>
      <c r="P37" s="3" t="s">
        <v>240</v>
      </c>
      <c r="Q37" s="3" t="s">
        <v>240</v>
      </c>
      <c r="R37" s="3" t="s">
        <v>240</v>
      </c>
      <c r="S37" s="3" t="s">
        <v>240</v>
      </c>
      <c r="T37" s="3" t="s">
        <v>240</v>
      </c>
      <c r="U37" s="3" t="s">
        <v>240</v>
      </c>
      <c r="V37" s="3" t="s">
        <v>240</v>
      </c>
      <c r="W37" s="5" t="s">
        <v>239</v>
      </c>
    </row>
    <row r="38" spans="1:23" x14ac:dyDescent="0.25">
      <c r="C38" s="196">
        <v>45107</v>
      </c>
      <c r="D38" s="196">
        <v>45138</v>
      </c>
      <c r="E38" s="196">
        <v>45169</v>
      </c>
      <c r="F38" s="196">
        <v>45199</v>
      </c>
      <c r="G38" s="196">
        <v>45230</v>
      </c>
      <c r="H38" s="196">
        <v>45260</v>
      </c>
      <c r="I38" s="196">
        <v>45291</v>
      </c>
      <c r="J38" s="196">
        <v>45292</v>
      </c>
      <c r="K38" s="196">
        <v>45323</v>
      </c>
      <c r="L38" s="196">
        <v>45352</v>
      </c>
      <c r="M38" s="196">
        <v>45383</v>
      </c>
      <c r="N38" s="196">
        <v>45413</v>
      </c>
      <c r="O38" s="196">
        <v>45444</v>
      </c>
      <c r="P38" s="196">
        <v>45474</v>
      </c>
      <c r="Q38" s="196">
        <v>45505</v>
      </c>
      <c r="R38" s="196">
        <v>45536</v>
      </c>
      <c r="S38" s="196">
        <v>45566</v>
      </c>
      <c r="T38" s="196">
        <v>45597</v>
      </c>
      <c r="U38" s="196">
        <v>45627</v>
      </c>
      <c r="V38" s="196">
        <v>45658</v>
      </c>
      <c r="W38" s="195">
        <v>45688</v>
      </c>
    </row>
    <row r="39" spans="1:23" x14ac:dyDescent="0.25">
      <c r="A39" s="203" t="s">
        <v>238</v>
      </c>
      <c r="C39" s="206">
        <v>56337902</v>
      </c>
      <c r="D39" s="204">
        <f t="shared" ref="D39:V39" si="20">C39+D6-D17</f>
        <v>57049693.549999997</v>
      </c>
      <c r="E39" s="204">
        <f t="shared" si="20"/>
        <v>59233748.584399998</v>
      </c>
      <c r="F39" s="204">
        <f t="shared" si="20"/>
        <v>61729370.8829</v>
      </c>
      <c r="G39" s="204">
        <f t="shared" si="20"/>
        <v>64472385.3389</v>
      </c>
      <c r="H39" s="204">
        <f t="shared" si="20"/>
        <v>66775624.040600002</v>
      </c>
      <c r="I39" s="204">
        <f t="shared" si="20"/>
        <v>66775624.040600002</v>
      </c>
      <c r="J39" s="204">
        <f t="shared" si="20"/>
        <v>66775624.040600002</v>
      </c>
      <c r="K39" s="204">
        <f t="shared" si="20"/>
        <v>66775624.040600002</v>
      </c>
      <c r="L39" s="204">
        <f t="shared" si="20"/>
        <v>68549736.989600003</v>
      </c>
      <c r="M39" s="204">
        <f t="shared" si="20"/>
        <v>71783389.629800007</v>
      </c>
      <c r="N39" s="204">
        <f t="shared" si="20"/>
        <v>74211973.039700001</v>
      </c>
      <c r="O39" s="204">
        <f t="shared" si="20"/>
        <v>75535684.430299997</v>
      </c>
      <c r="P39" s="204">
        <f t="shared" si="20"/>
        <v>75535684.430299997</v>
      </c>
      <c r="Q39" s="204">
        <f t="shared" si="20"/>
        <v>75535684.430299997</v>
      </c>
      <c r="R39" s="204">
        <f t="shared" si="20"/>
        <v>75535684.430299997</v>
      </c>
      <c r="S39" s="204">
        <f t="shared" si="20"/>
        <v>75535684.430299997</v>
      </c>
      <c r="T39" s="204">
        <f t="shared" si="20"/>
        <v>75535684.430299997</v>
      </c>
      <c r="U39" s="204">
        <f t="shared" si="20"/>
        <v>75535684.430299997</v>
      </c>
      <c r="V39" s="204">
        <f t="shared" si="20"/>
        <v>75535684.430299997</v>
      </c>
      <c r="W39" s="191">
        <f t="shared" ref="W39:W44" si="21">AVERAGE(J39:V39)</f>
        <v>73260140.244823083</v>
      </c>
    </row>
    <row r="40" spans="1:23" x14ac:dyDescent="0.25">
      <c r="A40" s="203" t="s">
        <v>237</v>
      </c>
      <c r="C40" s="206">
        <v>151904.8780555556</v>
      </c>
      <c r="D40" s="204">
        <f t="shared" ref="D40:V40" si="22">C40+D7-D18</f>
        <v>151904.8780555556</v>
      </c>
      <c r="E40" s="204">
        <f t="shared" si="22"/>
        <v>151904.8780555556</v>
      </c>
      <c r="F40" s="204">
        <f t="shared" si="22"/>
        <v>151904.8780555556</v>
      </c>
      <c r="G40" s="204">
        <f t="shared" si="22"/>
        <v>151904.8780555556</v>
      </c>
      <c r="H40" s="204">
        <f t="shared" si="22"/>
        <v>151904.8780555556</v>
      </c>
      <c r="I40" s="204">
        <f t="shared" si="22"/>
        <v>151904.8780555556</v>
      </c>
      <c r="J40" s="204">
        <f t="shared" si="22"/>
        <v>151904.8780555556</v>
      </c>
      <c r="K40" s="204">
        <f t="shared" si="22"/>
        <v>151904.8780555556</v>
      </c>
      <c r="L40" s="204">
        <f t="shared" si="22"/>
        <v>151904.8780555556</v>
      </c>
      <c r="M40" s="204">
        <f t="shared" si="22"/>
        <v>151904.8780555556</v>
      </c>
      <c r="N40" s="204">
        <f t="shared" si="22"/>
        <v>151904.8780555556</v>
      </c>
      <c r="O40" s="204">
        <f t="shared" si="22"/>
        <v>151904.8780555556</v>
      </c>
      <c r="P40" s="204">
        <f t="shared" si="22"/>
        <v>151904.8780555556</v>
      </c>
      <c r="Q40" s="204">
        <f t="shared" si="22"/>
        <v>151904.8780555556</v>
      </c>
      <c r="R40" s="204">
        <f t="shared" si="22"/>
        <v>151904.8780555556</v>
      </c>
      <c r="S40" s="204">
        <f t="shared" si="22"/>
        <v>151904.8780555556</v>
      </c>
      <c r="T40" s="204">
        <f t="shared" si="22"/>
        <v>151904.8780555556</v>
      </c>
      <c r="U40" s="204">
        <f t="shared" si="22"/>
        <v>151904.8780555556</v>
      </c>
      <c r="V40" s="204">
        <f t="shared" si="22"/>
        <v>151904.8780555556</v>
      </c>
      <c r="W40" s="191">
        <f t="shared" si="21"/>
        <v>151904.87805555557</v>
      </c>
    </row>
    <row r="41" spans="1:23" x14ac:dyDescent="0.25">
      <c r="A41" s="203" t="s">
        <v>236</v>
      </c>
      <c r="C41" s="206">
        <v>1198.4227777777778</v>
      </c>
      <c r="D41" s="204">
        <f t="shared" ref="D41:V41" si="23">C41+D8-D19</f>
        <v>1198.4227777777778</v>
      </c>
      <c r="E41" s="204">
        <f t="shared" si="23"/>
        <v>1198.4227777777778</v>
      </c>
      <c r="F41" s="204">
        <f t="shared" si="23"/>
        <v>1198.4227777777778</v>
      </c>
      <c r="G41" s="204">
        <f t="shared" si="23"/>
        <v>1198.4227777777778</v>
      </c>
      <c r="H41" s="204">
        <f t="shared" si="23"/>
        <v>1198.4227777777778</v>
      </c>
      <c r="I41" s="204">
        <f t="shared" si="23"/>
        <v>1198.4227777777778</v>
      </c>
      <c r="J41" s="204">
        <f t="shared" si="23"/>
        <v>1198.4227777777778</v>
      </c>
      <c r="K41" s="204">
        <f t="shared" si="23"/>
        <v>1198.4227777777778</v>
      </c>
      <c r="L41" s="204">
        <f t="shared" si="23"/>
        <v>1198.4227777777778</v>
      </c>
      <c r="M41" s="204">
        <f t="shared" si="23"/>
        <v>1198.4227777777778</v>
      </c>
      <c r="N41" s="204">
        <f t="shared" si="23"/>
        <v>1198.4227777777778</v>
      </c>
      <c r="O41" s="204">
        <f t="shared" si="23"/>
        <v>1198.4227777777778</v>
      </c>
      <c r="P41" s="204">
        <f t="shared" si="23"/>
        <v>1198.4227777777778</v>
      </c>
      <c r="Q41" s="204">
        <f t="shared" si="23"/>
        <v>1198.4227777777778</v>
      </c>
      <c r="R41" s="204">
        <f t="shared" si="23"/>
        <v>1198.4227777777778</v>
      </c>
      <c r="S41" s="204">
        <f t="shared" si="23"/>
        <v>1198.4227777777778</v>
      </c>
      <c r="T41" s="204">
        <f t="shared" si="23"/>
        <v>1198.4227777777778</v>
      </c>
      <c r="U41" s="204">
        <f t="shared" si="23"/>
        <v>1198.4227777777778</v>
      </c>
      <c r="V41" s="204">
        <f t="shared" si="23"/>
        <v>1198.4227777777778</v>
      </c>
      <c r="W41" s="191">
        <f t="shared" si="21"/>
        <v>1198.4227777777778</v>
      </c>
    </row>
    <row r="42" spans="1:23" x14ac:dyDescent="0.25">
      <c r="A42" s="203" t="s">
        <v>235</v>
      </c>
      <c r="C42" s="206">
        <v>39649.919722222214</v>
      </c>
      <c r="D42" s="204">
        <f t="shared" ref="D42:V42" si="24">C42+D9-D20</f>
        <v>39649.919722222214</v>
      </c>
      <c r="E42" s="204">
        <f t="shared" si="24"/>
        <v>39649.919722222214</v>
      </c>
      <c r="F42" s="204">
        <f t="shared" si="24"/>
        <v>39649.919722222214</v>
      </c>
      <c r="G42" s="204">
        <f t="shared" si="24"/>
        <v>39649.919722222214</v>
      </c>
      <c r="H42" s="204">
        <f t="shared" si="24"/>
        <v>39649.919722222214</v>
      </c>
      <c r="I42" s="204">
        <f t="shared" si="24"/>
        <v>39649.919722222214</v>
      </c>
      <c r="J42" s="204">
        <f t="shared" si="24"/>
        <v>39649.919722222214</v>
      </c>
      <c r="K42" s="204">
        <f t="shared" si="24"/>
        <v>39649.919722222214</v>
      </c>
      <c r="L42" s="204">
        <f t="shared" si="24"/>
        <v>39649.919722222214</v>
      </c>
      <c r="M42" s="204">
        <f t="shared" si="24"/>
        <v>39649.919722222214</v>
      </c>
      <c r="N42" s="204">
        <f t="shared" si="24"/>
        <v>39649.919722222214</v>
      </c>
      <c r="O42" s="204">
        <f t="shared" si="24"/>
        <v>39649.919722222214</v>
      </c>
      <c r="P42" s="204">
        <f t="shared" si="24"/>
        <v>39649.919722222214</v>
      </c>
      <c r="Q42" s="204">
        <f t="shared" si="24"/>
        <v>39649.919722222214</v>
      </c>
      <c r="R42" s="204">
        <f t="shared" si="24"/>
        <v>39649.919722222214</v>
      </c>
      <c r="S42" s="204">
        <f t="shared" si="24"/>
        <v>39649.919722222214</v>
      </c>
      <c r="T42" s="204">
        <f t="shared" si="24"/>
        <v>39649.919722222214</v>
      </c>
      <c r="U42" s="204">
        <f t="shared" si="24"/>
        <v>39649.919722222214</v>
      </c>
      <c r="V42" s="204">
        <f t="shared" si="24"/>
        <v>39649.919722222214</v>
      </c>
      <c r="W42" s="191">
        <f t="shared" si="21"/>
        <v>39649.919722222206</v>
      </c>
    </row>
    <row r="43" spans="1:23" x14ac:dyDescent="0.25">
      <c r="A43" s="203" t="s">
        <v>234</v>
      </c>
      <c r="C43" s="206">
        <v>55718.691388888896</v>
      </c>
      <c r="D43" s="204">
        <f t="shared" ref="D43:V43" si="25">C43+D10-D21</f>
        <v>55718.691388888896</v>
      </c>
      <c r="E43" s="204">
        <f t="shared" si="25"/>
        <v>55718.691388888896</v>
      </c>
      <c r="F43" s="204">
        <f t="shared" si="25"/>
        <v>55718.691388888896</v>
      </c>
      <c r="G43" s="204">
        <f t="shared" si="25"/>
        <v>55718.691388888896</v>
      </c>
      <c r="H43" s="204">
        <f t="shared" si="25"/>
        <v>55718.691388888896</v>
      </c>
      <c r="I43" s="204">
        <f t="shared" si="25"/>
        <v>55718.691388888896</v>
      </c>
      <c r="J43" s="204">
        <f t="shared" si="25"/>
        <v>55718.691388888896</v>
      </c>
      <c r="K43" s="204">
        <f t="shared" si="25"/>
        <v>55718.691388888896</v>
      </c>
      <c r="L43" s="204">
        <f t="shared" si="25"/>
        <v>55718.691388888896</v>
      </c>
      <c r="M43" s="204">
        <f t="shared" si="25"/>
        <v>55718.691388888896</v>
      </c>
      <c r="N43" s="204">
        <f t="shared" si="25"/>
        <v>55718.691388888896</v>
      </c>
      <c r="O43" s="204">
        <f t="shared" si="25"/>
        <v>55718.691388888896</v>
      </c>
      <c r="P43" s="204">
        <f t="shared" si="25"/>
        <v>55718.691388888896</v>
      </c>
      <c r="Q43" s="204">
        <f t="shared" si="25"/>
        <v>55718.691388888896</v>
      </c>
      <c r="R43" s="204">
        <f t="shared" si="25"/>
        <v>55718.691388888896</v>
      </c>
      <c r="S43" s="204">
        <f t="shared" si="25"/>
        <v>55718.691388888896</v>
      </c>
      <c r="T43" s="204">
        <f t="shared" si="25"/>
        <v>55718.691388888896</v>
      </c>
      <c r="U43" s="204">
        <f t="shared" si="25"/>
        <v>55718.691388888896</v>
      </c>
      <c r="V43" s="204">
        <f t="shared" si="25"/>
        <v>55718.691388888896</v>
      </c>
      <c r="W43" s="191">
        <f t="shared" si="21"/>
        <v>55718.691388888874</v>
      </c>
    </row>
    <row r="44" spans="1:23" ht="15.75" thickBot="1" x14ac:dyDescent="0.3">
      <c r="A44" s="203" t="s">
        <v>233</v>
      </c>
      <c r="C44" s="206">
        <v>2017559.1005555557</v>
      </c>
      <c r="D44" s="204">
        <f t="shared" ref="D44:V44" si="26">C44+D11-D22</f>
        <v>2017559.1005555557</v>
      </c>
      <c r="E44" s="204">
        <f t="shared" si="26"/>
        <v>2017559.1005555557</v>
      </c>
      <c r="F44" s="204">
        <f t="shared" si="26"/>
        <v>2017559.1005555557</v>
      </c>
      <c r="G44" s="204">
        <f t="shared" si="26"/>
        <v>2017559.1005555557</v>
      </c>
      <c r="H44" s="204">
        <f t="shared" si="26"/>
        <v>2017559.1005555557</v>
      </c>
      <c r="I44" s="204">
        <f t="shared" si="26"/>
        <v>2017559.1005555557</v>
      </c>
      <c r="J44" s="204">
        <f t="shared" si="26"/>
        <v>2017559.1005555557</v>
      </c>
      <c r="K44" s="204">
        <f t="shared" si="26"/>
        <v>2017559.1005555557</v>
      </c>
      <c r="L44" s="204">
        <f t="shared" si="26"/>
        <v>2017559.1005555557</v>
      </c>
      <c r="M44" s="204">
        <f t="shared" si="26"/>
        <v>2017559.1005555557</v>
      </c>
      <c r="N44" s="204">
        <f t="shared" si="26"/>
        <v>2017559.1005555557</v>
      </c>
      <c r="O44" s="204">
        <f t="shared" si="26"/>
        <v>2017559.1005555557</v>
      </c>
      <c r="P44" s="204">
        <f t="shared" si="26"/>
        <v>2017559.1005555557</v>
      </c>
      <c r="Q44" s="204">
        <f t="shared" si="26"/>
        <v>2017559.1005555557</v>
      </c>
      <c r="R44" s="204">
        <f t="shared" si="26"/>
        <v>2017559.1005555557</v>
      </c>
      <c r="S44" s="204">
        <f t="shared" si="26"/>
        <v>2017559.1005555557</v>
      </c>
      <c r="T44" s="204">
        <f t="shared" si="26"/>
        <v>2017559.1005555557</v>
      </c>
      <c r="U44" s="204">
        <f t="shared" si="26"/>
        <v>2017559.1005555557</v>
      </c>
      <c r="V44" s="204">
        <f t="shared" si="26"/>
        <v>2017559.1005555557</v>
      </c>
      <c r="W44" s="191">
        <f t="shared" si="21"/>
        <v>2017559.1005555552</v>
      </c>
    </row>
    <row r="45" spans="1:23" ht="15.75" thickBot="1" x14ac:dyDescent="0.3">
      <c r="A45" s="203"/>
      <c r="C45" s="205">
        <f t="shared" ref="C45:W45" si="27">SUM(C39:C44)</f>
        <v>58603933.012500003</v>
      </c>
      <c r="D45" s="205">
        <f t="shared" si="27"/>
        <v>59315724.5625</v>
      </c>
      <c r="E45" s="205">
        <f t="shared" si="27"/>
        <v>61499779.596900001</v>
      </c>
      <c r="F45" s="205">
        <f t="shared" si="27"/>
        <v>63995401.895400003</v>
      </c>
      <c r="G45" s="205">
        <f t="shared" si="27"/>
        <v>66738416.351400003</v>
      </c>
      <c r="H45" s="205">
        <f t="shared" si="27"/>
        <v>69041655.053100005</v>
      </c>
      <c r="I45" s="205">
        <f t="shared" si="27"/>
        <v>69041655.053100005</v>
      </c>
      <c r="J45" s="205">
        <f t="shared" si="27"/>
        <v>69041655.053100005</v>
      </c>
      <c r="K45" s="205">
        <f t="shared" si="27"/>
        <v>69041655.053100005</v>
      </c>
      <c r="L45" s="205">
        <f t="shared" si="27"/>
        <v>70815768.002100006</v>
      </c>
      <c r="M45" s="205">
        <f t="shared" si="27"/>
        <v>74049420.64230001</v>
      </c>
      <c r="N45" s="205">
        <f t="shared" si="27"/>
        <v>76478004.052200004</v>
      </c>
      <c r="O45" s="205">
        <f t="shared" si="27"/>
        <v>77801715.4428</v>
      </c>
      <c r="P45" s="205">
        <f t="shared" si="27"/>
        <v>77801715.4428</v>
      </c>
      <c r="Q45" s="205">
        <f t="shared" si="27"/>
        <v>77801715.4428</v>
      </c>
      <c r="R45" s="205">
        <f t="shared" si="27"/>
        <v>77801715.4428</v>
      </c>
      <c r="S45" s="205">
        <f t="shared" si="27"/>
        <v>77801715.4428</v>
      </c>
      <c r="T45" s="205">
        <f t="shared" si="27"/>
        <v>77801715.4428</v>
      </c>
      <c r="U45" s="205">
        <f t="shared" si="27"/>
        <v>77801715.4428</v>
      </c>
      <c r="V45" s="210">
        <f t="shared" si="27"/>
        <v>77801715.4428</v>
      </c>
      <c r="W45" s="192">
        <f t="shared" si="27"/>
        <v>75526171.257323086</v>
      </c>
    </row>
    <row r="46" spans="1:23" x14ac:dyDescent="0.25">
      <c r="C46" s="204"/>
      <c r="D46" s="204">
        <f t="shared" ref="D46:V46" si="28">C45+D12-D23-D45</f>
        <v>0</v>
      </c>
      <c r="E46" s="204">
        <f t="shared" si="28"/>
        <v>0</v>
      </c>
      <c r="F46" s="204">
        <f t="shared" si="28"/>
        <v>0</v>
      </c>
      <c r="G46" s="204">
        <f t="shared" si="28"/>
        <v>0</v>
      </c>
      <c r="H46" s="204">
        <f t="shared" si="28"/>
        <v>0</v>
      </c>
      <c r="I46" s="204">
        <f t="shared" si="28"/>
        <v>0</v>
      </c>
      <c r="J46" s="204">
        <f t="shared" si="28"/>
        <v>0</v>
      </c>
      <c r="K46" s="204">
        <f t="shared" si="28"/>
        <v>0</v>
      </c>
      <c r="L46" s="204">
        <f t="shared" si="28"/>
        <v>0</v>
      </c>
      <c r="M46" s="204">
        <f t="shared" si="28"/>
        <v>0</v>
      </c>
      <c r="N46" s="204">
        <f t="shared" si="28"/>
        <v>0</v>
      </c>
      <c r="O46" s="204">
        <f t="shared" si="28"/>
        <v>0</v>
      </c>
      <c r="P46" s="204">
        <f t="shared" si="28"/>
        <v>0</v>
      </c>
      <c r="Q46" s="204">
        <f t="shared" si="28"/>
        <v>0</v>
      </c>
      <c r="R46" s="204">
        <f t="shared" si="28"/>
        <v>0</v>
      </c>
      <c r="S46" s="204">
        <f t="shared" si="28"/>
        <v>0</v>
      </c>
      <c r="T46" s="204">
        <f t="shared" si="28"/>
        <v>0</v>
      </c>
      <c r="U46" s="204">
        <f t="shared" si="28"/>
        <v>0</v>
      </c>
      <c r="V46" s="204">
        <f t="shared" si="28"/>
        <v>0</v>
      </c>
    </row>
    <row r="48" spans="1:23" x14ac:dyDescent="0.25">
      <c r="A48" s="1" t="s">
        <v>243</v>
      </c>
      <c r="C48" s="3" t="s">
        <v>241</v>
      </c>
      <c r="D48" s="3" t="s">
        <v>240</v>
      </c>
      <c r="E48" s="3" t="s">
        <v>240</v>
      </c>
      <c r="F48" s="3" t="s">
        <v>240</v>
      </c>
      <c r="G48" s="3" t="s">
        <v>240</v>
      </c>
      <c r="H48" s="3" t="s">
        <v>240</v>
      </c>
      <c r="I48" s="3" t="s">
        <v>240</v>
      </c>
      <c r="J48" s="3" t="s">
        <v>240</v>
      </c>
      <c r="K48" s="3" t="s">
        <v>240</v>
      </c>
      <c r="L48" s="3" t="s">
        <v>240</v>
      </c>
      <c r="M48" s="3" t="s">
        <v>240</v>
      </c>
      <c r="N48" s="3" t="s">
        <v>240</v>
      </c>
      <c r="O48" s="3" t="s">
        <v>240</v>
      </c>
      <c r="P48" s="3" t="s">
        <v>240</v>
      </c>
      <c r="Q48" s="3" t="s">
        <v>240</v>
      </c>
      <c r="R48" s="3" t="s">
        <v>240</v>
      </c>
      <c r="S48" s="3" t="s">
        <v>240</v>
      </c>
      <c r="T48" s="3" t="s">
        <v>240</v>
      </c>
      <c r="U48" s="3" t="s">
        <v>240</v>
      </c>
      <c r="V48" s="3" t="s">
        <v>240</v>
      </c>
      <c r="W48" s="5" t="s">
        <v>239</v>
      </c>
    </row>
    <row r="49" spans="1:23" x14ac:dyDescent="0.25">
      <c r="C49" s="196">
        <v>45107</v>
      </c>
      <c r="D49" s="196">
        <v>45138</v>
      </c>
      <c r="E49" s="196">
        <v>45169</v>
      </c>
      <c r="F49" s="196">
        <v>45199</v>
      </c>
      <c r="G49" s="196">
        <v>45230</v>
      </c>
      <c r="H49" s="196">
        <v>45260</v>
      </c>
      <c r="I49" s="196">
        <v>45291</v>
      </c>
      <c r="J49" s="196">
        <v>45292</v>
      </c>
      <c r="K49" s="196">
        <v>45323</v>
      </c>
      <c r="L49" s="196">
        <v>45352</v>
      </c>
      <c r="M49" s="196">
        <v>45383</v>
      </c>
      <c r="N49" s="196">
        <v>45413</v>
      </c>
      <c r="O49" s="196">
        <v>45444</v>
      </c>
      <c r="P49" s="196">
        <v>45474</v>
      </c>
      <c r="Q49" s="196">
        <v>45505</v>
      </c>
      <c r="R49" s="196">
        <v>45536</v>
      </c>
      <c r="S49" s="196">
        <v>45566</v>
      </c>
      <c r="T49" s="196">
        <v>45597</v>
      </c>
      <c r="U49" s="196">
        <v>45627</v>
      </c>
      <c r="V49" s="196">
        <v>45658</v>
      </c>
      <c r="W49" s="195">
        <v>45688</v>
      </c>
    </row>
    <row r="50" spans="1:23" x14ac:dyDescent="0.25">
      <c r="A50" t="s">
        <v>238</v>
      </c>
      <c r="C50" s="197">
        <v>1422804</v>
      </c>
      <c r="D50" s="193">
        <f t="shared" ref="D50:V50" si="29">C50-D72+D17+D28</f>
        <v>1440256.6249499999</v>
      </c>
      <c r="E50" s="193">
        <f t="shared" si="29"/>
        <v>1641474.8312737499</v>
      </c>
      <c r="F50" s="193">
        <f t="shared" si="29"/>
        <v>1878989.75332864</v>
      </c>
      <c r="G50" s="193">
        <f t="shared" si="29"/>
        <v>2144354.3494529426</v>
      </c>
      <c r="H50" s="193">
        <f t="shared" si="29"/>
        <v>2351058.406445845</v>
      </c>
      <c r="I50" s="193">
        <f t="shared" si="29"/>
        <v>2265919.48579408</v>
      </c>
      <c r="J50" s="193">
        <f t="shared" si="29"/>
        <v>2180780.5651423149</v>
      </c>
      <c r="K50" s="193">
        <f t="shared" si="29"/>
        <v>2105101.5245629684</v>
      </c>
      <c r="L50" s="193">
        <f t="shared" si="29"/>
        <v>2487925.5849836217</v>
      </c>
      <c r="M50" s="193">
        <f t="shared" si="29"/>
        <v>3245943.5328620751</v>
      </c>
      <c r="N50" s="193">
        <f t="shared" si="29"/>
        <v>3792233.9697149685</v>
      </c>
      <c r="O50" s="193">
        <f t="shared" si="29"/>
        <v>4050228.046336642</v>
      </c>
      <c r="P50" s="193">
        <f t="shared" si="29"/>
        <v>3964620.9373156354</v>
      </c>
      <c r="Q50" s="193">
        <f t="shared" si="29"/>
        <v>3879013.8282946288</v>
      </c>
      <c r="R50" s="193">
        <f t="shared" si="29"/>
        <v>3793406.7192736221</v>
      </c>
      <c r="S50" s="193">
        <f t="shared" si="29"/>
        <v>3707799.6102526155</v>
      </c>
      <c r="T50" s="193">
        <f t="shared" si="29"/>
        <v>3622192.5012316089</v>
      </c>
      <c r="U50" s="193">
        <f t="shared" si="29"/>
        <v>3536585.3922106023</v>
      </c>
      <c r="V50" s="193">
        <f t="shared" si="29"/>
        <v>3450978.2831895957</v>
      </c>
      <c r="W50" s="191">
        <f t="shared" ref="W50:W55" si="30">AVERAGE(J50:V50)</f>
        <v>3370523.8842593003</v>
      </c>
    </row>
    <row r="51" spans="1:23" x14ac:dyDescent="0.25">
      <c r="A51" t="s">
        <v>237</v>
      </c>
      <c r="C51" s="197">
        <v>13344.330096</v>
      </c>
      <c r="D51" s="193">
        <f t="shared" ref="D51:V51" si="31">C51-D73+D18+D29</f>
        <v>12934.18692525</v>
      </c>
      <c r="E51" s="193">
        <f t="shared" si="31"/>
        <v>12524.0437545</v>
      </c>
      <c r="F51" s="193">
        <f t="shared" si="31"/>
        <v>12113.900583750001</v>
      </c>
      <c r="G51" s="193">
        <f t="shared" si="31"/>
        <v>11703.757413000001</v>
      </c>
      <c r="H51" s="193">
        <f t="shared" si="31"/>
        <v>11293.614242250002</v>
      </c>
      <c r="I51" s="193">
        <f t="shared" si="31"/>
        <v>10883.471071500002</v>
      </c>
      <c r="J51" s="193">
        <f t="shared" si="31"/>
        <v>10473.327900750002</v>
      </c>
      <c r="K51" s="193">
        <f t="shared" si="31"/>
        <v>10301.169038953705</v>
      </c>
      <c r="L51" s="193">
        <f t="shared" si="31"/>
        <v>10129.010177157408</v>
      </c>
      <c r="M51" s="193">
        <f t="shared" si="31"/>
        <v>9956.8513153611111</v>
      </c>
      <c r="N51" s="193">
        <f t="shared" si="31"/>
        <v>9784.6924535648141</v>
      </c>
      <c r="O51" s="193">
        <f t="shared" si="31"/>
        <v>9612.533591768517</v>
      </c>
      <c r="P51" s="193">
        <f t="shared" si="31"/>
        <v>9440.3747299722199</v>
      </c>
      <c r="Q51" s="193">
        <f t="shared" si="31"/>
        <v>9268.2158681759229</v>
      </c>
      <c r="R51" s="193">
        <f t="shared" si="31"/>
        <v>9096.0570063796258</v>
      </c>
      <c r="S51" s="193">
        <f t="shared" si="31"/>
        <v>8923.8981445833288</v>
      </c>
      <c r="T51" s="193">
        <f t="shared" si="31"/>
        <v>8751.7392827870317</v>
      </c>
      <c r="U51" s="193">
        <f t="shared" si="31"/>
        <v>8579.5804209907346</v>
      </c>
      <c r="V51" s="193">
        <f t="shared" si="31"/>
        <v>8407.4215591944376</v>
      </c>
      <c r="W51" s="191">
        <f t="shared" si="30"/>
        <v>9440.3747299722199</v>
      </c>
    </row>
    <row r="52" spans="1:23" x14ac:dyDescent="0.25">
      <c r="A52" t="s">
        <v>236</v>
      </c>
      <c r="C52" s="197">
        <v>382.7747</v>
      </c>
      <c r="D52" s="193">
        <f t="shared" ref="D52:V52" si="32">C52-D74+D19+D30</f>
        <v>379.2793002314815</v>
      </c>
      <c r="E52" s="193">
        <f t="shared" si="32"/>
        <v>375.783900462963</v>
      </c>
      <c r="F52" s="193">
        <f t="shared" si="32"/>
        <v>372.28850069444451</v>
      </c>
      <c r="G52" s="193">
        <f t="shared" si="32"/>
        <v>368.79310092592601</v>
      </c>
      <c r="H52" s="193">
        <f t="shared" si="32"/>
        <v>365.29770115740752</v>
      </c>
      <c r="I52" s="193">
        <f t="shared" si="32"/>
        <v>361.80230138888902</v>
      </c>
      <c r="J52" s="193">
        <f t="shared" si="32"/>
        <v>358.30690162037052</v>
      </c>
      <c r="K52" s="193">
        <f t="shared" si="32"/>
        <v>356.94868913888905</v>
      </c>
      <c r="L52" s="193">
        <f t="shared" si="32"/>
        <v>355.59047665740758</v>
      </c>
      <c r="M52" s="193">
        <f t="shared" si="32"/>
        <v>354.2322641759261</v>
      </c>
      <c r="N52" s="193">
        <f t="shared" si="32"/>
        <v>352.87405169444463</v>
      </c>
      <c r="O52" s="193">
        <f t="shared" si="32"/>
        <v>351.51583921296316</v>
      </c>
      <c r="P52" s="193">
        <f t="shared" si="32"/>
        <v>350.15762673148168</v>
      </c>
      <c r="Q52" s="193">
        <f t="shared" si="32"/>
        <v>348.79941425000021</v>
      </c>
      <c r="R52" s="193">
        <f t="shared" si="32"/>
        <v>347.44120176851874</v>
      </c>
      <c r="S52" s="193">
        <f t="shared" si="32"/>
        <v>346.08298928703726</v>
      </c>
      <c r="T52" s="193">
        <f t="shared" si="32"/>
        <v>344.72477680555579</v>
      </c>
      <c r="U52" s="193">
        <f t="shared" si="32"/>
        <v>343.36656432407432</v>
      </c>
      <c r="V52" s="193">
        <f t="shared" si="32"/>
        <v>342.00835184259284</v>
      </c>
      <c r="W52" s="191">
        <f t="shared" si="30"/>
        <v>350.15762673148168</v>
      </c>
    </row>
    <row r="53" spans="1:23" x14ac:dyDescent="0.25">
      <c r="A53" t="s">
        <v>235</v>
      </c>
      <c r="C53" s="197">
        <v>940.25658699999894</v>
      </c>
      <c r="D53" s="193">
        <f t="shared" ref="D53:V53" si="33">C53-D75+D20+D31</f>
        <v>844.76636366898038</v>
      </c>
      <c r="E53" s="193">
        <f t="shared" si="33"/>
        <v>749.27614033796181</v>
      </c>
      <c r="F53" s="193">
        <f t="shared" si="33"/>
        <v>653.78591700694324</v>
      </c>
      <c r="G53" s="193">
        <f t="shared" si="33"/>
        <v>558.29569367592467</v>
      </c>
      <c r="H53" s="193">
        <f t="shared" si="33"/>
        <v>462.80547034490615</v>
      </c>
      <c r="I53" s="193">
        <f t="shared" si="33"/>
        <v>367.31524701388764</v>
      </c>
      <c r="J53" s="193">
        <f t="shared" si="33"/>
        <v>271.82502368286913</v>
      </c>
      <c r="K53" s="193">
        <f t="shared" si="33"/>
        <v>226.88844799768395</v>
      </c>
      <c r="L53" s="193">
        <f t="shared" si="33"/>
        <v>181.95187231249878</v>
      </c>
      <c r="M53" s="193">
        <f t="shared" si="33"/>
        <v>137.0152966273136</v>
      </c>
      <c r="N53" s="193">
        <f t="shared" si="33"/>
        <v>92.078720942128427</v>
      </c>
      <c r="O53" s="193">
        <f t="shared" si="33"/>
        <v>47.142145256943252</v>
      </c>
      <c r="P53" s="193">
        <f t="shared" si="33"/>
        <v>2.2055695717580761</v>
      </c>
      <c r="Q53" s="193">
        <f t="shared" si="33"/>
        <v>-42.7310061134271</v>
      </c>
      <c r="R53" s="193">
        <f t="shared" si="33"/>
        <v>-87.667581798612275</v>
      </c>
      <c r="S53" s="193">
        <f t="shared" si="33"/>
        <v>-132.60415748379745</v>
      </c>
      <c r="T53" s="193">
        <f t="shared" si="33"/>
        <v>-177.54073316898263</v>
      </c>
      <c r="U53" s="193">
        <f t="shared" si="33"/>
        <v>-222.4773088541678</v>
      </c>
      <c r="V53" s="193">
        <f t="shared" si="33"/>
        <v>-267.41388453935298</v>
      </c>
      <c r="W53" s="191">
        <f t="shared" si="30"/>
        <v>2.2055695717580805</v>
      </c>
    </row>
    <row r="54" spans="1:23" x14ac:dyDescent="0.25">
      <c r="A54" t="s">
        <v>234</v>
      </c>
      <c r="C54" s="197">
        <v>4585.332077</v>
      </c>
      <c r="D54" s="193">
        <f t="shared" ref="D54:V54" si="34">C54-D76+D21+D32</f>
        <v>4431.6413532523147</v>
      </c>
      <c r="E54" s="193">
        <f t="shared" si="34"/>
        <v>4277.9506295046294</v>
      </c>
      <c r="F54" s="193">
        <f t="shared" si="34"/>
        <v>4124.2599057569441</v>
      </c>
      <c r="G54" s="193">
        <f t="shared" si="34"/>
        <v>3970.5691820092588</v>
      </c>
      <c r="H54" s="193">
        <f t="shared" si="34"/>
        <v>3816.8784582615735</v>
      </c>
      <c r="I54" s="193">
        <f t="shared" si="34"/>
        <v>3663.1877345138882</v>
      </c>
      <c r="J54" s="193">
        <f t="shared" si="34"/>
        <v>3509.4970107662029</v>
      </c>
      <c r="K54" s="193">
        <f t="shared" si="34"/>
        <v>3446.3491605254621</v>
      </c>
      <c r="L54" s="193">
        <f t="shared" si="34"/>
        <v>3383.2013102847213</v>
      </c>
      <c r="M54" s="193">
        <f t="shared" si="34"/>
        <v>3320.0534600439805</v>
      </c>
      <c r="N54" s="193">
        <f t="shared" si="34"/>
        <v>3256.9056098032397</v>
      </c>
      <c r="O54" s="193">
        <f t="shared" si="34"/>
        <v>3193.7577595624989</v>
      </c>
      <c r="P54" s="193">
        <f t="shared" si="34"/>
        <v>3130.6099093217581</v>
      </c>
      <c r="Q54" s="193">
        <f t="shared" si="34"/>
        <v>3067.4620590810173</v>
      </c>
      <c r="R54" s="193">
        <f t="shared" si="34"/>
        <v>3004.3142088402765</v>
      </c>
      <c r="S54" s="193">
        <f t="shared" si="34"/>
        <v>2941.1663585995357</v>
      </c>
      <c r="T54" s="193">
        <f t="shared" si="34"/>
        <v>2878.0185083587949</v>
      </c>
      <c r="U54" s="193">
        <f t="shared" si="34"/>
        <v>2814.8706581180541</v>
      </c>
      <c r="V54" s="193">
        <f t="shared" si="34"/>
        <v>2751.7228078773132</v>
      </c>
      <c r="W54" s="191">
        <f t="shared" si="30"/>
        <v>3130.6099093217567</v>
      </c>
    </row>
    <row r="55" spans="1:23" ht="15.75" thickBot="1" x14ac:dyDescent="0.3">
      <c r="A55" t="s">
        <v>233</v>
      </c>
      <c r="C55" s="197">
        <v>100963.62912500001</v>
      </c>
      <c r="D55" s="193">
        <f t="shared" ref="D55:V55" si="35">C55-D77+D22+D33</f>
        <v>97348.835736504639</v>
      </c>
      <c r="E55" s="193">
        <f t="shared" si="35"/>
        <v>93734.042348009272</v>
      </c>
      <c r="F55" s="193">
        <f t="shared" si="35"/>
        <v>90119.248959513905</v>
      </c>
      <c r="G55" s="193">
        <f t="shared" si="35"/>
        <v>86504.455571018538</v>
      </c>
      <c r="H55" s="193">
        <f t="shared" si="35"/>
        <v>82889.66218252317</v>
      </c>
      <c r="I55" s="193">
        <f t="shared" si="35"/>
        <v>79274.868794027803</v>
      </c>
      <c r="J55" s="193">
        <f t="shared" si="35"/>
        <v>75660.075405532436</v>
      </c>
      <c r="K55" s="193">
        <f t="shared" si="35"/>
        <v>73373.5084249028</v>
      </c>
      <c r="L55" s="193">
        <f t="shared" si="35"/>
        <v>71086.941444273165</v>
      </c>
      <c r="M55" s="193">
        <f t="shared" si="35"/>
        <v>68800.374463643529</v>
      </c>
      <c r="N55" s="193">
        <f t="shared" si="35"/>
        <v>66513.807483013894</v>
      </c>
      <c r="O55" s="193">
        <f t="shared" si="35"/>
        <v>64227.240502384266</v>
      </c>
      <c r="P55" s="193">
        <f t="shared" si="35"/>
        <v>61940.673521754637</v>
      </c>
      <c r="Q55" s="193">
        <f t="shared" si="35"/>
        <v>59654.106541125009</v>
      </c>
      <c r="R55" s="193">
        <f t="shared" si="35"/>
        <v>57367.539560495381</v>
      </c>
      <c r="S55" s="193">
        <f t="shared" si="35"/>
        <v>55080.972579865753</v>
      </c>
      <c r="T55" s="193">
        <f t="shared" si="35"/>
        <v>52794.405599236125</v>
      </c>
      <c r="U55" s="193">
        <f t="shared" si="35"/>
        <v>50507.838618606496</v>
      </c>
      <c r="V55" s="193">
        <f t="shared" si="35"/>
        <v>48221.271637976868</v>
      </c>
      <c r="W55" s="191">
        <f t="shared" si="30"/>
        <v>61940.673521754637</v>
      </c>
    </row>
    <row r="56" spans="1:23" ht="15.75" thickBot="1" x14ac:dyDescent="0.3">
      <c r="C56" s="211">
        <f t="shared" ref="C56:W56" si="36">SUM(C50:C55)</f>
        <v>1543020.3225850002</v>
      </c>
      <c r="D56" s="211">
        <f t="shared" si="36"/>
        <v>1556195.3346289075</v>
      </c>
      <c r="E56" s="211">
        <f t="shared" si="36"/>
        <v>1753135.928046565</v>
      </c>
      <c r="F56" s="211">
        <f t="shared" si="36"/>
        <v>1986373.2371953623</v>
      </c>
      <c r="G56" s="211">
        <f t="shared" si="36"/>
        <v>2247460.2204135726</v>
      </c>
      <c r="H56" s="211">
        <f t="shared" si="36"/>
        <v>2449886.6645003827</v>
      </c>
      <c r="I56" s="211">
        <f t="shared" si="36"/>
        <v>2360470.1309425239</v>
      </c>
      <c r="J56" s="211">
        <f t="shared" si="36"/>
        <v>2271053.5973846666</v>
      </c>
      <c r="K56" s="211">
        <f t="shared" si="36"/>
        <v>2192806.388324487</v>
      </c>
      <c r="L56" s="211">
        <f t="shared" si="36"/>
        <v>2573062.2802643068</v>
      </c>
      <c r="M56" s="211">
        <f t="shared" si="36"/>
        <v>3328512.0596619267</v>
      </c>
      <c r="N56" s="211">
        <f t="shared" si="36"/>
        <v>3872234.3280339865</v>
      </c>
      <c r="O56" s="211">
        <f t="shared" si="36"/>
        <v>4127660.2361748279</v>
      </c>
      <c r="P56" s="211">
        <f t="shared" si="36"/>
        <v>4039484.9586729873</v>
      </c>
      <c r="Q56" s="211">
        <f t="shared" si="36"/>
        <v>3951309.6811711476</v>
      </c>
      <c r="R56" s="211">
        <f t="shared" si="36"/>
        <v>3863134.4036693075</v>
      </c>
      <c r="S56" s="211">
        <f t="shared" si="36"/>
        <v>3774959.1261674673</v>
      </c>
      <c r="T56" s="211">
        <f t="shared" si="36"/>
        <v>3686783.8486656272</v>
      </c>
      <c r="U56" s="211">
        <f t="shared" si="36"/>
        <v>3598608.571163788</v>
      </c>
      <c r="V56" s="212">
        <f t="shared" si="36"/>
        <v>3510433.2936619474</v>
      </c>
      <c r="W56" s="192">
        <f t="shared" si="36"/>
        <v>3445387.9056166522</v>
      </c>
    </row>
    <row r="57" spans="1:23" x14ac:dyDescent="0.25"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</row>
    <row r="58" spans="1:23" x14ac:dyDescent="0.25">
      <c r="D58" s="3"/>
      <c r="E58" s="3"/>
      <c r="F58" s="3"/>
      <c r="G58" s="3"/>
      <c r="H58" s="3"/>
      <c r="I58" s="3"/>
      <c r="J58" s="3"/>
    </row>
    <row r="59" spans="1:23" x14ac:dyDescent="0.25">
      <c r="A59" s="1" t="s">
        <v>242</v>
      </c>
      <c r="C59" s="3" t="s">
        <v>241</v>
      </c>
      <c r="D59" s="3" t="s">
        <v>240</v>
      </c>
      <c r="E59" s="3" t="s">
        <v>240</v>
      </c>
      <c r="F59" s="3" t="s">
        <v>240</v>
      </c>
      <c r="G59" s="3" t="s">
        <v>240</v>
      </c>
      <c r="H59" s="3" t="s">
        <v>240</v>
      </c>
      <c r="I59" s="3" t="s">
        <v>240</v>
      </c>
      <c r="J59" s="3" t="s">
        <v>240</v>
      </c>
      <c r="K59" s="3" t="s">
        <v>240</v>
      </c>
      <c r="L59" s="3" t="s">
        <v>240</v>
      </c>
      <c r="M59" s="3" t="s">
        <v>240</v>
      </c>
      <c r="N59" s="3" t="s">
        <v>240</v>
      </c>
      <c r="O59" s="3" t="s">
        <v>240</v>
      </c>
      <c r="P59" s="3" t="s">
        <v>240</v>
      </c>
      <c r="Q59" s="3" t="s">
        <v>240</v>
      </c>
      <c r="R59" s="3" t="s">
        <v>240</v>
      </c>
      <c r="S59" s="3" t="s">
        <v>240</v>
      </c>
      <c r="T59" s="3" t="s">
        <v>240</v>
      </c>
      <c r="U59" s="3" t="s">
        <v>240</v>
      </c>
      <c r="V59" s="3" t="s">
        <v>240</v>
      </c>
      <c r="W59" s="5" t="s">
        <v>239</v>
      </c>
    </row>
    <row r="60" spans="1:23" x14ac:dyDescent="0.25">
      <c r="C60" s="196">
        <v>45107</v>
      </c>
      <c r="D60" s="196">
        <v>45138</v>
      </c>
      <c r="E60" s="196">
        <v>45169</v>
      </c>
      <c r="F60" s="196">
        <v>45199</v>
      </c>
      <c r="G60" s="196">
        <v>45230</v>
      </c>
      <c r="H60" s="196">
        <v>45260</v>
      </c>
      <c r="I60" s="196">
        <v>45291</v>
      </c>
      <c r="J60" s="196">
        <v>45292</v>
      </c>
      <c r="K60" s="196">
        <v>45323</v>
      </c>
      <c r="L60" s="196">
        <v>45352</v>
      </c>
      <c r="M60" s="196">
        <v>45383</v>
      </c>
      <c r="N60" s="196">
        <v>45413</v>
      </c>
      <c r="O60" s="196">
        <v>45444</v>
      </c>
      <c r="P60" s="196">
        <v>45474</v>
      </c>
      <c r="Q60" s="196">
        <v>45505</v>
      </c>
      <c r="R60" s="196">
        <v>45536</v>
      </c>
      <c r="S60" s="196">
        <v>45566</v>
      </c>
      <c r="T60" s="196">
        <v>45597</v>
      </c>
      <c r="U60" s="196">
        <v>45627</v>
      </c>
      <c r="V60" s="196">
        <v>45658</v>
      </c>
      <c r="W60" s="195">
        <v>45688</v>
      </c>
    </row>
    <row r="61" spans="1:23" x14ac:dyDescent="0.25">
      <c r="A61" t="s">
        <v>238</v>
      </c>
      <c r="C61" s="194">
        <f t="shared" ref="C61:V61" si="37">C39+C50</f>
        <v>57760706</v>
      </c>
      <c r="D61" s="194">
        <f t="shared" si="37"/>
        <v>58489950.174949996</v>
      </c>
      <c r="E61" s="194">
        <f t="shared" si="37"/>
        <v>60875223.415673748</v>
      </c>
      <c r="F61" s="194">
        <f t="shared" si="37"/>
        <v>63608360.636228636</v>
      </c>
      <c r="G61" s="194">
        <f t="shared" si="37"/>
        <v>66616739.688352942</v>
      </c>
      <c r="H61" s="194">
        <f t="shared" si="37"/>
        <v>69126682.447045848</v>
      </c>
      <c r="I61" s="194">
        <f t="shared" si="37"/>
        <v>69041543.526394084</v>
      </c>
      <c r="J61" s="194">
        <f t="shared" si="37"/>
        <v>68956404.60574232</v>
      </c>
      <c r="K61" s="194">
        <f t="shared" si="37"/>
        <v>68880725.565162972</v>
      </c>
      <c r="L61" s="194">
        <f t="shared" si="37"/>
        <v>71037662.57458362</v>
      </c>
      <c r="M61" s="194">
        <f t="shared" si="37"/>
        <v>75029333.162662089</v>
      </c>
      <c r="N61" s="194">
        <f t="shared" si="37"/>
        <v>78004207.009414971</v>
      </c>
      <c r="O61" s="194">
        <f t="shared" si="37"/>
        <v>79585912.476636633</v>
      </c>
      <c r="P61" s="194">
        <f t="shared" si="37"/>
        <v>79500305.36761564</v>
      </c>
      <c r="Q61" s="194">
        <f t="shared" si="37"/>
        <v>79414698.258594632</v>
      </c>
      <c r="R61" s="194">
        <f t="shared" si="37"/>
        <v>79329091.149573624</v>
      </c>
      <c r="S61" s="194">
        <f t="shared" si="37"/>
        <v>79243484.040552616</v>
      </c>
      <c r="T61" s="194">
        <f t="shared" si="37"/>
        <v>79157876.931531608</v>
      </c>
      <c r="U61" s="194">
        <f t="shared" si="37"/>
        <v>79072269.8225106</v>
      </c>
      <c r="V61" s="194">
        <f t="shared" si="37"/>
        <v>78986662.713489592</v>
      </c>
      <c r="W61" s="191">
        <f t="shared" ref="W61:W66" si="38">AVERAGE(J61:V61)</f>
        <v>76630664.129082382</v>
      </c>
    </row>
    <row r="62" spans="1:23" x14ac:dyDescent="0.25">
      <c r="A62" t="s">
        <v>237</v>
      </c>
      <c r="C62" s="194">
        <f t="shared" ref="C62:V62" si="39">C40+C51</f>
        <v>165249.20815155559</v>
      </c>
      <c r="D62" s="194">
        <f t="shared" si="39"/>
        <v>164839.06498080559</v>
      </c>
      <c r="E62" s="194">
        <f t="shared" si="39"/>
        <v>164428.92181005559</v>
      </c>
      <c r="F62" s="194">
        <f t="shared" si="39"/>
        <v>164018.77863930562</v>
      </c>
      <c r="G62" s="194">
        <f t="shared" si="39"/>
        <v>163608.63546855561</v>
      </c>
      <c r="H62" s="194">
        <f t="shared" si="39"/>
        <v>163198.49229780561</v>
      </c>
      <c r="I62" s="194">
        <f t="shared" si="39"/>
        <v>162788.34912705561</v>
      </c>
      <c r="J62" s="194">
        <f t="shared" si="39"/>
        <v>162378.20595630561</v>
      </c>
      <c r="K62" s="194">
        <f t="shared" si="39"/>
        <v>162206.0470945093</v>
      </c>
      <c r="L62" s="194">
        <f t="shared" si="39"/>
        <v>162033.88823271301</v>
      </c>
      <c r="M62" s="194">
        <f t="shared" si="39"/>
        <v>161861.7293709167</v>
      </c>
      <c r="N62" s="194">
        <f t="shared" si="39"/>
        <v>161689.57050912041</v>
      </c>
      <c r="O62" s="194">
        <f t="shared" si="39"/>
        <v>161517.41164732413</v>
      </c>
      <c r="P62" s="194">
        <f t="shared" si="39"/>
        <v>161345.25278552782</v>
      </c>
      <c r="Q62" s="194">
        <f t="shared" si="39"/>
        <v>161173.09392373153</v>
      </c>
      <c r="R62" s="194">
        <f t="shared" si="39"/>
        <v>161000.93506193522</v>
      </c>
      <c r="S62" s="194">
        <f t="shared" si="39"/>
        <v>160828.77620013893</v>
      </c>
      <c r="T62" s="194">
        <f t="shared" si="39"/>
        <v>160656.61733834262</v>
      </c>
      <c r="U62" s="194">
        <f t="shared" si="39"/>
        <v>160484.45847654634</v>
      </c>
      <c r="V62" s="194">
        <f t="shared" si="39"/>
        <v>160312.29961475002</v>
      </c>
      <c r="W62" s="191">
        <f t="shared" si="38"/>
        <v>161345.25278552779</v>
      </c>
    </row>
    <row r="63" spans="1:23" x14ac:dyDescent="0.25">
      <c r="A63" t="s">
        <v>236</v>
      </c>
      <c r="C63" s="194">
        <f t="shared" ref="C63:V63" si="40">C41+C52</f>
        <v>1581.1974777777777</v>
      </c>
      <c r="D63" s="194">
        <f t="shared" si="40"/>
        <v>1577.7020780092594</v>
      </c>
      <c r="E63" s="194">
        <f t="shared" si="40"/>
        <v>1574.2066782407408</v>
      </c>
      <c r="F63" s="194">
        <f t="shared" si="40"/>
        <v>1570.7112784722224</v>
      </c>
      <c r="G63" s="194">
        <f t="shared" si="40"/>
        <v>1567.2158787037038</v>
      </c>
      <c r="H63" s="194">
        <f t="shared" si="40"/>
        <v>1563.7204789351854</v>
      </c>
      <c r="I63" s="194">
        <f t="shared" si="40"/>
        <v>1560.2250791666668</v>
      </c>
      <c r="J63" s="194">
        <f t="shared" si="40"/>
        <v>1556.7296793981484</v>
      </c>
      <c r="K63" s="194">
        <f t="shared" si="40"/>
        <v>1555.3714669166668</v>
      </c>
      <c r="L63" s="194">
        <f t="shared" si="40"/>
        <v>1554.0132544351854</v>
      </c>
      <c r="M63" s="194">
        <f t="shared" si="40"/>
        <v>1552.6550419537039</v>
      </c>
      <c r="N63" s="194">
        <f t="shared" si="40"/>
        <v>1551.2968294722225</v>
      </c>
      <c r="O63" s="194">
        <f t="shared" si="40"/>
        <v>1549.9386169907409</v>
      </c>
      <c r="P63" s="194">
        <f t="shared" si="40"/>
        <v>1548.5804045092596</v>
      </c>
      <c r="Q63" s="194">
        <f t="shared" si="40"/>
        <v>1547.222192027778</v>
      </c>
      <c r="R63" s="194">
        <f t="shared" si="40"/>
        <v>1545.8639795462966</v>
      </c>
      <c r="S63" s="194">
        <f t="shared" si="40"/>
        <v>1544.505767064815</v>
      </c>
      <c r="T63" s="194">
        <f t="shared" si="40"/>
        <v>1543.1475545833337</v>
      </c>
      <c r="U63" s="194">
        <f t="shared" si="40"/>
        <v>1541.7893421018521</v>
      </c>
      <c r="V63" s="194">
        <f t="shared" si="40"/>
        <v>1540.4311296203707</v>
      </c>
      <c r="W63" s="191">
        <f t="shared" si="38"/>
        <v>1548.5804045092593</v>
      </c>
    </row>
    <row r="64" spans="1:23" x14ac:dyDescent="0.25">
      <c r="A64" t="s">
        <v>235</v>
      </c>
      <c r="C64" s="194">
        <f t="shared" ref="C64:V64" si="41">C42+C53</f>
        <v>40590.17630922221</v>
      </c>
      <c r="D64" s="194">
        <f t="shared" si="41"/>
        <v>40494.686085891197</v>
      </c>
      <c r="E64" s="194">
        <f t="shared" si="41"/>
        <v>40399.195862560176</v>
      </c>
      <c r="F64" s="194">
        <f t="shared" si="41"/>
        <v>40303.705639229156</v>
      </c>
      <c r="G64" s="194">
        <f t="shared" si="41"/>
        <v>40208.215415898136</v>
      </c>
      <c r="H64" s="194">
        <f t="shared" si="41"/>
        <v>40112.725192567123</v>
      </c>
      <c r="I64" s="194">
        <f t="shared" si="41"/>
        <v>40017.234969236102</v>
      </c>
      <c r="J64" s="194">
        <f t="shared" si="41"/>
        <v>39921.744745905082</v>
      </c>
      <c r="K64" s="194">
        <f t="shared" si="41"/>
        <v>39876.808170219898</v>
      </c>
      <c r="L64" s="194">
        <f t="shared" si="41"/>
        <v>39831.871594534714</v>
      </c>
      <c r="M64" s="194">
        <f t="shared" si="41"/>
        <v>39786.93501884953</v>
      </c>
      <c r="N64" s="194">
        <f t="shared" si="41"/>
        <v>39741.998443164339</v>
      </c>
      <c r="O64" s="194">
        <f t="shared" si="41"/>
        <v>39697.061867479155</v>
      </c>
      <c r="P64" s="194">
        <f t="shared" si="41"/>
        <v>39652.125291793971</v>
      </c>
      <c r="Q64" s="194">
        <f t="shared" si="41"/>
        <v>39607.188716108787</v>
      </c>
      <c r="R64" s="194">
        <f t="shared" si="41"/>
        <v>39562.252140423603</v>
      </c>
      <c r="S64" s="194">
        <f t="shared" si="41"/>
        <v>39517.315564738419</v>
      </c>
      <c r="T64" s="194">
        <f t="shared" si="41"/>
        <v>39472.378989053228</v>
      </c>
      <c r="U64" s="194">
        <f t="shared" si="41"/>
        <v>39427.442413368044</v>
      </c>
      <c r="V64" s="194">
        <f t="shared" si="41"/>
        <v>39382.50583768286</v>
      </c>
      <c r="W64" s="191">
        <f t="shared" si="38"/>
        <v>39652.125291793971</v>
      </c>
    </row>
    <row r="65" spans="1:23" x14ac:dyDescent="0.25">
      <c r="A65" t="s">
        <v>234</v>
      </c>
      <c r="C65" s="194">
        <f t="shared" ref="C65:V65" si="42">C43+C54</f>
        <v>60304.023465888895</v>
      </c>
      <c r="D65" s="194">
        <f t="shared" si="42"/>
        <v>60150.33274214121</v>
      </c>
      <c r="E65" s="194">
        <f t="shared" si="42"/>
        <v>59996.642018393526</v>
      </c>
      <c r="F65" s="194">
        <f t="shared" si="42"/>
        <v>59842.951294645842</v>
      </c>
      <c r="G65" s="194">
        <f t="shared" si="42"/>
        <v>59689.260570898157</v>
      </c>
      <c r="H65" s="194">
        <f t="shared" si="42"/>
        <v>59535.569847150473</v>
      </c>
      <c r="I65" s="194">
        <f t="shared" si="42"/>
        <v>59381.879123402781</v>
      </c>
      <c r="J65" s="194">
        <f t="shared" si="42"/>
        <v>59228.188399655097</v>
      </c>
      <c r="K65" s="194">
        <f t="shared" si="42"/>
        <v>59165.040549414356</v>
      </c>
      <c r="L65" s="194">
        <f t="shared" si="42"/>
        <v>59101.892699173615</v>
      </c>
      <c r="M65" s="194">
        <f t="shared" si="42"/>
        <v>59038.744848932874</v>
      </c>
      <c r="N65" s="194">
        <f t="shared" si="42"/>
        <v>58975.596998692134</v>
      </c>
      <c r="O65" s="194">
        <f t="shared" si="42"/>
        <v>58912.449148451393</v>
      </c>
      <c r="P65" s="194">
        <f t="shared" si="42"/>
        <v>58849.301298210652</v>
      </c>
      <c r="Q65" s="194">
        <f t="shared" si="42"/>
        <v>58786.153447969911</v>
      </c>
      <c r="R65" s="194">
        <f t="shared" si="42"/>
        <v>58723.00559772917</v>
      </c>
      <c r="S65" s="194">
        <f t="shared" si="42"/>
        <v>58659.85774748843</v>
      </c>
      <c r="T65" s="194">
        <f t="shared" si="42"/>
        <v>58596.709897247689</v>
      </c>
      <c r="U65" s="194">
        <f t="shared" si="42"/>
        <v>58533.562047006948</v>
      </c>
      <c r="V65" s="194">
        <f t="shared" si="42"/>
        <v>58470.414196766207</v>
      </c>
      <c r="W65" s="191">
        <f t="shared" si="38"/>
        <v>58849.301298210645</v>
      </c>
    </row>
    <row r="66" spans="1:23" ht="15.75" thickBot="1" x14ac:dyDescent="0.3">
      <c r="A66" t="s">
        <v>233</v>
      </c>
      <c r="C66" s="194">
        <f t="shared" ref="C66:V66" si="43">C44+C55</f>
        <v>2118522.7296805559</v>
      </c>
      <c r="D66" s="194">
        <f t="shared" si="43"/>
        <v>2114907.9362920602</v>
      </c>
      <c r="E66" s="194">
        <f t="shared" si="43"/>
        <v>2111293.142903565</v>
      </c>
      <c r="F66" s="194">
        <f t="shared" si="43"/>
        <v>2107678.3495150697</v>
      </c>
      <c r="G66" s="194">
        <f t="shared" si="43"/>
        <v>2104063.5561265741</v>
      </c>
      <c r="H66" s="194">
        <f t="shared" si="43"/>
        <v>2100448.7627380788</v>
      </c>
      <c r="I66" s="194">
        <f t="shared" si="43"/>
        <v>2096833.9693495834</v>
      </c>
      <c r="J66" s="194">
        <f t="shared" si="43"/>
        <v>2093219.1759610882</v>
      </c>
      <c r="K66" s="194">
        <f t="shared" si="43"/>
        <v>2090932.6089804585</v>
      </c>
      <c r="L66" s="194">
        <f t="shared" si="43"/>
        <v>2088646.0419998288</v>
      </c>
      <c r="M66" s="194">
        <f t="shared" si="43"/>
        <v>2086359.4750191993</v>
      </c>
      <c r="N66" s="194">
        <f t="shared" si="43"/>
        <v>2084072.9080385696</v>
      </c>
      <c r="O66" s="194">
        <f t="shared" si="43"/>
        <v>2081786.3410579399</v>
      </c>
      <c r="P66" s="194">
        <f t="shared" si="43"/>
        <v>2079499.7740773102</v>
      </c>
      <c r="Q66" s="194">
        <f t="shared" si="43"/>
        <v>2077213.2070966808</v>
      </c>
      <c r="R66" s="194">
        <f t="shared" si="43"/>
        <v>2074926.6401160511</v>
      </c>
      <c r="S66" s="194">
        <f t="shared" si="43"/>
        <v>2072640.0731354214</v>
      </c>
      <c r="T66" s="194">
        <f t="shared" si="43"/>
        <v>2070353.5061547917</v>
      </c>
      <c r="U66" s="194">
        <f t="shared" si="43"/>
        <v>2068066.9391741622</v>
      </c>
      <c r="V66" s="194">
        <f t="shared" si="43"/>
        <v>2065780.3721935325</v>
      </c>
      <c r="W66" s="191">
        <f t="shared" si="38"/>
        <v>2079499.7740773102</v>
      </c>
    </row>
    <row r="67" spans="1:23" ht="15.75" thickBot="1" x14ac:dyDescent="0.3">
      <c r="C67" s="211">
        <f t="shared" ref="C67:V67" si="44">SUM(C61:C66)</f>
        <v>60146953.335084997</v>
      </c>
      <c r="D67" s="211">
        <f t="shared" si="44"/>
        <v>60871919.897128902</v>
      </c>
      <c r="E67" s="211">
        <f t="shared" si="44"/>
        <v>63252915.524946563</v>
      </c>
      <c r="F67" s="211">
        <f t="shared" si="44"/>
        <v>65981775.132595368</v>
      </c>
      <c r="G67" s="211">
        <f t="shared" si="44"/>
        <v>68985876.571813568</v>
      </c>
      <c r="H67" s="211">
        <f t="shared" si="44"/>
        <v>71491541.717600375</v>
      </c>
      <c r="I67" s="211">
        <f t="shared" si="44"/>
        <v>71402125.184042528</v>
      </c>
      <c r="J67" s="211">
        <f t="shared" si="44"/>
        <v>71312708.650484681</v>
      </c>
      <c r="K67" s="211">
        <f t="shared" si="44"/>
        <v>71234461.441424489</v>
      </c>
      <c r="L67" s="211">
        <f t="shared" si="44"/>
        <v>73388830.282364294</v>
      </c>
      <c r="M67" s="211">
        <f t="shared" si="44"/>
        <v>77377932.701961949</v>
      </c>
      <c r="N67" s="211">
        <f t="shared" si="44"/>
        <v>80350238.380234003</v>
      </c>
      <c r="O67" s="211">
        <f t="shared" si="44"/>
        <v>81929375.678974807</v>
      </c>
      <c r="P67" s="211">
        <f t="shared" si="44"/>
        <v>81841200.401473001</v>
      </c>
      <c r="Q67" s="211">
        <f t="shared" si="44"/>
        <v>81753025.123971164</v>
      </c>
      <c r="R67" s="211">
        <f t="shared" si="44"/>
        <v>81664849.846469298</v>
      </c>
      <c r="S67" s="211">
        <f t="shared" si="44"/>
        <v>81576674.568967476</v>
      </c>
      <c r="T67" s="211">
        <f t="shared" si="44"/>
        <v>81488499.291465625</v>
      </c>
      <c r="U67" s="211">
        <f t="shared" si="44"/>
        <v>81400324.013963789</v>
      </c>
      <c r="V67" s="211">
        <f t="shared" si="44"/>
        <v>81312148.736461937</v>
      </c>
      <c r="W67" s="192">
        <f t="shared" ref="W67" si="45">SUM(W61:W66)</f>
        <v>78971559.162939742</v>
      </c>
    </row>
    <row r="68" spans="1:23" x14ac:dyDescent="0.25">
      <c r="C68" s="193">
        <f t="shared" ref="C68:W68" si="46">C45+C56-C67</f>
        <v>0</v>
      </c>
      <c r="D68" s="193">
        <f t="shared" si="46"/>
        <v>0</v>
      </c>
      <c r="E68" s="193">
        <f t="shared" si="46"/>
        <v>0</v>
      </c>
      <c r="F68" s="193">
        <f t="shared" si="46"/>
        <v>0</v>
      </c>
      <c r="G68" s="193">
        <f t="shared" si="46"/>
        <v>0</v>
      </c>
      <c r="H68" s="193">
        <f t="shared" si="46"/>
        <v>0</v>
      </c>
      <c r="I68" s="193">
        <f t="shared" si="46"/>
        <v>0</v>
      </c>
      <c r="J68" s="193">
        <f t="shared" si="46"/>
        <v>0</v>
      </c>
      <c r="K68" s="193">
        <f t="shared" si="46"/>
        <v>0</v>
      </c>
      <c r="L68" s="193">
        <f t="shared" si="46"/>
        <v>0</v>
      </c>
      <c r="M68" s="193">
        <f t="shared" si="46"/>
        <v>0</v>
      </c>
      <c r="N68" s="193">
        <f t="shared" si="46"/>
        <v>0</v>
      </c>
      <c r="O68" s="193">
        <f t="shared" si="46"/>
        <v>0</v>
      </c>
      <c r="P68" s="193">
        <f t="shared" si="46"/>
        <v>0</v>
      </c>
      <c r="Q68" s="193">
        <f t="shared" si="46"/>
        <v>0</v>
      </c>
      <c r="R68" s="193">
        <f t="shared" si="46"/>
        <v>0</v>
      </c>
      <c r="S68" s="193">
        <f t="shared" si="46"/>
        <v>0</v>
      </c>
      <c r="T68" s="193">
        <f t="shared" si="46"/>
        <v>0</v>
      </c>
      <c r="U68" s="193">
        <f t="shared" si="46"/>
        <v>0</v>
      </c>
      <c r="V68" s="193">
        <f t="shared" si="46"/>
        <v>0</v>
      </c>
      <c r="W68" s="193">
        <f t="shared" si="46"/>
        <v>0</v>
      </c>
    </row>
    <row r="69" spans="1:23" x14ac:dyDescent="0.25">
      <c r="D69" s="3"/>
      <c r="E69" s="3"/>
      <c r="F69" s="3"/>
      <c r="G69" s="3"/>
      <c r="H69" s="3"/>
      <c r="I69" s="3"/>
      <c r="J69" s="3"/>
    </row>
    <row r="70" spans="1:23" x14ac:dyDescent="0.25">
      <c r="A70" s="1" t="s">
        <v>248</v>
      </c>
      <c r="B70" s="5" t="s">
        <v>247</v>
      </c>
      <c r="C70" s="5" t="s">
        <v>246</v>
      </c>
      <c r="D70" s="3"/>
      <c r="E70" s="3"/>
      <c r="F70" s="3"/>
      <c r="G70" s="3"/>
      <c r="H70" s="3"/>
      <c r="I70" s="3"/>
      <c r="J70" s="3"/>
      <c r="W70" s="5" t="s">
        <v>245</v>
      </c>
    </row>
    <row r="71" spans="1:23" x14ac:dyDescent="0.25">
      <c r="B71" s="5" t="s">
        <v>244</v>
      </c>
      <c r="C71" s="5" t="s">
        <v>244</v>
      </c>
      <c r="D71" s="196">
        <v>45138</v>
      </c>
      <c r="E71" s="196">
        <v>45169</v>
      </c>
      <c r="F71" s="196">
        <v>45199</v>
      </c>
      <c r="G71" s="196">
        <v>45230</v>
      </c>
      <c r="H71" s="196">
        <v>45260</v>
      </c>
      <c r="I71" s="196">
        <v>45291</v>
      </c>
      <c r="J71" s="196">
        <v>45292</v>
      </c>
      <c r="K71" s="196">
        <v>45323</v>
      </c>
      <c r="L71" s="196">
        <v>45352</v>
      </c>
      <c r="M71" s="196">
        <v>45383</v>
      </c>
      <c r="N71" s="196">
        <v>45413</v>
      </c>
      <c r="O71" s="196">
        <v>45444</v>
      </c>
      <c r="P71" s="196">
        <v>45474</v>
      </c>
      <c r="Q71" s="196">
        <v>45505</v>
      </c>
      <c r="R71" s="196">
        <v>45536</v>
      </c>
      <c r="S71" s="196">
        <v>45566</v>
      </c>
      <c r="T71" s="196">
        <v>45597</v>
      </c>
      <c r="U71" s="196">
        <v>45627</v>
      </c>
      <c r="V71" s="196">
        <v>45658</v>
      </c>
      <c r="W71" s="63" t="s">
        <v>19</v>
      </c>
    </row>
    <row r="72" spans="1:23" x14ac:dyDescent="0.25">
      <c r="A72" s="203" t="s">
        <v>238</v>
      </c>
      <c r="B72" s="202">
        <v>1.5299999999999999E-2</v>
      </c>
      <c r="C72" s="202">
        <v>1.3599999999999999E-2</v>
      </c>
      <c r="D72" s="204">
        <f t="shared" ref="D72:J72" si="47">C39*$B$72/12</f>
        <v>71830.825049999999</v>
      </c>
      <c r="E72" s="204">
        <f t="shared" si="47"/>
        <v>72738.35927624999</v>
      </c>
      <c r="F72" s="204">
        <f t="shared" si="47"/>
        <v>75523.029445109991</v>
      </c>
      <c r="G72" s="204">
        <f t="shared" si="47"/>
        <v>78704.9478756975</v>
      </c>
      <c r="H72" s="204">
        <f t="shared" si="47"/>
        <v>82202.29130709749</v>
      </c>
      <c r="I72" s="204">
        <f t="shared" si="47"/>
        <v>85138.920651765002</v>
      </c>
      <c r="J72" s="204">
        <f t="shared" si="47"/>
        <v>85138.920651765002</v>
      </c>
      <c r="K72" s="198">
        <f t="shared" ref="K72:V72" si="48">J39*$C$72/12</f>
        <v>75679.040579346663</v>
      </c>
      <c r="L72" s="198">
        <f t="shared" si="48"/>
        <v>75679.040579346663</v>
      </c>
      <c r="M72" s="198">
        <f t="shared" si="48"/>
        <v>77689.701921546672</v>
      </c>
      <c r="N72" s="198">
        <f t="shared" si="48"/>
        <v>81354.508247106671</v>
      </c>
      <c r="O72" s="198">
        <f t="shared" si="48"/>
        <v>84106.902778326665</v>
      </c>
      <c r="P72" s="198">
        <f t="shared" si="48"/>
        <v>85607.109021006661</v>
      </c>
      <c r="Q72" s="198">
        <f t="shared" si="48"/>
        <v>85607.109021006661</v>
      </c>
      <c r="R72" s="198">
        <f t="shared" si="48"/>
        <v>85607.109021006661</v>
      </c>
      <c r="S72" s="198">
        <f t="shared" si="48"/>
        <v>85607.109021006661</v>
      </c>
      <c r="T72" s="198">
        <f t="shared" si="48"/>
        <v>85607.109021006661</v>
      </c>
      <c r="U72" s="198">
        <f t="shared" si="48"/>
        <v>85607.109021006661</v>
      </c>
      <c r="V72" s="198">
        <f t="shared" si="48"/>
        <v>85607.109021006661</v>
      </c>
      <c r="W72" s="191">
        <f t="shared" ref="W72:W77" si="49">SUM(K72:V72)</f>
        <v>993758.95725271979</v>
      </c>
    </row>
    <row r="73" spans="1:23" x14ac:dyDescent="0.25">
      <c r="A73" s="203" t="s">
        <v>237</v>
      </c>
      <c r="B73" s="202">
        <v>3.2400000000000005E-2</v>
      </c>
      <c r="C73" s="202">
        <v>2.9600000000000001E-2</v>
      </c>
      <c r="D73" s="204">
        <f t="shared" ref="D73:J73" si="50">C40*$B$73/12</f>
        <v>410.14317075000014</v>
      </c>
      <c r="E73" s="204">
        <f t="shared" si="50"/>
        <v>410.14317075000014</v>
      </c>
      <c r="F73" s="204">
        <f t="shared" si="50"/>
        <v>410.14317075000014</v>
      </c>
      <c r="G73" s="204">
        <f t="shared" si="50"/>
        <v>410.14317075000014</v>
      </c>
      <c r="H73" s="204">
        <f t="shared" si="50"/>
        <v>410.14317075000014</v>
      </c>
      <c r="I73" s="204">
        <f t="shared" si="50"/>
        <v>410.14317075000014</v>
      </c>
      <c r="J73" s="204">
        <f t="shared" si="50"/>
        <v>410.14317075000014</v>
      </c>
      <c r="K73" s="198">
        <f t="shared" ref="K73:V73" si="51">J40*$C$72/12</f>
        <v>172.15886179629635</v>
      </c>
      <c r="L73" s="198">
        <f t="shared" si="51"/>
        <v>172.15886179629635</v>
      </c>
      <c r="M73" s="198">
        <f t="shared" si="51"/>
        <v>172.15886179629635</v>
      </c>
      <c r="N73" s="198">
        <f t="shared" si="51"/>
        <v>172.15886179629635</v>
      </c>
      <c r="O73" s="198">
        <f t="shared" si="51"/>
        <v>172.15886179629635</v>
      </c>
      <c r="P73" s="198">
        <f t="shared" si="51"/>
        <v>172.15886179629635</v>
      </c>
      <c r="Q73" s="198">
        <f t="shared" si="51"/>
        <v>172.15886179629635</v>
      </c>
      <c r="R73" s="198">
        <f t="shared" si="51"/>
        <v>172.15886179629635</v>
      </c>
      <c r="S73" s="198">
        <f t="shared" si="51"/>
        <v>172.15886179629635</v>
      </c>
      <c r="T73" s="198">
        <f t="shared" si="51"/>
        <v>172.15886179629635</v>
      </c>
      <c r="U73" s="198">
        <f t="shared" si="51"/>
        <v>172.15886179629635</v>
      </c>
      <c r="V73" s="198">
        <f t="shared" si="51"/>
        <v>172.15886179629635</v>
      </c>
      <c r="W73" s="191">
        <f t="shared" si="49"/>
        <v>2065.9063415555561</v>
      </c>
    </row>
    <row r="74" spans="1:23" x14ac:dyDescent="0.25">
      <c r="A74" s="203" t="s">
        <v>236</v>
      </c>
      <c r="B74" s="202">
        <v>3.5000000000000003E-2</v>
      </c>
      <c r="C74" s="202">
        <v>0.2404</v>
      </c>
      <c r="D74" s="204">
        <f t="shared" ref="D74:J74" si="52">C41*$B$74/12</f>
        <v>3.495399768518519</v>
      </c>
      <c r="E74" s="204">
        <f t="shared" si="52"/>
        <v>3.495399768518519</v>
      </c>
      <c r="F74" s="204">
        <f t="shared" si="52"/>
        <v>3.495399768518519</v>
      </c>
      <c r="G74" s="204">
        <f t="shared" si="52"/>
        <v>3.495399768518519</v>
      </c>
      <c r="H74" s="204">
        <f t="shared" si="52"/>
        <v>3.495399768518519</v>
      </c>
      <c r="I74" s="204">
        <f t="shared" si="52"/>
        <v>3.495399768518519</v>
      </c>
      <c r="J74" s="204">
        <f t="shared" si="52"/>
        <v>3.495399768518519</v>
      </c>
      <c r="K74" s="198">
        <f t="shared" ref="K74:V74" si="53">J41*$C$72/12</f>
        <v>1.3582124814814813</v>
      </c>
      <c r="L74" s="198">
        <f t="shared" si="53"/>
        <v>1.3582124814814813</v>
      </c>
      <c r="M74" s="198">
        <f t="shared" si="53"/>
        <v>1.3582124814814813</v>
      </c>
      <c r="N74" s="198">
        <f t="shared" si="53"/>
        <v>1.3582124814814813</v>
      </c>
      <c r="O74" s="198">
        <f t="shared" si="53"/>
        <v>1.3582124814814813</v>
      </c>
      <c r="P74" s="198">
        <f t="shared" si="53"/>
        <v>1.3582124814814813</v>
      </c>
      <c r="Q74" s="198">
        <f t="shared" si="53"/>
        <v>1.3582124814814813</v>
      </c>
      <c r="R74" s="198">
        <f t="shared" si="53"/>
        <v>1.3582124814814813</v>
      </c>
      <c r="S74" s="198">
        <f t="shared" si="53"/>
        <v>1.3582124814814813</v>
      </c>
      <c r="T74" s="198">
        <f t="shared" si="53"/>
        <v>1.3582124814814813</v>
      </c>
      <c r="U74" s="198">
        <f t="shared" si="53"/>
        <v>1.3582124814814813</v>
      </c>
      <c r="V74" s="198">
        <f t="shared" si="53"/>
        <v>1.3582124814814813</v>
      </c>
      <c r="W74" s="191">
        <f t="shared" si="49"/>
        <v>16.298549777777772</v>
      </c>
    </row>
    <row r="75" spans="1:23" x14ac:dyDescent="0.25">
      <c r="A75" s="203" t="s">
        <v>235</v>
      </c>
      <c r="B75" s="202">
        <v>2.8900000000000002E-2</v>
      </c>
      <c r="C75" s="202">
        <v>1.7999999999999999E-2</v>
      </c>
      <c r="D75" s="204">
        <f t="shared" ref="D75:J75" si="54">C42*$B$75/12</f>
        <v>95.490223331018512</v>
      </c>
      <c r="E75" s="204">
        <f t="shared" si="54"/>
        <v>95.490223331018512</v>
      </c>
      <c r="F75" s="204">
        <f t="shared" si="54"/>
        <v>95.490223331018512</v>
      </c>
      <c r="G75" s="204">
        <f t="shared" si="54"/>
        <v>95.490223331018512</v>
      </c>
      <c r="H75" s="204">
        <f t="shared" si="54"/>
        <v>95.490223331018512</v>
      </c>
      <c r="I75" s="204">
        <f t="shared" si="54"/>
        <v>95.490223331018512</v>
      </c>
      <c r="J75" s="204">
        <f t="shared" si="54"/>
        <v>95.490223331018512</v>
      </c>
      <c r="K75" s="198">
        <f t="shared" ref="K75:V75" si="55">J42*$C$72/12</f>
        <v>44.936575685185176</v>
      </c>
      <c r="L75" s="198">
        <f t="shared" si="55"/>
        <v>44.936575685185176</v>
      </c>
      <c r="M75" s="198">
        <f t="shared" si="55"/>
        <v>44.936575685185176</v>
      </c>
      <c r="N75" s="198">
        <f t="shared" si="55"/>
        <v>44.936575685185176</v>
      </c>
      <c r="O75" s="198">
        <f t="shared" si="55"/>
        <v>44.936575685185176</v>
      </c>
      <c r="P75" s="198">
        <f t="shared" si="55"/>
        <v>44.936575685185176</v>
      </c>
      <c r="Q75" s="198">
        <f t="shared" si="55"/>
        <v>44.936575685185176</v>
      </c>
      <c r="R75" s="198">
        <f t="shared" si="55"/>
        <v>44.936575685185176</v>
      </c>
      <c r="S75" s="198">
        <f t="shared" si="55"/>
        <v>44.936575685185176</v>
      </c>
      <c r="T75" s="198">
        <f t="shared" si="55"/>
        <v>44.936575685185176</v>
      </c>
      <c r="U75" s="198">
        <f t="shared" si="55"/>
        <v>44.936575685185176</v>
      </c>
      <c r="V75" s="198">
        <f t="shared" si="55"/>
        <v>44.936575685185176</v>
      </c>
      <c r="W75" s="191">
        <f t="shared" si="49"/>
        <v>539.23890822222211</v>
      </c>
    </row>
    <row r="76" spans="1:23" x14ac:dyDescent="0.25">
      <c r="A76" s="203" t="s">
        <v>234</v>
      </c>
      <c r="B76" s="202">
        <v>3.3100000000000004E-2</v>
      </c>
      <c r="C76" s="202">
        <v>2.1700000000000001E-2</v>
      </c>
      <c r="D76" s="204">
        <f t="shared" ref="D76:J76" si="56">C43*$B$76/12</f>
        <v>153.69072374768521</v>
      </c>
      <c r="E76" s="204">
        <f t="shared" si="56"/>
        <v>153.69072374768521</v>
      </c>
      <c r="F76" s="204">
        <f t="shared" si="56"/>
        <v>153.69072374768521</v>
      </c>
      <c r="G76" s="204">
        <f t="shared" si="56"/>
        <v>153.69072374768521</v>
      </c>
      <c r="H76" s="204">
        <f t="shared" si="56"/>
        <v>153.69072374768521</v>
      </c>
      <c r="I76" s="204">
        <f t="shared" si="56"/>
        <v>153.69072374768521</v>
      </c>
      <c r="J76" s="204">
        <f t="shared" si="56"/>
        <v>153.69072374768521</v>
      </c>
      <c r="K76" s="198">
        <f t="shared" ref="K76:V76" si="57">J43*$C$72/12</f>
        <v>63.147850240740745</v>
      </c>
      <c r="L76" s="198">
        <f t="shared" si="57"/>
        <v>63.147850240740745</v>
      </c>
      <c r="M76" s="198">
        <f t="shared" si="57"/>
        <v>63.147850240740745</v>
      </c>
      <c r="N76" s="198">
        <f t="shared" si="57"/>
        <v>63.147850240740745</v>
      </c>
      <c r="O76" s="198">
        <f t="shared" si="57"/>
        <v>63.147850240740745</v>
      </c>
      <c r="P76" s="198">
        <f t="shared" si="57"/>
        <v>63.147850240740745</v>
      </c>
      <c r="Q76" s="198">
        <f t="shared" si="57"/>
        <v>63.147850240740745</v>
      </c>
      <c r="R76" s="198">
        <f t="shared" si="57"/>
        <v>63.147850240740745</v>
      </c>
      <c r="S76" s="198">
        <f t="shared" si="57"/>
        <v>63.147850240740745</v>
      </c>
      <c r="T76" s="198">
        <f t="shared" si="57"/>
        <v>63.147850240740745</v>
      </c>
      <c r="U76" s="198">
        <f t="shared" si="57"/>
        <v>63.147850240740745</v>
      </c>
      <c r="V76" s="198">
        <f t="shared" si="57"/>
        <v>63.147850240740745</v>
      </c>
      <c r="W76" s="191">
        <f t="shared" si="49"/>
        <v>757.77420288888879</v>
      </c>
    </row>
    <row r="77" spans="1:23" ht="15.75" thickBot="1" x14ac:dyDescent="0.3">
      <c r="A77" s="203" t="s">
        <v>233</v>
      </c>
      <c r="B77" s="202">
        <v>2.1500000000000002E-2</v>
      </c>
      <c r="C77" s="202">
        <v>2.3800000000000002E-2</v>
      </c>
      <c r="D77" s="201">
        <f t="shared" ref="D77:J77" si="58">C44*$B$77/12</f>
        <v>3614.7933884953709</v>
      </c>
      <c r="E77" s="201">
        <f t="shared" si="58"/>
        <v>3614.7933884953709</v>
      </c>
      <c r="F77" s="201">
        <f t="shared" si="58"/>
        <v>3614.7933884953709</v>
      </c>
      <c r="G77" s="201">
        <f t="shared" si="58"/>
        <v>3614.7933884953709</v>
      </c>
      <c r="H77" s="201">
        <f t="shared" si="58"/>
        <v>3614.7933884953709</v>
      </c>
      <c r="I77" s="201">
        <f t="shared" si="58"/>
        <v>3614.7933884953709</v>
      </c>
      <c r="J77" s="201">
        <f t="shared" si="58"/>
        <v>3614.7933884953709</v>
      </c>
      <c r="K77" s="200">
        <f t="shared" ref="K77:V77" si="59">J44*$C$72/12</f>
        <v>2286.5669806296296</v>
      </c>
      <c r="L77" s="200">
        <f t="shared" si="59"/>
        <v>2286.5669806296296</v>
      </c>
      <c r="M77" s="200">
        <f t="shared" si="59"/>
        <v>2286.5669806296296</v>
      </c>
      <c r="N77" s="200">
        <f t="shared" si="59"/>
        <v>2286.5669806296296</v>
      </c>
      <c r="O77" s="200">
        <f t="shared" si="59"/>
        <v>2286.5669806296296</v>
      </c>
      <c r="P77" s="200">
        <f t="shared" si="59"/>
        <v>2286.5669806296296</v>
      </c>
      <c r="Q77" s="200">
        <f t="shared" si="59"/>
        <v>2286.5669806296296</v>
      </c>
      <c r="R77" s="200">
        <f t="shared" si="59"/>
        <v>2286.5669806296296</v>
      </c>
      <c r="S77" s="200">
        <f t="shared" si="59"/>
        <v>2286.5669806296296</v>
      </c>
      <c r="T77" s="200">
        <f t="shared" si="59"/>
        <v>2286.5669806296296</v>
      </c>
      <c r="U77" s="200">
        <f t="shared" si="59"/>
        <v>2286.5669806296296</v>
      </c>
      <c r="V77" s="200">
        <f t="shared" si="59"/>
        <v>2286.5669806296296</v>
      </c>
      <c r="W77" s="191">
        <f t="shared" si="49"/>
        <v>27438.80376755555</v>
      </c>
    </row>
    <row r="78" spans="1:23" ht="15.75" thickBot="1" x14ac:dyDescent="0.3">
      <c r="D78" s="213">
        <f t="shared" ref="D78:W78" si="60">SUM(D72:D77)</f>
        <v>76108.437956092588</v>
      </c>
      <c r="E78" s="213">
        <f t="shared" si="60"/>
        <v>77015.972182342579</v>
      </c>
      <c r="F78" s="213">
        <f t="shared" si="60"/>
        <v>79800.642351202579</v>
      </c>
      <c r="G78" s="213">
        <f t="shared" si="60"/>
        <v>82982.560781790089</v>
      </c>
      <c r="H78" s="213">
        <f t="shared" si="60"/>
        <v>86479.904213190079</v>
      </c>
      <c r="I78" s="213">
        <f t="shared" si="60"/>
        <v>89416.53355785759</v>
      </c>
      <c r="J78" s="213">
        <f t="shared" si="60"/>
        <v>89416.53355785759</v>
      </c>
      <c r="K78" s="213">
        <f t="shared" si="60"/>
        <v>78247.209060180016</v>
      </c>
      <c r="L78" s="213">
        <f t="shared" si="60"/>
        <v>78247.209060180016</v>
      </c>
      <c r="M78" s="213">
        <f t="shared" si="60"/>
        <v>80257.870402380024</v>
      </c>
      <c r="N78" s="213">
        <f t="shared" si="60"/>
        <v>83922.676727940023</v>
      </c>
      <c r="O78" s="213">
        <f t="shared" si="60"/>
        <v>86675.071259160017</v>
      </c>
      <c r="P78" s="213">
        <f t="shared" si="60"/>
        <v>88175.277501840013</v>
      </c>
      <c r="Q78" s="213">
        <f t="shared" si="60"/>
        <v>88175.277501840013</v>
      </c>
      <c r="R78" s="213">
        <f t="shared" si="60"/>
        <v>88175.277501840013</v>
      </c>
      <c r="S78" s="213">
        <f t="shared" si="60"/>
        <v>88175.277501840013</v>
      </c>
      <c r="T78" s="213">
        <f t="shared" si="60"/>
        <v>88175.277501840013</v>
      </c>
      <c r="U78" s="213">
        <f t="shared" si="60"/>
        <v>88175.277501840013</v>
      </c>
      <c r="V78" s="214">
        <f t="shared" si="60"/>
        <v>88175.277501840013</v>
      </c>
      <c r="W78" s="199">
        <f t="shared" si="60"/>
        <v>1024576.9790227197</v>
      </c>
    </row>
    <row r="81" spans="1:23" x14ac:dyDescent="0.25">
      <c r="A81" s="1" t="s">
        <v>255</v>
      </c>
      <c r="B81" s="322" t="s">
        <v>252</v>
      </c>
      <c r="C81" s="322"/>
      <c r="D81" s="3"/>
      <c r="E81" s="3"/>
      <c r="F81" s="3"/>
      <c r="G81" s="3"/>
      <c r="H81" s="3"/>
      <c r="I81" s="3"/>
      <c r="J81" s="3"/>
      <c r="W81" s="5" t="s">
        <v>245</v>
      </c>
    </row>
    <row r="82" spans="1:23" x14ac:dyDescent="0.25">
      <c r="B82" s="3" t="s">
        <v>9</v>
      </c>
      <c r="C82" s="3" t="s">
        <v>254</v>
      </c>
      <c r="D82" s="196">
        <v>45138</v>
      </c>
      <c r="E82" s="196">
        <v>45169</v>
      </c>
      <c r="F82" s="196">
        <v>45199</v>
      </c>
      <c r="G82" s="196">
        <v>45230</v>
      </c>
      <c r="H82" s="196">
        <v>45260</v>
      </c>
      <c r="I82" s="196">
        <v>45291</v>
      </c>
      <c r="J82" s="196">
        <v>45292</v>
      </c>
      <c r="K82" s="196">
        <v>45323</v>
      </c>
      <c r="L82" s="196">
        <v>45352</v>
      </c>
      <c r="M82" s="196">
        <v>45383</v>
      </c>
      <c r="N82" s="196">
        <v>45413</v>
      </c>
      <c r="O82" s="196">
        <v>45444</v>
      </c>
      <c r="P82" s="196">
        <v>45474</v>
      </c>
      <c r="Q82" s="196">
        <v>45505</v>
      </c>
      <c r="R82" s="196">
        <v>45536</v>
      </c>
      <c r="S82" s="196">
        <v>45566</v>
      </c>
      <c r="T82" s="196">
        <v>45597</v>
      </c>
      <c r="U82" s="196">
        <v>45627</v>
      </c>
      <c r="V82" s="196">
        <v>45658</v>
      </c>
      <c r="W82" s="63" t="s">
        <v>19</v>
      </c>
    </row>
    <row r="83" spans="1:23" x14ac:dyDescent="0.25">
      <c r="A83" s="203" t="s">
        <v>238</v>
      </c>
      <c r="B83" s="216">
        <v>1.43E-2</v>
      </c>
      <c r="C83" s="216">
        <v>1.4E-2</v>
      </c>
      <c r="D83" s="204"/>
      <c r="E83" s="204"/>
      <c r="F83" s="204"/>
      <c r="G83" s="204"/>
      <c r="H83" s="204"/>
      <c r="I83" s="204"/>
      <c r="J83" s="204"/>
      <c r="K83" s="204">
        <f t="shared" ref="K83:U83" si="61">$I61*$C83/12</f>
        <v>80548.46744745977</v>
      </c>
      <c r="L83" s="204">
        <f t="shared" si="61"/>
        <v>80548.46744745977</v>
      </c>
      <c r="M83" s="204">
        <f t="shared" si="61"/>
        <v>80548.46744745977</v>
      </c>
      <c r="N83" s="204">
        <f t="shared" si="61"/>
        <v>80548.46744745977</v>
      </c>
      <c r="O83" s="204">
        <f t="shared" si="61"/>
        <v>80548.46744745977</v>
      </c>
      <c r="P83" s="204">
        <f t="shared" si="61"/>
        <v>80548.46744745977</v>
      </c>
      <c r="Q83" s="204">
        <f t="shared" si="61"/>
        <v>80548.46744745977</v>
      </c>
      <c r="R83" s="204">
        <f t="shared" si="61"/>
        <v>80548.46744745977</v>
      </c>
      <c r="S83" s="204">
        <f t="shared" si="61"/>
        <v>80548.46744745977</v>
      </c>
      <c r="T83" s="204">
        <f t="shared" si="61"/>
        <v>80548.46744745977</v>
      </c>
      <c r="U83" s="204">
        <f t="shared" si="61"/>
        <v>80548.46744745977</v>
      </c>
      <c r="V83" s="204">
        <f t="shared" ref="V83:V88" si="62">$U61*$C83/12</f>
        <v>92250.981459595714</v>
      </c>
      <c r="W83" s="191">
        <f t="shared" ref="W83:W88" si="63">SUM(K83:V83)</f>
        <v>978284.12338165333</v>
      </c>
    </row>
    <row r="84" spans="1:23" x14ac:dyDescent="0.25">
      <c r="A84" s="203" t="s">
        <v>237</v>
      </c>
      <c r="B84" s="216">
        <v>1.43E-2</v>
      </c>
      <c r="C84" s="216">
        <v>1.4E-2</v>
      </c>
      <c r="D84" s="204"/>
      <c r="E84" s="204"/>
      <c r="F84" s="204"/>
      <c r="G84" s="204"/>
      <c r="H84" s="204"/>
      <c r="I84" s="204"/>
      <c r="J84" s="204"/>
      <c r="K84" s="204">
        <f t="shared" ref="K84:U84" si="64">$I62*$C84/12</f>
        <v>189.91974064823157</v>
      </c>
      <c r="L84" s="204">
        <f t="shared" si="64"/>
        <v>189.91974064823157</v>
      </c>
      <c r="M84" s="204">
        <f t="shared" si="64"/>
        <v>189.91974064823157</v>
      </c>
      <c r="N84" s="204">
        <f t="shared" si="64"/>
        <v>189.91974064823157</v>
      </c>
      <c r="O84" s="204">
        <f t="shared" si="64"/>
        <v>189.91974064823157</v>
      </c>
      <c r="P84" s="204">
        <f t="shared" si="64"/>
        <v>189.91974064823157</v>
      </c>
      <c r="Q84" s="204">
        <f t="shared" si="64"/>
        <v>189.91974064823157</v>
      </c>
      <c r="R84" s="204">
        <f t="shared" si="64"/>
        <v>189.91974064823157</v>
      </c>
      <c r="S84" s="204">
        <f t="shared" si="64"/>
        <v>189.91974064823157</v>
      </c>
      <c r="T84" s="204">
        <f t="shared" si="64"/>
        <v>189.91974064823157</v>
      </c>
      <c r="U84" s="204">
        <f t="shared" si="64"/>
        <v>189.91974064823157</v>
      </c>
      <c r="V84" s="204">
        <f t="shared" si="62"/>
        <v>187.23186822263742</v>
      </c>
      <c r="W84" s="191">
        <f t="shared" si="63"/>
        <v>2276.3490153531843</v>
      </c>
    </row>
    <row r="85" spans="1:23" x14ac:dyDescent="0.25">
      <c r="A85" s="203" t="s">
        <v>236</v>
      </c>
      <c r="B85" s="216">
        <v>1.43E-2</v>
      </c>
      <c r="C85" s="216">
        <v>1.4E-2</v>
      </c>
      <c r="D85" s="204"/>
      <c r="E85" s="204"/>
      <c r="F85" s="204"/>
      <c r="G85" s="204"/>
      <c r="H85" s="204"/>
      <c r="I85" s="204"/>
      <c r="J85" s="204"/>
      <c r="K85" s="204">
        <f t="shared" ref="K85:U85" si="65">$I63*$C85/12</f>
        <v>1.8202625923611111</v>
      </c>
      <c r="L85" s="204">
        <f t="shared" si="65"/>
        <v>1.8202625923611111</v>
      </c>
      <c r="M85" s="204">
        <f t="shared" si="65"/>
        <v>1.8202625923611111</v>
      </c>
      <c r="N85" s="204">
        <f t="shared" si="65"/>
        <v>1.8202625923611111</v>
      </c>
      <c r="O85" s="204">
        <f t="shared" si="65"/>
        <v>1.8202625923611111</v>
      </c>
      <c r="P85" s="204">
        <f t="shared" si="65"/>
        <v>1.8202625923611111</v>
      </c>
      <c r="Q85" s="204">
        <f t="shared" si="65"/>
        <v>1.8202625923611111</v>
      </c>
      <c r="R85" s="204">
        <f t="shared" si="65"/>
        <v>1.8202625923611111</v>
      </c>
      <c r="S85" s="204">
        <f t="shared" si="65"/>
        <v>1.8202625923611111</v>
      </c>
      <c r="T85" s="204">
        <f t="shared" si="65"/>
        <v>1.8202625923611111</v>
      </c>
      <c r="U85" s="204">
        <f t="shared" si="65"/>
        <v>1.8202625923611111</v>
      </c>
      <c r="V85" s="204">
        <f t="shared" si="62"/>
        <v>1.7987542324521606</v>
      </c>
      <c r="W85" s="191">
        <f t="shared" si="63"/>
        <v>21.821642748424384</v>
      </c>
    </row>
    <row r="86" spans="1:23" x14ac:dyDescent="0.25">
      <c r="A86" s="203" t="s">
        <v>235</v>
      </c>
      <c r="B86" s="216">
        <v>1.43E-2</v>
      </c>
      <c r="C86" s="216">
        <v>1.4E-2</v>
      </c>
      <c r="D86" s="204"/>
      <c r="E86" s="204"/>
      <c r="F86" s="204"/>
      <c r="G86" s="204"/>
      <c r="H86" s="204"/>
      <c r="I86" s="204"/>
      <c r="J86" s="204"/>
      <c r="K86" s="204">
        <f t="shared" ref="K86:U86" si="66">$I64*$C86/12</f>
        <v>46.686774130775454</v>
      </c>
      <c r="L86" s="204">
        <f t="shared" si="66"/>
        <v>46.686774130775454</v>
      </c>
      <c r="M86" s="204">
        <f t="shared" si="66"/>
        <v>46.686774130775454</v>
      </c>
      <c r="N86" s="204">
        <f t="shared" si="66"/>
        <v>46.686774130775454</v>
      </c>
      <c r="O86" s="204">
        <f t="shared" si="66"/>
        <v>46.686774130775454</v>
      </c>
      <c r="P86" s="204">
        <f t="shared" si="66"/>
        <v>46.686774130775454</v>
      </c>
      <c r="Q86" s="204">
        <f t="shared" si="66"/>
        <v>46.686774130775454</v>
      </c>
      <c r="R86" s="204">
        <f t="shared" si="66"/>
        <v>46.686774130775454</v>
      </c>
      <c r="S86" s="204">
        <f t="shared" si="66"/>
        <v>46.686774130775454</v>
      </c>
      <c r="T86" s="204">
        <f t="shared" si="66"/>
        <v>46.686774130775454</v>
      </c>
      <c r="U86" s="204">
        <f t="shared" si="66"/>
        <v>46.686774130775454</v>
      </c>
      <c r="V86" s="204">
        <f t="shared" si="62"/>
        <v>45.998682815596055</v>
      </c>
      <c r="W86" s="191">
        <f t="shared" si="63"/>
        <v>559.55319825412607</v>
      </c>
    </row>
    <row r="87" spans="1:23" x14ac:dyDescent="0.25">
      <c r="A87" s="203" t="s">
        <v>234</v>
      </c>
      <c r="B87" s="216">
        <v>1.43E-2</v>
      </c>
      <c r="C87" s="216">
        <v>1.4E-2</v>
      </c>
      <c r="D87" s="204"/>
      <c r="E87" s="204"/>
      <c r="F87" s="204"/>
      <c r="G87" s="204"/>
      <c r="H87" s="204"/>
      <c r="I87" s="204"/>
      <c r="J87" s="204"/>
      <c r="K87" s="204">
        <f t="shared" ref="K87:U87" si="67">$I65*$C87/12</f>
        <v>69.278858977303244</v>
      </c>
      <c r="L87" s="204">
        <f t="shared" si="67"/>
        <v>69.278858977303244</v>
      </c>
      <c r="M87" s="204">
        <f t="shared" si="67"/>
        <v>69.278858977303244</v>
      </c>
      <c r="N87" s="204">
        <f t="shared" si="67"/>
        <v>69.278858977303244</v>
      </c>
      <c r="O87" s="204">
        <f t="shared" si="67"/>
        <v>69.278858977303244</v>
      </c>
      <c r="P87" s="204">
        <f t="shared" si="67"/>
        <v>69.278858977303244</v>
      </c>
      <c r="Q87" s="204">
        <f t="shared" si="67"/>
        <v>69.278858977303244</v>
      </c>
      <c r="R87" s="204">
        <f t="shared" si="67"/>
        <v>69.278858977303244</v>
      </c>
      <c r="S87" s="204">
        <f t="shared" si="67"/>
        <v>69.278858977303244</v>
      </c>
      <c r="T87" s="204">
        <f t="shared" si="67"/>
        <v>69.278858977303244</v>
      </c>
      <c r="U87" s="204">
        <f t="shared" si="67"/>
        <v>69.278858977303244</v>
      </c>
      <c r="V87" s="204">
        <f t="shared" si="62"/>
        <v>68.289155721508109</v>
      </c>
      <c r="W87" s="191">
        <f t="shared" si="63"/>
        <v>830.35660447184375</v>
      </c>
    </row>
    <row r="88" spans="1:23" ht="15.75" thickBot="1" x14ac:dyDescent="0.3">
      <c r="A88" s="203" t="s">
        <v>233</v>
      </c>
      <c r="B88" s="216">
        <v>1.43E-2</v>
      </c>
      <c r="C88" s="216">
        <v>1.4E-2</v>
      </c>
      <c r="D88" s="204"/>
      <c r="E88" s="204"/>
      <c r="F88" s="204"/>
      <c r="G88" s="204"/>
      <c r="H88" s="204"/>
      <c r="I88" s="204"/>
      <c r="J88" s="204"/>
      <c r="K88" s="204">
        <f t="shared" ref="K88:U88" si="68">$I66*$C88/12</f>
        <v>2446.3062975745138</v>
      </c>
      <c r="L88" s="204">
        <f t="shared" si="68"/>
        <v>2446.3062975745138</v>
      </c>
      <c r="M88" s="204">
        <f t="shared" si="68"/>
        <v>2446.3062975745138</v>
      </c>
      <c r="N88" s="204">
        <f t="shared" si="68"/>
        <v>2446.3062975745138</v>
      </c>
      <c r="O88" s="204">
        <f t="shared" si="68"/>
        <v>2446.3062975745138</v>
      </c>
      <c r="P88" s="204">
        <f t="shared" si="68"/>
        <v>2446.3062975745138</v>
      </c>
      <c r="Q88" s="204">
        <f t="shared" si="68"/>
        <v>2446.3062975745138</v>
      </c>
      <c r="R88" s="204">
        <f t="shared" si="68"/>
        <v>2446.3062975745138</v>
      </c>
      <c r="S88" s="204">
        <f t="shared" si="68"/>
        <v>2446.3062975745138</v>
      </c>
      <c r="T88" s="204">
        <f t="shared" si="68"/>
        <v>2446.3062975745138</v>
      </c>
      <c r="U88" s="204">
        <f t="shared" si="68"/>
        <v>2446.3062975745138</v>
      </c>
      <c r="V88" s="204">
        <f t="shared" si="62"/>
        <v>2412.7447623698558</v>
      </c>
      <c r="W88" s="191">
        <f t="shared" si="63"/>
        <v>29322.114035689505</v>
      </c>
    </row>
    <row r="89" spans="1:23" ht="15.75" thickBot="1" x14ac:dyDescent="0.3">
      <c r="D89" s="213">
        <f t="shared" ref="D89:W89" si="69">SUM(D83:D88)</f>
        <v>0</v>
      </c>
      <c r="E89" s="213">
        <f t="shared" si="69"/>
        <v>0</v>
      </c>
      <c r="F89" s="213">
        <f t="shared" si="69"/>
        <v>0</v>
      </c>
      <c r="G89" s="213">
        <f t="shared" si="69"/>
        <v>0</v>
      </c>
      <c r="H89" s="213">
        <f t="shared" si="69"/>
        <v>0</v>
      </c>
      <c r="I89" s="213">
        <f t="shared" si="69"/>
        <v>0</v>
      </c>
      <c r="J89" s="213">
        <f t="shared" si="69"/>
        <v>0</v>
      </c>
      <c r="K89" s="213">
        <f t="shared" si="69"/>
        <v>83302.479381382946</v>
      </c>
      <c r="L89" s="213">
        <f t="shared" si="69"/>
        <v>83302.479381382946</v>
      </c>
      <c r="M89" s="213">
        <f t="shared" si="69"/>
        <v>83302.479381382946</v>
      </c>
      <c r="N89" s="213">
        <f t="shared" si="69"/>
        <v>83302.479381382946</v>
      </c>
      <c r="O89" s="213">
        <f t="shared" si="69"/>
        <v>83302.479381382946</v>
      </c>
      <c r="P89" s="213">
        <f t="shared" si="69"/>
        <v>83302.479381382946</v>
      </c>
      <c r="Q89" s="213">
        <f t="shared" si="69"/>
        <v>83302.479381382946</v>
      </c>
      <c r="R89" s="213">
        <f t="shared" si="69"/>
        <v>83302.479381382946</v>
      </c>
      <c r="S89" s="213">
        <f t="shared" si="69"/>
        <v>83302.479381382946</v>
      </c>
      <c r="T89" s="213">
        <f t="shared" si="69"/>
        <v>83302.479381382946</v>
      </c>
      <c r="U89" s="213">
        <f t="shared" si="69"/>
        <v>83302.479381382946</v>
      </c>
      <c r="V89" s="214">
        <f t="shared" si="69"/>
        <v>94967.044682957756</v>
      </c>
      <c r="W89" s="199">
        <f t="shared" si="69"/>
        <v>1011294.3178781703</v>
      </c>
    </row>
  </sheetData>
  <mergeCells count="3">
    <mergeCell ref="B26:C26"/>
    <mergeCell ref="B15:C15"/>
    <mergeCell ref="B81:C81"/>
  </mergeCells>
  <pageMargins left="0.7" right="0.7" top="0.75" bottom="0.75" header="0.3" footer="0.3"/>
  <pageSetup scale="38" fitToHeight="0" orientation="landscape" verticalDpi="1200" r:id="rId1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F226-1CD7-4DE3-B24D-C939E6188A72}">
  <dimension ref="A1:Y56"/>
  <sheetViews>
    <sheetView zoomScaleNormal="100" workbookViewId="0"/>
  </sheetViews>
  <sheetFormatPr defaultColWidth="14.7109375" defaultRowHeight="15" x14ac:dyDescent="0.25"/>
  <cols>
    <col min="1" max="1" width="18.85546875" customWidth="1"/>
    <col min="4" max="4" width="16.28515625" customWidth="1"/>
    <col min="6" max="6" width="6.5703125" customWidth="1"/>
    <col min="10" max="10" width="6.5703125" customWidth="1"/>
    <col min="11" max="11" width="17" bestFit="1" customWidth="1"/>
    <col min="13" max="13" width="12.85546875" customWidth="1"/>
    <col min="19" max="19" width="18.140625" customWidth="1"/>
    <col min="20" max="20" width="24.28515625" bestFit="1" customWidth="1"/>
    <col min="21" max="21" width="17.7109375" customWidth="1"/>
  </cols>
  <sheetData>
    <row r="1" spans="1:24" x14ac:dyDescent="0.25">
      <c r="A1" s="1" t="s">
        <v>224</v>
      </c>
    </row>
    <row r="2" spans="1:24" x14ac:dyDescent="0.25">
      <c r="A2" s="1" t="s">
        <v>256</v>
      </c>
    </row>
    <row r="3" spans="1:24" x14ac:dyDescent="0.25">
      <c r="A3" s="9" t="s">
        <v>258</v>
      </c>
    </row>
    <row r="4" spans="1:24" x14ac:dyDescent="0.25">
      <c r="A4" s="9"/>
      <c r="C4" s="11" t="s">
        <v>7</v>
      </c>
      <c r="D4" s="11" t="s">
        <v>7</v>
      </c>
      <c r="E4" s="11" t="s">
        <v>7</v>
      </c>
      <c r="G4" s="11" t="s">
        <v>8</v>
      </c>
      <c r="H4" s="11" t="s">
        <v>8</v>
      </c>
      <c r="I4" s="11" t="s">
        <v>8</v>
      </c>
      <c r="K4" s="11" t="s">
        <v>259</v>
      </c>
      <c r="L4" s="11" t="s">
        <v>259</v>
      </c>
      <c r="N4" s="11" t="s">
        <v>9</v>
      </c>
      <c r="O4" s="11" t="s">
        <v>9</v>
      </c>
      <c r="Q4" s="11"/>
      <c r="R4" s="11"/>
    </row>
    <row r="5" spans="1:24" x14ac:dyDescent="0.25">
      <c r="C5" s="13" t="s">
        <v>260</v>
      </c>
      <c r="D5" s="13" t="s">
        <v>261</v>
      </c>
      <c r="E5" s="218" t="s">
        <v>5</v>
      </c>
      <c r="G5" s="218" t="s">
        <v>262</v>
      </c>
      <c r="H5" s="218" t="s">
        <v>263</v>
      </c>
      <c r="I5" s="218" t="s">
        <v>263</v>
      </c>
      <c r="K5" s="218" t="s">
        <v>264</v>
      </c>
      <c r="L5" s="218" t="s">
        <v>265</v>
      </c>
      <c r="N5" s="218" t="s">
        <v>266</v>
      </c>
      <c r="O5" s="218" t="s">
        <v>267</v>
      </c>
      <c r="Q5" s="218" t="s">
        <v>268</v>
      </c>
      <c r="R5" s="240">
        <v>45658</v>
      </c>
      <c r="T5" s="9"/>
    </row>
    <row r="6" spans="1:24" x14ac:dyDescent="0.25">
      <c r="B6" s="5" t="s">
        <v>269</v>
      </c>
      <c r="C6" s="323" t="s">
        <v>270</v>
      </c>
      <c r="D6" s="324"/>
      <c r="E6" s="5" t="s">
        <v>269</v>
      </c>
      <c r="F6" s="5"/>
      <c r="G6" s="323" t="s">
        <v>270</v>
      </c>
      <c r="H6" s="325"/>
      <c r="I6" s="326"/>
      <c r="J6" s="5"/>
      <c r="K6" s="323" t="s">
        <v>270</v>
      </c>
      <c r="L6" s="324"/>
      <c r="N6" s="323" t="s">
        <v>270</v>
      </c>
      <c r="O6" s="324"/>
      <c r="Q6" s="323" t="s">
        <v>270</v>
      </c>
      <c r="R6" s="324"/>
      <c r="T6" s="9"/>
    </row>
    <row r="7" spans="1:24" x14ac:dyDescent="0.25">
      <c r="A7" s="11" t="s">
        <v>271</v>
      </c>
      <c r="B7" s="5" t="s">
        <v>272</v>
      </c>
      <c r="C7" s="5">
        <v>2020</v>
      </c>
      <c r="D7" s="5">
        <v>2021</v>
      </c>
      <c r="E7" s="5" t="s">
        <v>272</v>
      </c>
      <c r="F7" s="5"/>
      <c r="G7" s="5">
        <v>2021</v>
      </c>
      <c r="H7" s="5">
        <v>2022</v>
      </c>
      <c r="I7" s="218">
        <v>2022</v>
      </c>
      <c r="J7" s="5"/>
      <c r="K7" s="5">
        <v>2022</v>
      </c>
      <c r="L7" s="5">
        <v>2023</v>
      </c>
      <c r="N7" s="5">
        <v>2023</v>
      </c>
      <c r="O7" s="5">
        <v>2024</v>
      </c>
      <c r="Q7" s="5">
        <v>2024</v>
      </c>
      <c r="R7" s="5">
        <v>2025</v>
      </c>
      <c r="T7" s="9"/>
    </row>
    <row r="8" spans="1:24" x14ac:dyDescent="0.25">
      <c r="A8" s="3" t="s">
        <v>273</v>
      </c>
      <c r="B8" s="219">
        <v>1900581.6778099756</v>
      </c>
      <c r="C8" s="14">
        <v>38011.633556199515</v>
      </c>
      <c r="D8" s="14">
        <v>76023.267112399029</v>
      </c>
      <c r="E8" s="14">
        <v>1256619.8389307177</v>
      </c>
      <c r="F8" s="219"/>
      <c r="G8" s="5"/>
      <c r="H8" s="5"/>
      <c r="I8" s="14">
        <v>50264.79355722871</v>
      </c>
      <c r="J8" s="219"/>
      <c r="K8" s="5"/>
      <c r="L8" s="14">
        <f>E8*0.04</f>
        <v>50264.79355722871</v>
      </c>
      <c r="N8" s="5"/>
      <c r="O8" s="14">
        <f>E8*0.04</f>
        <v>50264.79355722871</v>
      </c>
      <c r="Q8" s="5"/>
      <c r="R8" s="14">
        <f t="shared" ref="R8:R14" si="0">O8</f>
        <v>50264.79355722871</v>
      </c>
      <c r="T8" s="9"/>
      <c r="W8" s="323" t="s">
        <v>274</v>
      </c>
      <c r="X8" s="324"/>
    </row>
    <row r="9" spans="1:24" ht="30" x14ac:dyDescent="0.25">
      <c r="A9" s="3" t="s">
        <v>275</v>
      </c>
      <c r="B9" s="219">
        <v>2907770.0288488776</v>
      </c>
      <c r="C9" s="219"/>
      <c r="D9" s="219">
        <v>58155.400576977554</v>
      </c>
      <c r="E9" s="219">
        <v>1922549.0532509363</v>
      </c>
      <c r="F9" s="219"/>
      <c r="G9" s="5"/>
      <c r="H9" s="5"/>
      <c r="I9" s="219">
        <v>76901.962130037457</v>
      </c>
      <c r="J9" s="219"/>
      <c r="K9" s="5"/>
      <c r="L9" s="219">
        <f>E9*0.04</f>
        <v>76901.962130037457</v>
      </c>
      <c r="N9" s="5"/>
      <c r="O9" s="207">
        <f>E9*0.04</f>
        <v>76901.962130037457</v>
      </c>
      <c r="P9" s="207"/>
      <c r="Q9" s="220"/>
      <c r="R9" s="207">
        <f t="shared" si="0"/>
        <v>76901.962130037457</v>
      </c>
      <c r="U9" s="13" t="s">
        <v>276</v>
      </c>
      <c r="V9" s="5"/>
      <c r="W9" s="13" t="s">
        <v>268</v>
      </c>
      <c r="X9" s="221" t="s">
        <v>277</v>
      </c>
    </row>
    <row r="10" spans="1:24" x14ac:dyDescent="0.25">
      <c r="A10" s="3" t="s">
        <v>278</v>
      </c>
      <c r="B10" s="219">
        <v>3187485.7542832419</v>
      </c>
      <c r="C10" s="219"/>
      <c r="D10" s="219"/>
      <c r="E10" s="219"/>
      <c r="F10" s="219"/>
      <c r="G10" s="14">
        <v>63749.715085664837</v>
      </c>
      <c r="H10" s="14">
        <v>127499.43017132967</v>
      </c>
      <c r="J10" s="219"/>
      <c r="L10" s="219">
        <f>B10*0.04</f>
        <v>127499.43017132967</v>
      </c>
      <c r="O10" s="207">
        <f>B10*0.04</f>
        <v>127499.43017132967</v>
      </c>
      <c r="P10" s="207"/>
      <c r="Q10" s="207"/>
      <c r="R10" s="207">
        <f t="shared" si="0"/>
        <v>127499.43017132967</v>
      </c>
      <c r="T10" s="9" t="s">
        <v>279</v>
      </c>
      <c r="U10" s="10"/>
      <c r="V10" s="10"/>
      <c r="W10" s="10"/>
      <c r="X10" s="10"/>
    </row>
    <row r="11" spans="1:24" x14ac:dyDescent="0.25">
      <c r="A11" s="3" t="s">
        <v>280</v>
      </c>
      <c r="B11" s="219">
        <v>4568471.6939423652</v>
      </c>
      <c r="C11" s="219"/>
      <c r="D11" s="219"/>
      <c r="E11" s="219"/>
      <c r="F11" s="219"/>
      <c r="G11" s="10"/>
      <c r="H11" s="219">
        <v>91369.433878847311</v>
      </c>
      <c r="I11" s="10"/>
      <c r="J11" s="219"/>
      <c r="L11" s="219">
        <f>B11*0.04</f>
        <v>182738.86775769462</v>
      </c>
      <c r="O11" s="207">
        <f>B11*0.04</f>
        <v>182738.86775769462</v>
      </c>
      <c r="P11" s="207"/>
      <c r="Q11" s="207"/>
      <c r="R11" s="207">
        <f t="shared" si="0"/>
        <v>182738.86775769462</v>
      </c>
      <c r="T11" s="10" t="s">
        <v>281</v>
      </c>
      <c r="U11" s="14">
        <v>0</v>
      </c>
      <c r="V11" s="14"/>
      <c r="W11" s="14">
        <f>U11</f>
        <v>0</v>
      </c>
      <c r="X11" s="14">
        <f>W14</f>
        <v>-502651.44</v>
      </c>
    </row>
    <row r="12" spans="1:24" x14ac:dyDescent="0.25">
      <c r="A12" s="3" t="s">
        <v>282</v>
      </c>
      <c r="B12" s="219">
        <v>6627454.8123602048</v>
      </c>
      <c r="C12" s="219"/>
      <c r="D12" s="219"/>
      <c r="E12" s="219"/>
      <c r="F12" s="219"/>
      <c r="G12" s="10"/>
      <c r="H12" s="10"/>
      <c r="I12" s="10"/>
      <c r="J12" s="219"/>
      <c r="K12" s="14">
        <f>$B$12*0.02</f>
        <v>132549.09624720408</v>
      </c>
      <c r="L12" s="219">
        <f>$B$12*0.04</f>
        <v>265098.19249440817</v>
      </c>
      <c r="N12" s="14"/>
      <c r="O12" s="222">
        <f>$B$12*0.04</f>
        <v>265098.19249440817</v>
      </c>
      <c r="P12" s="207"/>
      <c r="Q12" s="207"/>
      <c r="R12" s="222">
        <f t="shared" si="0"/>
        <v>265098.19249440817</v>
      </c>
      <c r="T12" t="s">
        <v>283</v>
      </c>
      <c r="U12" s="10">
        <v>0</v>
      </c>
      <c r="V12" s="10"/>
      <c r="W12" s="10">
        <v>0</v>
      </c>
      <c r="X12" s="10">
        <v>0</v>
      </c>
    </row>
    <row r="13" spans="1:24" x14ac:dyDescent="0.25">
      <c r="A13" s="3" t="s">
        <v>284</v>
      </c>
      <c r="B13" s="219">
        <v>7491366.8070655996</v>
      </c>
      <c r="C13" s="219"/>
      <c r="D13" s="219"/>
      <c r="E13" s="219"/>
      <c r="F13" s="219"/>
      <c r="G13" s="10"/>
      <c r="H13" s="10"/>
      <c r="I13" s="10"/>
      <c r="J13" s="219"/>
      <c r="K13" s="10"/>
      <c r="L13" s="10">
        <f>$B$13*0.02</f>
        <v>149827.336141312</v>
      </c>
      <c r="N13" s="10"/>
      <c r="O13" s="10">
        <f>$B$13*0.04</f>
        <v>299654.672282624</v>
      </c>
      <c r="Q13" s="10"/>
      <c r="R13" s="10">
        <f t="shared" si="0"/>
        <v>299654.672282624</v>
      </c>
      <c r="T13" t="s">
        <v>10</v>
      </c>
      <c r="U13" s="10">
        <v>-586426.68000000005</v>
      </c>
      <c r="V13" s="10"/>
      <c r="W13" s="10">
        <v>-502651.44</v>
      </c>
      <c r="X13" s="10">
        <v>-83775.240000000005</v>
      </c>
    </row>
    <row r="14" spans="1:24" ht="15.75" thickBot="1" x14ac:dyDescent="0.3">
      <c r="A14" s="3" t="s">
        <v>285</v>
      </c>
      <c r="B14" s="219">
        <v>4075143.4926937521</v>
      </c>
      <c r="C14" s="219"/>
      <c r="D14" s="219"/>
      <c r="E14" s="219"/>
      <c r="F14" s="219"/>
      <c r="G14" s="10"/>
      <c r="H14" s="10"/>
      <c r="I14" s="10"/>
      <c r="J14" s="219"/>
      <c r="K14" s="10"/>
      <c r="L14" s="10"/>
      <c r="N14" s="14">
        <f>$B$14*0.02</f>
        <v>81502.869853875047</v>
      </c>
      <c r="O14" s="10">
        <f>$B$14*0.04</f>
        <v>163005.73970775009</v>
      </c>
      <c r="Q14" s="14"/>
      <c r="R14" s="10">
        <f t="shared" si="0"/>
        <v>163005.73970775009</v>
      </c>
      <c r="T14" t="s">
        <v>286</v>
      </c>
      <c r="U14" s="223">
        <f>SUM(U11:U13)</f>
        <v>-586426.68000000005</v>
      </c>
      <c r="V14" s="10"/>
      <c r="W14" s="223">
        <f>SUM(W11:W13)</f>
        <v>-502651.44</v>
      </c>
      <c r="X14" s="223">
        <f>SUM(X11:X13)</f>
        <v>-586426.68000000005</v>
      </c>
    </row>
    <row r="15" spans="1:24" ht="15.75" thickTop="1" x14ac:dyDescent="0.25">
      <c r="A15" s="3" t="s">
        <v>287</v>
      </c>
      <c r="B15" s="219">
        <v>3420143.107263485</v>
      </c>
      <c r="C15" s="219"/>
      <c r="D15" s="219"/>
      <c r="E15" s="219"/>
      <c r="F15" s="219"/>
      <c r="G15" s="10"/>
      <c r="H15" s="10"/>
      <c r="I15" s="10"/>
      <c r="J15" s="219"/>
      <c r="K15" s="10"/>
      <c r="L15" s="10"/>
      <c r="N15" s="10"/>
      <c r="O15" s="10">
        <f>$B$15*0.02</f>
        <v>68402.862145269697</v>
      </c>
      <c r="Q15" s="10"/>
      <c r="R15" s="10">
        <f>$B$15*0.04</f>
        <v>136805.72429053939</v>
      </c>
      <c r="U15" s="10"/>
      <c r="V15" s="10"/>
      <c r="W15" s="10"/>
      <c r="X15" s="10"/>
    </row>
    <row r="16" spans="1:24" x14ac:dyDescent="0.25">
      <c r="A16" s="3" t="s">
        <v>288</v>
      </c>
      <c r="B16" s="219">
        <v>0</v>
      </c>
      <c r="C16" s="219"/>
      <c r="D16" s="219"/>
      <c r="E16" s="219"/>
      <c r="F16" s="219"/>
      <c r="G16" s="10"/>
      <c r="H16" s="10"/>
      <c r="I16" s="10"/>
      <c r="J16" s="219"/>
      <c r="K16" s="10"/>
      <c r="L16" s="10"/>
      <c r="N16" s="10"/>
      <c r="O16" s="10"/>
      <c r="Q16" s="10">
        <f>B16*0.02</f>
        <v>0</v>
      </c>
      <c r="R16" s="10">
        <f>B16*0.04</f>
        <v>0</v>
      </c>
      <c r="U16" s="10"/>
      <c r="V16" s="10"/>
      <c r="W16" s="10"/>
      <c r="X16" s="10"/>
    </row>
    <row r="17" spans="1:24" x14ac:dyDescent="0.25">
      <c r="A17" s="224" t="s">
        <v>289</v>
      </c>
      <c r="B17" s="219">
        <v>0</v>
      </c>
      <c r="C17" s="219"/>
      <c r="D17" s="219"/>
      <c r="E17" s="219"/>
      <c r="F17" s="219"/>
      <c r="G17" s="10"/>
      <c r="H17" s="10"/>
      <c r="I17" s="10"/>
      <c r="J17" s="219"/>
      <c r="K17" s="10"/>
      <c r="L17" s="10"/>
      <c r="N17" s="10"/>
      <c r="O17" s="10"/>
      <c r="Q17" s="10"/>
      <c r="R17" s="10">
        <f>B17*0.02</f>
        <v>0</v>
      </c>
      <c r="T17" s="1" t="s">
        <v>243</v>
      </c>
    </row>
    <row r="18" spans="1:24" x14ac:dyDescent="0.25">
      <c r="A18" s="3"/>
      <c r="B18" s="219"/>
      <c r="C18" s="225"/>
      <c r="D18" s="225"/>
      <c r="E18" s="219"/>
      <c r="F18" s="219"/>
      <c r="G18" s="12"/>
      <c r="H18" s="12"/>
      <c r="I18" s="12"/>
      <c r="J18" s="219"/>
      <c r="K18" s="12"/>
      <c r="L18" s="12"/>
      <c r="N18" s="12"/>
      <c r="O18" s="12"/>
      <c r="Q18" s="12"/>
      <c r="R18" s="12"/>
      <c r="T18" s="10" t="s">
        <v>281</v>
      </c>
      <c r="U18" s="14">
        <v>0</v>
      </c>
      <c r="V18" s="14"/>
      <c r="W18" s="14">
        <f>U18</f>
        <v>0</v>
      </c>
      <c r="X18" s="14">
        <f>W22</f>
        <v>519076.50302050001</v>
      </c>
    </row>
    <row r="19" spans="1:24" x14ac:dyDescent="0.25">
      <c r="A19" t="s">
        <v>290</v>
      </c>
      <c r="C19" s="10">
        <v>38011.633556199515</v>
      </c>
      <c r="D19" s="10">
        <v>134178.66768937657</v>
      </c>
      <c r="E19" s="10"/>
      <c r="G19" s="10">
        <v>63749.715085664837</v>
      </c>
      <c r="H19" s="10">
        <v>218868.86405017698</v>
      </c>
      <c r="I19" s="10">
        <v>127166.75568726617</v>
      </c>
      <c r="K19" s="10">
        <f>SUM(K8:K18)</f>
        <v>132549.09624720408</v>
      </c>
      <c r="L19" s="10">
        <f>SUM(L8:L18)</f>
        <v>852330.5822520107</v>
      </c>
      <c r="N19" s="10">
        <f>SUM(N8:N18)</f>
        <v>81502.869853875047</v>
      </c>
      <c r="O19" s="10">
        <f>SUM(O8:O18)</f>
        <v>1233566.5202463425</v>
      </c>
      <c r="Q19" s="10">
        <f>SUM(Q8:Q18)</f>
        <v>0</v>
      </c>
      <c r="R19" s="10">
        <f>SUM(R8:R18)</f>
        <v>1301969.382391612</v>
      </c>
      <c r="T19" t="s">
        <v>291</v>
      </c>
      <c r="U19" s="10">
        <v>19162.573523916664</v>
      </c>
      <c r="V19" s="10"/>
      <c r="W19" s="10">
        <v>16425.063020499998</v>
      </c>
      <c r="X19" s="10">
        <v>2737.5105034166663</v>
      </c>
    </row>
    <row r="20" spans="1:24" x14ac:dyDescent="0.25">
      <c r="A20" t="s">
        <v>292</v>
      </c>
      <c r="C20" s="10">
        <v>1347918.3221900244</v>
      </c>
      <c r="D20" s="10">
        <v>2062229.9711511224</v>
      </c>
      <c r="E20" s="10"/>
      <c r="G20" s="10">
        <v>5052514.2457167581</v>
      </c>
      <c r="H20" s="10">
        <v>7241528.3060576348</v>
      </c>
      <c r="I20" s="10">
        <v>0</v>
      </c>
      <c r="K20" s="10">
        <v>7167247.1876397952</v>
      </c>
      <c r="L20" s="10">
        <v>8101523.0129344007</v>
      </c>
      <c r="N20" s="10">
        <v>6603925.5073062479</v>
      </c>
      <c r="O20" s="10">
        <v>5542472.392736515</v>
      </c>
      <c r="Q20" s="10">
        <f>W12*U26</f>
        <v>0</v>
      </c>
      <c r="R20" s="10">
        <f>X12*U26</f>
        <v>0</v>
      </c>
      <c r="T20" t="s">
        <v>10</v>
      </c>
      <c r="U20" s="10">
        <f>-U13</f>
        <v>586426.68000000005</v>
      </c>
      <c r="V20" s="10"/>
      <c r="W20" s="10">
        <f>-W13</f>
        <v>502651.44</v>
      </c>
      <c r="X20" s="10">
        <f>-X13</f>
        <v>83775.240000000005</v>
      </c>
    </row>
    <row r="21" spans="1:24" x14ac:dyDescent="0.25">
      <c r="A21" t="s">
        <v>251</v>
      </c>
      <c r="C21" s="10">
        <v>238670</v>
      </c>
      <c r="D21" s="10">
        <v>328400</v>
      </c>
      <c r="E21" s="10"/>
      <c r="G21" s="10">
        <v>824000</v>
      </c>
      <c r="H21" s="10">
        <v>1181000</v>
      </c>
      <c r="I21" s="10">
        <v>0</v>
      </c>
      <c r="K21" s="10">
        <v>1076944.08</v>
      </c>
      <c r="L21" s="10">
        <v>1737924.5000000002</v>
      </c>
      <c r="N21" s="10">
        <v>1067906.8999999999</v>
      </c>
      <c r="O21" s="10">
        <v>896261.55</v>
      </c>
      <c r="Q21" s="10">
        <f>W21</f>
        <v>0</v>
      </c>
      <c r="R21" s="10">
        <f>X21</f>
        <v>0</v>
      </c>
      <c r="T21" t="s">
        <v>251</v>
      </c>
      <c r="U21" s="10">
        <v>0</v>
      </c>
      <c r="V21" s="10"/>
      <c r="W21" s="10">
        <v>0</v>
      </c>
      <c r="X21" s="10">
        <v>0</v>
      </c>
    </row>
    <row r="22" spans="1:24" ht="15.75" thickBot="1" x14ac:dyDescent="0.3">
      <c r="A22" t="s">
        <v>293</v>
      </c>
      <c r="C22" s="10"/>
      <c r="D22" s="10"/>
      <c r="E22" s="10"/>
      <c r="G22" s="10"/>
      <c r="H22" s="10"/>
      <c r="I22" s="10"/>
      <c r="K22" s="10"/>
      <c r="L22" s="10"/>
      <c r="N22" s="10"/>
      <c r="O22" s="10"/>
      <c r="Q22" s="10"/>
      <c r="R22" s="10"/>
      <c r="T22" t="s">
        <v>286</v>
      </c>
      <c r="U22" s="223">
        <f>SUM(U18:U21)</f>
        <v>605589.2535239167</v>
      </c>
      <c r="V22" s="10"/>
      <c r="W22" s="223">
        <f>SUM(W18:W21)</f>
        <v>519076.50302050001</v>
      </c>
      <c r="X22" s="223">
        <f>SUM(X18:X21)</f>
        <v>605589.2535239167</v>
      </c>
    </row>
    <row r="23" spans="1:24" ht="15.75" thickTop="1" x14ac:dyDescent="0.25">
      <c r="A23" t="s">
        <v>19</v>
      </c>
      <c r="C23" s="12">
        <f>C19+C20+C21+C22</f>
        <v>1624599.9557462239</v>
      </c>
      <c r="D23" s="12">
        <f>D19+D20+D21+D22</f>
        <v>2524808.6388404989</v>
      </c>
      <c r="E23" s="10"/>
      <c r="G23" s="12">
        <f>G19+G20+G21+G22</f>
        <v>5940263.9608024228</v>
      </c>
      <c r="H23" s="12">
        <f>H19+H20+H21+H22</f>
        <v>8641397.1701078117</v>
      </c>
      <c r="I23" s="12">
        <f>I19+I20+I21+I22</f>
        <v>127166.75568726617</v>
      </c>
      <c r="K23" s="12">
        <f>K19+K20+K21+K22</f>
        <v>8376740.363886999</v>
      </c>
      <c r="L23" s="12">
        <f>L19+L20+L21+L22</f>
        <v>10691778.095186412</v>
      </c>
      <c r="N23" s="12">
        <f>N19+N20+N21+N22</f>
        <v>7753335.277160123</v>
      </c>
      <c r="O23" s="12">
        <f>O19+O20+O21+O22</f>
        <v>7672300.4629828576</v>
      </c>
      <c r="Q23" s="12">
        <f>Q19+Q20+Q21+Q22</f>
        <v>0</v>
      </c>
      <c r="R23" s="12">
        <f>R19+R20+R21+R22</f>
        <v>1301969.382391612</v>
      </c>
    </row>
    <row r="24" spans="1:24" x14ac:dyDescent="0.25">
      <c r="A24" t="s">
        <v>294</v>
      </c>
      <c r="C24" s="12">
        <v>66322.351931245343</v>
      </c>
      <c r="D24" s="12">
        <v>101469.01311321819</v>
      </c>
      <c r="E24" s="10"/>
      <c r="G24" s="12">
        <v>120283.33815133394</v>
      </c>
      <c r="H24" s="12">
        <v>172396.3863552493</v>
      </c>
      <c r="I24" s="12">
        <v>119969.49206271092</v>
      </c>
      <c r="K24" s="12">
        <v>102829.8677190172</v>
      </c>
      <c r="L24" s="12">
        <v>326763.0168089557</v>
      </c>
      <c r="N24" s="12">
        <v>83080.339173937929</v>
      </c>
      <c r="O24" s="12">
        <v>62409.464507702745</v>
      </c>
      <c r="Q24" s="12">
        <f>-W19</f>
        <v>-16425.063020499998</v>
      </c>
      <c r="R24" s="12">
        <f>-X19</f>
        <v>-2737.5105034166663</v>
      </c>
    </row>
    <row r="25" spans="1:24" x14ac:dyDescent="0.25">
      <c r="A25" t="s">
        <v>295</v>
      </c>
      <c r="C25" s="10">
        <v>1558277.6038149786</v>
      </c>
      <c r="D25" s="10">
        <v>2423339.6257272805</v>
      </c>
      <c r="E25" s="10"/>
      <c r="G25" s="10">
        <v>5819980.622651089</v>
      </c>
      <c r="H25" s="10">
        <v>8469000.7837525625</v>
      </c>
      <c r="I25" s="10">
        <v>7197.2636245552421</v>
      </c>
      <c r="K25" s="10">
        <f>K23-K24</f>
        <v>8273910.496167982</v>
      </c>
      <c r="L25" s="10">
        <f>L23-L24</f>
        <v>10365015.078377457</v>
      </c>
      <c r="N25" s="10">
        <f>N23-N24</f>
        <v>7670254.9379861848</v>
      </c>
      <c r="O25" s="10">
        <f>O23-O24</f>
        <v>7609890.9984751549</v>
      </c>
      <c r="Q25" s="10">
        <f>Q23-Q24</f>
        <v>16425.063020499998</v>
      </c>
      <c r="R25" s="10">
        <f>R23-R24</f>
        <v>1304706.8928950287</v>
      </c>
    </row>
    <row r="26" spans="1:24" x14ac:dyDescent="0.25">
      <c r="A26" t="s">
        <v>296</v>
      </c>
      <c r="C26" s="15">
        <v>0.2495</v>
      </c>
      <c r="D26" s="15">
        <v>0.2495</v>
      </c>
      <c r="E26" s="226"/>
      <c r="G26" s="15">
        <v>0.2495</v>
      </c>
      <c r="H26" s="15">
        <v>0.2495</v>
      </c>
      <c r="I26" s="15">
        <v>0.2495</v>
      </c>
      <c r="K26" s="15">
        <f>0.05+(1-0.05)*0.21</f>
        <v>0.2495</v>
      </c>
      <c r="L26" s="227">
        <f>0.05+(1-0.05)*0.21</f>
        <v>0.2495</v>
      </c>
      <c r="N26" s="15">
        <f>0.05+(1-0.05)*0.21</f>
        <v>0.2495</v>
      </c>
      <c r="O26" s="227">
        <f>0.05+(1-0.05)*0.21</f>
        <v>0.2495</v>
      </c>
      <c r="Q26" s="15">
        <f>0.05+(1-0.05)*0.21</f>
        <v>0.2495</v>
      </c>
      <c r="R26" s="227">
        <f>0.05+(1-0.05)*0.21</f>
        <v>0.2495</v>
      </c>
      <c r="T26" t="s">
        <v>292</v>
      </c>
      <c r="U26" s="2">
        <v>0.61839899220674088</v>
      </c>
      <c r="V26" t="s">
        <v>297</v>
      </c>
    </row>
    <row r="27" spans="1:24" ht="15.75" thickBot="1" x14ac:dyDescent="0.3">
      <c r="A27" t="s">
        <v>258</v>
      </c>
      <c r="C27" s="228">
        <v>388790.26215183717</v>
      </c>
      <c r="D27" s="228">
        <v>604623.23661895643</v>
      </c>
      <c r="E27" s="14"/>
      <c r="G27" s="228">
        <v>1452085.1653514467</v>
      </c>
      <c r="H27" s="228">
        <v>2113015.6955462643</v>
      </c>
      <c r="I27" s="228">
        <v>1795.717274326533</v>
      </c>
      <c r="K27" s="228">
        <f>K25*K26</f>
        <v>2064340.6687939116</v>
      </c>
      <c r="L27" s="228">
        <f>L25*L26</f>
        <v>2586071.2620551754</v>
      </c>
      <c r="N27" s="228">
        <f>N25*N26</f>
        <v>1913728.607027553</v>
      </c>
      <c r="O27" s="228">
        <f>O25*O26</f>
        <v>1898667.8041195511</v>
      </c>
      <c r="Q27" s="228">
        <f>Q25*Q26</f>
        <v>4098.0532236147492</v>
      </c>
      <c r="R27" s="228">
        <f>R25*R26</f>
        <v>325524.36977730965</v>
      </c>
    </row>
    <row r="28" spans="1:24" ht="15.75" thickTop="1" x14ac:dyDescent="0.25"/>
    <row r="30" spans="1:24" x14ac:dyDescent="0.25">
      <c r="A30" s="1" t="s">
        <v>258</v>
      </c>
      <c r="C30" s="10"/>
      <c r="D30" s="10"/>
      <c r="E30" s="10"/>
      <c r="G30" s="10"/>
      <c r="H30" s="10"/>
      <c r="I30" s="10"/>
      <c r="K30" s="10"/>
      <c r="L30" s="10"/>
      <c r="N30" s="10"/>
      <c r="O30" s="10"/>
      <c r="Q30" s="10"/>
      <c r="R30" s="10"/>
    </row>
    <row r="31" spans="1:24" x14ac:dyDescent="0.25">
      <c r="A31" s="10" t="s">
        <v>281</v>
      </c>
      <c r="C31" s="14">
        <v>0</v>
      </c>
      <c r="D31" s="14">
        <v>-388790.26215183717</v>
      </c>
      <c r="E31" s="14">
        <v>-993413.49877079367</v>
      </c>
      <c r="G31" s="14">
        <v>-1411826.1682918021</v>
      </c>
      <c r="H31" s="14">
        <v>-2863911.3336432488</v>
      </c>
      <c r="I31" s="14">
        <v>-4976927.0291895131</v>
      </c>
      <c r="K31" s="14">
        <f>I33</f>
        <v>-4978722.7464638399</v>
      </c>
      <c r="L31" s="14">
        <f>K33</f>
        <v>-7043063.4152577519</v>
      </c>
      <c r="N31" s="14">
        <f>L33</f>
        <v>-9629134.6773129273</v>
      </c>
      <c r="O31" s="14">
        <f>N33</f>
        <v>-11542863.28434048</v>
      </c>
      <c r="Q31" s="14">
        <f>O33</f>
        <v>-13441531.088460032</v>
      </c>
      <c r="R31" s="14">
        <f>Q33</f>
        <v>-13445629.141683647</v>
      </c>
    </row>
    <row r="32" spans="1:24" x14ac:dyDescent="0.25">
      <c r="A32" t="s">
        <v>298</v>
      </c>
      <c r="C32" s="10">
        <v>-388790.26215183717</v>
      </c>
      <c r="D32" s="10">
        <v>-604623.23661895643</v>
      </c>
      <c r="E32" s="10">
        <v>-418412.66952100839</v>
      </c>
      <c r="G32" s="10">
        <v>-1452085.1653514467</v>
      </c>
      <c r="H32" s="10">
        <v>-2113015.6955462643</v>
      </c>
      <c r="I32" s="10">
        <v>-1795.717274326533</v>
      </c>
      <c r="K32" s="10">
        <v>-2064340.6687939116</v>
      </c>
      <c r="L32" s="10">
        <v>-2586071.2620551754</v>
      </c>
      <c r="N32" s="10">
        <v>-1913728.607027553</v>
      </c>
      <c r="O32" s="10">
        <v>-1898667.8041195511</v>
      </c>
      <c r="Q32" s="10">
        <f>-Q27</f>
        <v>-4098.0532236147492</v>
      </c>
      <c r="R32" s="10">
        <f>-R27</f>
        <v>-325524.36977730965</v>
      </c>
    </row>
    <row r="33" spans="1:25" ht="15.75" thickBot="1" x14ac:dyDescent="0.3">
      <c r="A33" t="s">
        <v>286</v>
      </c>
      <c r="C33" s="223">
        <f>C31+C32</f>
        <v>-388790.26215183717</v>
      </c>
      <c r="D33" s="223">
        <f>D31+D32</f>
        <v>-993413.49877079367</v>
      </c>
      <c r="E33" s="223">
        <f>E31+E32</f>
        <v>-1411826.1682918021</v>
      </c>
      <c r="G33" s="223">
        <f>G31+G32</f>
        <v>-2863911.3336432488</v>
      </c>
      <c r="H33" s="223">
        <f>H31+H32</f>
        <v>-4976927.0291895131</v>
      </c>
      <c r="I33" s="223">
        <f>I31+I32</f>
        <v>-4978722.7464638399</v>
      </c>
      <c r="K33" s="223">
        <f>K31+K32</f>
        <v>-7043063.4152577519</v>
      </c>
      <c r="L33" s="223">
        <f>L31+L32</f>
        <v>-9629134.6773129273</v>
      </c>
      <c r="N33" s="223">
        <f>N31+N32</f>
        <v>-11542863.28434048</v>
      </c>
      <c r="O33" s="223">
        <f>O31+O32</f>
        <v>-13441531.088460032</v>
      </c>
      <c r="Q33" s="223">
        <f>Q31+Q32</f>
        <v>-13445629.141683647</v>
      </c>
      <c r="R33" s="223">
        <f>R31+R32</f>
        <v>-13771153.511460956</v>
      </c>
    </row>
    <row r="34" spans="1:25" ht="15.75" thickTop="1" x14ac:dyDescent="0.25">
      <c r="G34" s="10"/>
      <c r="H34" s="10"/>
      <c r="I34" s="10"/>
      <c r="K34" s="10"/>
      <c r="L34" s="10"/>
      <c r="N34" s="10"/>
      <c r="O34" s="10"/>
      <c r="Q34" s="10"/>
      <c r="R34" s="10"/>
    </row>
    <row r="35" spans="1:25" x14ac:dyDescent="0.25">
      <c r="A35" s="1" t="s">
        <v>299</v>
      </c>
    </row>
    <row r="36" spans="1:25" x14ac:dyDescent="0.25">
      <c r="A36" s="10" t="s">
        <v>281</v>
      </c>
      <c r="E36" s="10"/>
      <c r="G36" s="10"/>
      <c r="H36" s="10"/>
      <c r="K36" s="10"/>
      <c r="N36" s="10"/>
      <c r="O36" s="14">
        <f>+N31</f>
        <v>-9629134.6773129273</v>
      </c>
      <c r="Q36" s="10"/>
      <c r="R36" s="191">
        <f>O38</f>
        <v>-11379529.467910377</v>
      </c>
    </row>
    <row r="37" spans="1:25" x14ac:dyDescent="0.25">
      <c r="A37" t="s">
        <v>300</v>
      </c>
      <c r="O37" s="207">
        <f>+P55</f>
        <v>-1750394.7905974493</v>
      </c>
      <c r="R37" s="198">
        <f>SUM(X42:X48)</f>
        <v>-142799.8802635234</v>
      </c>
      <c r="T37" s="239"/>
    </row>
    <row r="38" spans="1:25" ht="15.75" thickBot="1" x14ac:dyDescent="0.3">
      <c r="A38" t="s">
        <v>286</v>
      </c>
      <c r="M38" s="191"/>
      <c r="O38" s="229">
        <f>+O36+O37</f>
        <v>-11379529.467910377</v>
      </c>
      <c r="P38" s="191">
        <f>O36-O33+Q41</f>
        <v>0</v>
      </c>
      <c r="R38" s="229">
        <f>+R36+R37</f>
        <v>-11522329.348173901</v>
      </c>
    </row>
    <row r="39" spans="1:25" ht="15.75" thickTop="1" x14ac:dyDescent="0.25"/>
    <row r="40" spans="1:25" ht="47.25" x14ac:dyDescent="0.4">
      <c r="N40" s="207"/>
      <c r="P40" s="230" t="s">
        <v>301</v>
      </c>
      <c r="Q40" s="231" t="s">
        <v>302</v>
      </c>
      <c r="V40" s="207"/>
      <c r="X40" s="230" t="s">
        <v>301</v>
      </c>
      <c r="Y40" s="231" t="s">
        <v>302</v>
      </c>
    </row>
    <row r="41" spans="1:25" ht="32.25" x14ac:dyDescent="0.4">
      <c r="K41" s="232"/>
      <c r="L41" s="233" t="s">
        <v>303</v>
      </c>
      <c r="M41" s="233" t="s">
        <v>304</v>
      </c>
      <c r="N41" s="234" t="s">
        <v>305</v>
      </c>
      <c r="O41" s="235" t="s">
        <v>306</v>
      </c>
      <c r="P41" s="236">
        <f>+Q41/12</f>
        <v>-317699.70092892536</v>
      </c>
      <c r="Q41" s="236">
        <f>SUM(N32:O32)</f>
        <v>-3812396.4111471041</v>
      </c>
      <c r="S41" s="232"/>
      <c r="T41" s="233" t="s">
        <v>303</v>
      </c>
      <c r="U41" s="233" t="s">
        <v>304</v>
      </c>
      <c r="V41" s="234" t="s">
        <v>305</v>
      </c>
      <c r="W41" s="235" t="s">
        <v>306</v>
      </c>
      <c r="X41" s="236">
        <f>+Y41/7</f>
        <v>-47088.917571560632</v>
      </c>
      <c r="Y41" s="236">
        <f>R32+Q32</f>
        <v>-329622.42300092441</v>
      </c>
    </row>
    <row r="42" spans="1:25" x14ac:dyDescent="0.25">
      <c r="K42" t="s">
        <v>307</v>
      </c>
      <c r="L42">
        <v>31</v>
      </c>
      <c r="M42">
        <f>+L42</f>
        <v>31</v>
      </c>
      <c r="N42" s="207">
        <f t="shared" ref="N42:N48" si="1">+N43+L43</f>
        <v>335</v>
      </c>
      <c r="O42" s="237">
        <f t="shared" ref="O42:O53" si="2">+N42/$M$53</f>
        <v>0.9178082191780822</v>
      </c>
      <c r="P42" s="207">
        <f t="shared" ref="P42:P53" si="3">+O42*$P$41</f>
        <v>-291587.39674298628</v>
      </c>
      <c r="S42" t="s">
        <v>307</v>
      </c>
      <c r="T42">
        <v>31</v>
      </c>
      <c r="U42">
        <f>+T42</f>
        <v>31</v>
      </c>
      <c r="V42" s="207">
        <v>185</v>
      </c>
      <c r="W42" s="237">
        <f t="shared" ref="W42:W48" si="4">+V42/$T$55</f>
        <v>0.86046511627906974</v>
      </c>
      <c r="X42" s="207">
        <f t="shared" ref="X42:X48" si="5">$X$41*W42</f>
        <v>-40518.370933668448</v>
      </c>
    </row>
    <row r="43" spans="1:25" x14ac:dyDescent="0.25">
      <c r="K43" t="s">
        <v>308</v>
      </c>
      <c r="L43">
        <v>31</v>
      </c>
      <c r="M43">
        <f>+M42+L43</f>
        <v>62</v>
      </c>
      <c r="N43" s="207">
        <f t="shared" si="1"/>
        <v>304</v>
      </c>
      <c r="O43" s="237">
        <f t="shared" si="2"/>
        <v>0.83287671232876714</v>
      </c>
      <c r="P43" s="207">
        <f t="shared" si="3"/>
        <v>-264604.6824175159</v>
      </c>
      <c r="S43" t="s">
        <v>308</v>
      </c>
      <c r="T43">
        <v>31</v>
      </c>
      <c r="U43">
        <f>+U42+T43</f>
        <v>62</v>
      </c>
      <c r="V43" s="207">
        <v>154</v>
      </c>
      <c r="W43" s="237">
        <f t="shared" si="4"/>
        <v>0.71627906976744182</v>
      </c>
      <c r="X43" s="207">
        <f t="shared" si="5"/>
        <v>-33728.806074513195</v>
      </c>
    </row>
    <row r="44" spans="1:25" x14ac:dyDescent="0.25">
      <c r="K44" t="s">
        <v>309</v>
      </c>
      <c r="L44">
        <v>30</v>
      </c>
      <c r="M44">
        <f t="shared" ref="M44:M53" si="6">+M43+L44</f>
        <v>92</v>
      </c>
      <c r="N44" s="207">
        <f t="shared" si="1"/>
        <v>274</v>
      </c>
      <c r="O44" s="237">
        <f t="shared" si="2"/>
        <v>0.75068493150684934</v>
      </c>
      <c r="P44" s="207">
        <f t="shared" si="3"/>
        <v>-238492.37823157685</v>
      </c>
      <c r="S44" t="s">
        <v>309</v>
      </c>
      <c r="T44">
        <v>30</v>
      </c>
      <c r="U44">
        <f t="shared" ref="U44:U48" si="7">+U43+T44</f>
        <v>92</v>
      </c>
      <c r="V44" s="207">
        <v>124</v>
      </c>
      <c r="W44" s="237">
        <f t="shared" si="4"/>
        <v>0.57674418604651168</v>
      </c>
      <c r="X44" s="207">
        <f t="shared" si="5"/>
        <v>-27158.259436621018</v>
      </c>
    </row>
    <row r="45" spans="1:25" x14ac:dyDescent="0.25">
      <c r="K45" t="s">
        <v>310</v>
      </c>
      <c r="L45">
        <v>31</v>
      </c>
      <c r="M45">
        <f t="shared" si="6"/>
        <v>123</v>
      </c>
      <c r="N45" s="207">
        <f t="shared" si="1"/>
        <v>243</v>
      </c>
      <c r="O45" s="237">
        <f t="shared" si="2"/>
        <v>0.66575342465753429</v>
      </c>
      <c r="P45" s="207">
        <f t="shared" si="3"/>
        <v>-211509.66390610649</v>
      </c>
      <c r="S45" t="s">
        <v>310</v>
      </c>
      <c r="T45">
        <v>31</v>
      </c>
      <c r="U45">
        <f t="shared" si="7"/>
        <v>123</v>
      </c>
      <c r="V45" s="207">
        <v>93</v>
      </c>
      <c r="W45" s="237">
        <f t="shared" si="4"/>
        <v>0.4325581395348837</v>
      </c>
      <c r="X45" s="207">
        <f t="shared" si="5"/>
        <v>-20368.694577465762</v>
      </c>
    </row>
    <row r="46" spans="1:25" x14ac:dyDescent="0.25">
      <c r="K46" t="s">
        <v>311</v>
      </c>
      <c r="L46">
        <v>30</v>
      </c>
      <c r="M46">
        <f t="shared" si="6"/>
        <v>153</v>
      </c>
      <c r="N46" s="207">
        <f t="shared" si="1"/>
        <v>213</v>
      </c>
      <c r="O46" s="237">
        <f t="shared" si="2"/>
        <v>0.58356164383561648</v>
      </c>
      <c r="P46" s="207">
        <f t="shared" si="3"/>
        <v>-185397.35972016741</v>
      </c>
      <c r="S46" t="s">
        <v>311</v>
      </c>
      <c r="T46">
        <v>30</v>
      </c>
      <c r="U46">
        <f t="shared" si="7"/>
        <v>153</v>
      </c>
      <c r="V46" s="207">
        <v>63</v>
      </c>
      <c r="W46" s="237">
        <f t="shared" si="4"/>
        <v>0.2930232558139535</v>
      </c>
      <c r="X46" s="207">
        <f t="shared" si="5"/>
        <v>-13798.147939573581</v>
      </c>
    </row>
    <row r="47" spans="1:25" x14ac:dyDescent="0.25">
      <c r="K47" t="s">
        <v>312</v>
      </c>
      <c r="L47">
        <v>31</v>
      </c>
      <c r="M47">
        <f t="shared" si="6"/>
        <v>184</v>
      </c>
      <c r="N47" s="207">
        <f t="shared" si="1"/>
        <v>182</v>
      </c>
      <c r="O47" s="237">
        <f t="shared" si="2"/>
        <v>0.49863013698630138</v>
      </c>
      <c r="P47" s="207">
        <f t="shared" si="3"/>
        <v>-158414.64539469703</v>
      </c>
      <c r="S47" t="s">
        <v>312</v>
      </c>
      <c r="T47">
        <v>31</v>
      </c>
      <c r="U47">
        <f t="shared" si="7"/>
        <v>184</v>
      </c>
      <c r="V47" s="207">
        <v>32</v>
      </c>
      <c r="W47" s="237">
        <f t="shared" si="4"/>
        <v>0.14883720930232558</v>
      </c>
      <c r="X47" s="207">
        <f t="shared" si="5"/>
        <v>-7008.583080418327</v>
      </c>
    </row>
    <row r="48" spans="1:25" x14ac:dyDescent="0.25">
      <c r="K48" t="s">
        <v>313</v>
      </c>
      <c r="L48">
        <v>31</v>
      </c>
      <c r="M48">
        <f t="shared" si="6"/>
        <v>215</v>
      </c>
      <c r="N48" s="207">
        <f t="shared" si="1"/>
        <v>151</v>
      </c>
      <c r="O48" s="237">
        <f t="shared" si="2"/>
        <v>0.41369863013698632</v>
      </c>
      <c r="P48" s="207">
        <f t="shared" si="3"/>
        <v>-131431.93106922667</v>
      </c>
      <c r="S48" t="s">
        <v>313</v>
      </c>
      <c r="T48">
        <v>31</v>
      </c>
      <c r="U48">
        <f t="shared" si="7"/>
        <v>215</v>
      </c>
      <c r="V48" s="207">
        <v>1</v>
      </c>
      <c r="W48" s="237">
        <f t="shared" si="4"/>
        <v>4.6511627906976744E-3</v>
      </c>
      <c r="X48" s="207">
        <f t="shared" si="5"/>
        <v>-219.01822126307272</v>
      </c>
    </row>
    <row r="49" spans="11:24" x14ac:dyDescent="0.25">
      <c r="K49" t="s">
        <v>314</v>
      </c>
      <c r="L49">
        <v>28</v>
      </c>
      <c r="M49">
        <f t="shared" si="6"/>
        <v>243</v>
      </c>
      <c r="N49" s="207">
        <f>+N50+L50</f>
        <v>123</v>
      </c>
      <c r="O49" s="237">
        <f t="shared" si="2"/>
        <v>0.33698630136986302</v>
      </c>
      <c r="P49" s="207">
        <f t="shared" si="3"/>
        <v>-107060.44716235019</v>
      </c>
      <c r="S49" t="s">
        <v>314</v>
      </c>
      <c r="V49" s="198"/>
      <c r="W49" s="237"/>
      <c r="X49" s="198"/>
    </row>
    <row r="50" spans="11:24" x14ac:dyDescent="0.25">
      <c r="K50" t="s">
        <v>315</v>
      </c>
      <c r="L50">
        <v>31</v>
      </c>
      <c r="M50">
        <f t="shared" si="6"/>
        <v>274</v>
      </c>
      <c r="N50" s="207">
        <f>+N51+L51</f>
        <v>92</v>
      </c>
      <c r="O50" s="237">
        <f t="shared" si="2"/>
        <v>0.25205479452054796</v>
      </c>
      <c r="P50" s="207">
        <f t="shared" si="3"/>
        <v>-80077.732836879819</v>
      </c>
      <c r="S50" t="s">
        <v>315</v>
      </c>
      <c r="V50" s="198"/>
      <c r="W50" s="237"/>
      <c r="X50" s="198"/>
    </row>
    <row r="51" spans="11:24" x14ac:dyDescent="0.25">
      <c r="K51" t="s">
        <v>316</v>
      </c>
      <c r="L51">
        <v>30</v>
      </c>
      <c r="M51">
        <f t="shared" si="6"/>
        <v>304</v>
      </c>
      <c r="N51" s="207">
        <f>+N52+L52</f>
        <v>62</v>
      </c>
      <c r="O51" s="237">
        <f t="shared" si="2"/>
        <v>0.16986301369863013</v>
      </c>
      <c r="P51" s="207">
        <f t="shared" si="3"/>
        <v>-53965.428650940747</v>
      </c>
      <c r="S51" t="s">
        <v>316</v>
      </c>
      <c r="V51" s="198"/>
      <c r="W51" s="237"/>
      <c r="X51" s="198"/>
    </row>
    <row r="52" spans="11:24" x14ac:dyDescent="0.25">
      <c r="K52" t="s">
        <v>317</v>
      </c>
      <c r="L52">
        <v>31</v>
      </c>
      <c r="M52">
        <f t="shared" si="6"/>
        <v>335</v>
      </c>
      <c r="N52" s="207">
        <f>+N53+L53</f>
        <v>31</v>
      </c>
      <c r="O52" s="237">
        <f t="shared" si="2"/>
        <v>8.4931506849315067E-2</v>
      </c>
      <c r="P52" s="207">
        <f t="shared" si="3"/>
        <v>-26982.714325470373</v>
      </c>
      <c r="S52" t="s">
        <v>317</v>
      </c>
      <c r="V52" s="198"/>
      <c r="W52" s="237"/>
      <c r="X52" s="198"/>
    </row>
    <row r="53" spans="11:24" x14ac:dyDescent="0.25">
      <c r="K53" t="s">
        <v>318</v>
      </c>
      <c r="L53">
        <v>30</v>
      </c>
      <c r="M53">
        <f t="shared" si="6"/>
        <v>365</v>
      </c>
      <c r="N53" s="207">
        <v>1</v>
      </c>
      <c r="O53" s="237">
        <f t="shared" si="2"/>
        <v>2.7397260273972603E-3</v>
      </c>
      <c r="P53" s="207">
        <f t="shared" si="3"/>
        <v>-870.41013953130232</v>
      </c>
      <c r="S53" t="s">
        <v>318</v>
      </c>
      <c r="V53" s="198"/>
      <c r="W53" s="237"/>
      <c r="X53" s="198"/>
    </row>
    <row r="54" spans="11:24" x14ac:dyDescent="0.25">
      <c r="N54" s="207"/>
      <c r="V54" s="207"/>
    </row>
    <row r="55" spans="11:24" ht="15.75" thickBot="1" x14ac:dyDescent="0.3">
      <c r="K55" s="203" t="s">
        <v>319</v>
      </c>
      <c r="L55" s="238">
        <f>SUM(L42:L54)</f>
        <v>365</v>
      </c>
      <c r="N55" s="207"/>
      <c r="P55" s="229">
        <f>SUM(P42:P53)</f>
        <v>-1750394.7905974493</v>
      </c>
      <c r="S55" s="203" t="s">
        <v>319</v>
      </c>
      <c r="T55" s="238">
        <f>SUM(T42:T54)</f>
        <v>215</v>
      </c>
      <c r="V55" s="207"/>
      <c r="X55" s="229">
        <f>SUM(X42:X53)</f>
        <v>-142799.8802635234</v>
      </c>
    </row>
    <row r="56" spans="11:24" ht="15.75" thickTop="1" x14ac:dyDescent="0.25">
      <c r="P56" s="2">
        <f>+P55/Q41</f>
        <v>0.45913242009132427</v>
      </c>
      <c r="X56" s="2">
        <f>+X55/Y41</f>
        <v>0.43322259136212626</v>
      </c>
    </row>
  </sheetData>
  <mergeCells count="6">
    <mergeCell ref="W8:X8"/>
    <mergeCell ref="C6:D6"/>
    <mergeCell ref="G6:I6"/>
    <mergeCell ref="K6:L6"/>
    <mergeCell ref="N6:O6"/>
    <mergeCell ref="Q6:R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2674-3FCC-4872-96BA-C79639477B09}">
  <sheetPr>
    <pageSetUpPr fitToPage="1"/>
  </sheetPr>
  <dimension ref="A1:S115"/>
  <sheetViews>
    <sheetView zoomScaleNormal="100" zoomScaleSheetLayoutView="85" workbookViewId="0"/>
  </sheetViews>
  <sheetFormatPr defaultColWidth="9.140625" defaultRowHeight="15" x14ac:dyDescent="0.25"/>
  <cols>
    <col min="1" max="1" width="7.42578125" style="18" customWidth="1"/>
    <col min="2" max="2" width="59.28515625" style="18" customWidth="1"/>
    <col min="3" max="3" width="1.5703125" style="18" hidden="1" customWidth="1"/>
    <col min="4" max="4" width="21.5703125" style="18" hidden="1" customWidth="1"/>
    <col min="5" max="5" width="27.28515625" style="18" customWidth="1"/>
    <col min="6" max="6" width="30.28515625" style="18" customWidth="1"/>
    <col min="7" max="7" width="21.5703125" style="50" customWidth="1"/>
    <col min="8" max="8" width="70.42578125" style="18" customWidth="1"/>
    <col min="9" max="9" width="9.140625" style="18"/>
    <col min="10" max="10" width="14" style="18" customWidth="1"/>
    <col min="11" max="16384" width="9.140625" style="18"/>
  </cols>
  <sheetData>
    <row r="1" spans="1:8" x14ac:dyDescent="0.25">
      <c r="A1" s="29"/>
      <c r="B1" s="49"/>
      <c r="C1" s="49"/>
      <c r="D1" s="49"/>
      <c r="E1" s="49"/>
      <c r="F1" s="34"/>
      <c r="H1" s="51" t="s">
        <v>48</v>
      </c>
    </row>
    <row r="2" spans="1:8" hidden="1" x14ac:dyDescent="0.25">
      <c r="A2" s="29"/>
      <c r="B2" s="49"/>
      <c r="C2" s="49"/>
      <c r="D2" s="49"/>
      <c r="E2" s="49"/>
      <c r="F2" s="52"/>
      <c r="H2" s="53" t="e">
        <f ca="1">RIGHT(CELL("filename",$A$1),LEN(CELL("filename",$A$1))-SEARCH("\Exhibits",CELL("filename",$A$1),1))</f>
        <v>#VALUE!</v>
      </c>
    </row>
    <row r="3" spans="1:8" hidden="1" x14ac:dyDescent="0.25">
      <c r="A3" s="49"/>
      <c r="B3" s="49"/>
      <c r="C3" s="49"/>
      <c r="D3" s="49"/>
      <c r="E3" s="49"/>
      <c r="F3" s="34"/>
      <c r="H3" s="53" t="s">
        <v>49</v>
      </c>
    </row>
    <row r="4" spans="1:8" x14ac:dyDescent="0.25">
      <c r="H4" s="34"/>
    </row>
    <row r="5" spans="1:8" x14ac:dyDescent="0.25">
      <c r="A5" s="327" t="s">
        <v>6</v>
      </c>
      <c r="B5" s="327"/>
      <c r="C5" s="327"/>
      <c r="D5" s="327"/>
      <c r="E5" s="327"/>
      <c r="F5" s="327"/>
      <c r="G5" s="327"/>
      <c r="H5" s="327"/>
    </row>
    <row r="6" spans="1:8" x14ac:dyDescent="0.25">
      <c r="A6" s="327" t="s">
        <v>214</v>
      </c>
      <c r="B6" s="327"/>
      <c r="C6" s="327"/>
      <c r="D6" s="327"/>
      <c r="E6" s="327"/>
      <c r="F6" s="327"/>
      <c r="G6" s="327"/>
      <c r="H6" s="327"/>
    </row>
    <row r="7" spans="1:8" x14ac:dyDescent="0.25">
      <c r="A7" s="327" t="s">
        <v>50</v>
      </c>
      <c r="B7" s="327"/>
      <c r="C7" s="327"/>
      <c r="D7" s="327"/>
      <c r="E7" s="327"/>
      <c r="F7" s="327"/>
      <c r="G7" s="327"/>
      <c r="H7" s="327"/>
    </row>
    <row r="8" spans="1:8" x14ac:dyDescent="0.25">
      <c r="A8" s="327"/>
      <c r="B8" s="327"/>
      <c r="C8" s="327"/>
      <c r="D8" s="327"/>
      <c r="E8" s="327"/>
      <c r="F8" s="327"/>
      <c r="G8" s="327"/>
      <c r="H8" s="327"/>
    </row>
    <row r="9" spans="1:8" x14ac:dyDescent="0.25">
      <c r="A9" s="327"/>
      <c r="B9" s="327"/>
      <c r="C9" s="327"/>
      <c r="D9" s="327"/>
      <c r="E9" s="327"/>
      <c r="F9" s="327"/>
      <c r="G9" s="327"/>
      <c r="H9" s="327"/>
    </row>
    <row r="10" spans="1:8" x14ac:dyDescent="0.25">
      <c r="A10" s="29"/>
      <c r="B10" s="29"/>
      <c r="C10" s="29"/>
      <c r="D10" s="29"/>
      <c r="E10" s="29"/>
      <c r="F10" s="29"/>
      <c r="H10" s="55" t="s">
        <v>48</v>
      </c>
    </row>
    <row r="11" spans="1:8" x14ac:dyDescent="0.25">
      <c r="A11" s="56" t="s">
        <v>51</v>
      </c>
      <c r="B11" s="49"/>
      <c r="C11" s="29"/>
      <c r="D11" s="29"/>
      <c r="E11" s="29"/>
      <c r="F11" s="29"/>
      <c r="H11" s="55" t="s">
        <v>108</v>
      </c>
    </row>
    <row r="12" spans="1:8" x14ac:dyDescent="0.25">
      <c r="A12" s="57" t="s">
        <v>52</v>
      </c>
      <c r="B12" s="49"/>
      <c r="C12" s="49"/>
      <c r="D12" s="58"/>
      <c r="E12" s="54"/>
      <c r="F12" s="54"/>
      <c r="H12" s="8" t="s">
        <v>53</v>
      </c>
    </row>
    <row r="13" spans="1:8" x14ac:dyDescent="0.25">
      <c r="A13" s="54"/>
      <c r="B13" s="49"/>
      <c r="C13" s="49"/>
      <c r="D13" s="58" t="s">
        <v>54</v>
      </c>
      <c r="E13" s="54" t="s">
        <v>55</v>
      </c>
      <c r="F13" s="54" t="s">
        <v>56</v>
      </c>
      <c r="G13" s="54" t="s">
        <v>54</v>
      </c>
    </row>
    <row r="14" spans="1:8" x14ac:dyDescent="0.25">
      <c r="A14" s="59" t="s">
        <v>57</v>
      </c>
      <c r="B14" s="60"/>
      <c r="C14" s="54"/>
      <c r="D14" s="61" t="s">
        <v>58</v>
      </c>
      <c r="E14" s="62" t="s">
        <v>59</v>
      </c>
      <c r="F14" s="62" t="s">
        <v>60</v>
      </c>
      <c r="G14" s="59" t="s">
        <v>58</v>
      </c>
      <c r="H14" s="63" t="s">
        <v>61</v>
      </c>
    </row>
    <row r="15" spans="1:8" x14ac:dyDescent="0.25">
      <c r="A15" s="64">
        <v>1</v>
      </c>
      <c r="B15" s="54"/>
      <c r="C15" s="54"/>
      <c r="D15" s="58"/>
      <c r="E15" s="54"/>
      <c r="F15" s="54"/>
    </row>
    <row r="16" spans="1:8" x14ac:dyDescent="0.25">
      <c r="A16" s="64">
        <v>2</v>
      </c>
      <c r="B16" s="32" t="s">
        <v>62</v>
      </c>
      <c r="C16" s="65"/>
      <c r="D16" s="66"/>
      <c r="E16" s="49"/>
      <c r="F16" s="49"/>
    </row>
    <row r="17" spans="1:8" x14ac:dyDescent="0.25">
      <c r="A17" s="64">
        <v>3</v>
      </c>
      <c r="B17" s="65"/>
      <c r="C17" s="65"/>
      <c r="D17" s="66"/>
      <c r="E17" s="49"/>
      <c r="F17" s="49"/>
      <c r="G17" s="67"/>
    </row>
    <row r="18" spans="1:8" ht="15.75" thickBot="1" x14ac:dyDescent="0.3">
      <c r="A18" s="64">
        <v>4</v>
      </c>
      <c r="B18" s="68" t="s">
        <v>63</v>
      </c>
      <c r="C18" s="29"/>
      <c r="D18" s="69" t="s">
        <v>64</v>
      </c>
      <c r="E18" s="70">
        <v>112476772.89332667</v>
      </c>
      <c r="F18" s="70">
        <v>116213137.43291217</v>
      </c>
      <c r="G18" s="64" t="s">
        <v>64</v>
      </c>
      <c r="H18" s="18" t="s">
        <v>226</v>
      </c>
    </row>
    <row r="19" spans="1:8" ht="15.75" thickTop="1" x14ac:dyDescent="0.25">
      <c r="A19" s="64">
        <v>5</v>
      </c>
      <c r="B19" s="71"/>
      <c r="C19" s="49"/>
      <c r="D19" s="69"/>
      <c r="E19" s="49"/>
      <c r="F19" s="49"/>
      <c r="G19" s="64"/>
    </row>
    <row r="20" spans="1:8" x14ac:dyDescent="0.25">
      <c r="A20" s="64">
        <v>6</v>
      </c>
      <c r="B20" s="72" t="s">
        <v>65</v>
      </c>
      <c r="C20" s="65"/>
      <c r="D20" s="73"/>
      <c r="E20" s="49"/>
      <c r="F20" s="49"/>
      <c r="G20" s="74"/>
    </row>
    <row r="21" spans="1:8" x14ac:dyDescent="0.25">
      <c r="A21" s="64">
        <v>7</v>
      </c>
      <c r="B21" s="71" t="s">
        <v>66</v>
      </c>
      <c r="C21" s="49"/>
      <c r="D21" s="69" t="s">
        <v>64</v>
      </c>
      <c r="E21" s="75">
        <v>41648501.414172418</v>
      </c>
      <c r="F21" s="75">
        <v>46466136.443313703</v>
      </c>
      <c r="G21" s="64" t="s">
        <v>64</v>
      </c>
      <c r="H21" s="18" t="s">
        <v>226</v>
      </c>
    </row>
    <row r="22" spans="1:8" x14ac:dyDescent="0.25">
      <c r="A22" s="64">
        <v>8</v>
      </c>
      <c r="B22" s="71" t="s">
        <v>41</v>
      </c>
      <c r="C22" s="49"/>
      <c r="D22" s="69" t="s">
        <v>64</v>
      </c>
      <c r="E22" s="76">
        <v>21356110.518590875</v>
      </c>
      <c r="F22" s="76">
        <v>28740336.021431103</v>
      </c>
      <c r="G22" s="64" t="s">
        <v>64</v>
      </c>
      <c r="H22" s="18" t="s">
        <v>226</v>
      </c>
    </row>
    <row r="23" spans="1:8" x14ac:dyDescent="0.25">
      <c r="A23" s="64">
        <v>9</v>
      </c>
      <c r="B23" s="71" t="s">
        <v>67</v>
      </c>
      <c r="C23" s="49"/>
      <c r="D23" s="69" t="s">
        <v>64</v>
      </c>
      <c r="E23" s="76">
        <v>23283.599999999999</v>
      </c>
      <c r="F23" s="76">
        <v>14722.919999999998</v>
      </c>
      <c r="G23" s="64" t="s">
        <v>64</v>
      </c>
      <c r="H23" s="18" t="s">
        <v>226</v>
      </c>
    </row>
    <row r="24" spans="1:8" x14ac:dyDescent="0.25">
      <c r="A24" s="64">
        <v>10</v>
      </c>
      <c r="B24" s="71" t="s">
        <v>68</v>
      </c>
      <c r="C24" s="49"/>
      <c r="D24" s="69" t="s">
        <v>64</v>
      </c>
      <c r="E24" s="76">
        <v>63980.039999999986</v>
      </c>
      <c r="F24" s="76">
        <v>57080.039999999986</v>
      </c>
      <c r="G24" s="64" t="s">
        <v>64</v>
      </c>
      <c r="H24" s="18" t="s">
        <v>226</v>
      </c>
    </row>
    <row r="25" spans="1:8" x14ac:dyDescent="0.25">
      <c r="A25" s="64">
        <v>11</v>
      </c>
      <c r="B25" s="71" t="s">
        <v>44</v>
      </c>
      <c r="C25" s="49"/>
      <c r="D25" s="69" t="s">
        <v>64</v>
      </c>
      <c r="E25" s="76">
        <v>1417262.033501111</v>
      </c>
      <c r="F25" s="76">
        <v>868081.83665836742</v>
      </c>
      <c r="G25" s="64" t="s">
        <v>64</v>
      </c>
      <c r="H25" s="18" t="s">
        <v>226</v>
      </c>
    </row>
    <row r="26" spans="1:8" x14ac:dyDescent="0.25">
      <c r="A26" s="64">
        <v>12</v>
      </c>
      <c r="B26" s="71" t="s">
        <v>45</v>
      </c>
      <c r="C26" s="49"/>
      <c r="D26" s="69" t="s">
        <v>64</v>
      </c>
      <c r="E26" s="76">
        <v>4859513.6951555014</v>
      </c>
      <c r="F26" s="76">
        <v>2513030.7825685963</v>
      </c>
      <c r="G26" s="64" t="s">
        <v>64</v>
      </c>
      <c r="H26" s="18" t="s">
        <v>226</v>
      </c>
    </row>
    <row r="27" spans="1:8" x14ac:dyDescent="0.25">
      <c r="A27" s="64">
        <v>13</v>
      </c>
      <c r="B27" s="71" t="s">
        <v>69</v>
      </c>
      <c r="C27" s="49"/>
      <c r="D27" s="69" t="s">
        <v>64</v>
      </c>
      <c r="E27" s="76">
        <v>-11832.7575</v>
      </c>
      <c r="F27" s="76">
        <v>0</v>
      </c>
      <c r="G27" s="64" t="s">
        <v>64</v>
      </c>
      <c r="H27" s="18" t="s">
        <v>226</v>
      </c>
    </row>
    <row r="28" spans="1:8" x14ac:dyDescent="0.25">
      <c r="A28" s="64">
        <v>14</v>
      </c>
      <c r="B28" s="77" t="s">
        <v>70</v>
      </c>
      <c r="C28" s="49"/>
      <c r="D28" s="69" t="s">
        <v>64</v>
      </c>
      <c r="E28" s="76">
        <v>8817187.1899999995</v>
      </c>
      <c r="F28" s="76">
        <v>10651594</v>
      </c>
      <c r="G28" s="64" t="s">
        <v>64</v>
      </c>
      <c r="H28" s="18" t="s">
        <v>226</v>
      </c>
    </row>
    <row r="29" spans="1:8" ht="15.75" thickBot="1" x14ac:dyDescent="0.3">
      <c r="A29" s="64">
        <v>15</v>
      </c>
      <c r="B29" s="34" t="s">
        <v>71</v>
      </c>
      <c r="C29" s="78"/>
      <c r="D29" s="69"/>
      <c r="E29" s="79">
        <f>SUM(E21:E28)</f>
        <v>78174005.733919919</v>
      </c>
      <c r="F29" s="79">
        <f>SUM(F21:F28)</f>
        <v>89310982.043971777</v>
      </c>
      <c r="G29" s="64"/>
    </row>
    <row r="30" spans="1:8" ht="15.75" thickTop="1" x14ac:dyDescent="0.25">
      <c r="A30" s="64">
        <v>16</v>
      </c>
      <c r="B30" s="49"/>
      <c r="C30" s="49"/>
      <c r="D30" s="69"/>
      <c r="E30" s="49"/>
      <c r="F30" s="49"/>
      <c r="G30" s="64"/>
    </row>
    <row r="31" spans="1:8" ht="15.75" thickBot="1" x14ac:dyDescent="0.3">
      <c r="A31" s="64">
        <v>17</v>
      </c>
      <c r="B31" s="34" t="s">
        <v>72</v>
      </c>
      <c r="C31" s="34"/>
      <c r="D31" s="69"/>
      <c r="E31" s="70">
        <f>E18-E29</f>
        <v>34302767.159406751</v>
      </c>
      <c r="F31" s="70">
        <f>F18-F29</f>
        <v>26902155.388940394</v>
      </c>
      <c r="G31" s="64"/>
    </row>
    <row r="32" spans="1:8" ht="15.75" thickTop="1" x14ac:dyDescent="0.25">
      <c r="A32" s="64">
        <v>18</v>
      </c>
      <c r="B32" s="34"/>
      <c r="C32" s="34"/>
      <c r="D32" s="58"/>
      <c r="E32" s="80"/>
      <c r="F32" s="80"/>
      <c r="G32" s="54"/>
    </row>
    <row r="33" spans="1:10" x14ac:dyDescent="0.25">
      <c r="A33" s="64">
        <v>19</v>
      </c>
      <c r="B33" s="34"/>
      <c r="C33" s="34"/>
      <c r="D33" s="58"/>
      <c r="E33" s="54"/>
      <c r="F33" s="54"/>
      <c r="G33" s="54"/>
    </row>
    <row r="34" spans="1:10" x14ac:dyDescent="0.25">
      <c r="A34" s="64">
        <v>20</v>
      </c>
      <c r="B34" s="54"/>
      <c r="C34" s="54"/>
      <c r="D34" s="58" t="s">
        <v>54</v>
      </c>
      <c r="E34" s="54" t="str">
        <f>E13</f>
        <v>Base Period</v>
      </c>
      <c r="F34" s="54" t="str">
        <f t="shared" ref="F34:F35" si="0">F13</f>
        <v>Forecast Period</v>
      </c>
      <c r="G34" s="54" t="s">
        <v>54</v>
      </c>
    </row>
    <row r="35" spans="1:10" x14ac:dyDescent="0.25">
      <c r="A35" s="64">
        <v>21</v>
      </c>
      <c r="B35" s="60" t="s">
        <v>73</v>
      </c>
      <c r="C35" s="54"/>
      <c r="D35" s="61" t="s">
        <v>58</v>
      </c>
      <c r="E35" s="62" t="str">
        <f t="shared" ref="E35" si="1">E14</f>
        <v>Ending September 30, 2023</v>
      </c>
      <c r="F35" s="62" t="str">
        <f t="shared" si="0"/>
        <v>Ending January 31, 2025</v>
      </c>
      <c r="G35" s="59" t="s">
        <v>58</v>
      </c>
      <c r="H35" s="63" t="s">
        <v>61</v>
      </c>
    </row>
    <row r="36" spans="1:10" x14ac:dyDescent="0.25">
      <c r="A36" s="64">
        <v>22</v>
      </c>
      <c r="B36" s="54"/>
      <c r="C36" s="54"/>
      <c r="D36" s="58"/>
      <c r="E36" s="54"/>
      <c r="F36" s="54"/>
      <c r="G36" s="54"/>
    </row>
    <row r="37" spans="1:10" x14ac:dyDescent="0.25">
      <c r="A37" s="64">
        <v>23</v>
      </c>
      <c r="B37" s="71" t="s">
        <v>74</v>
      </c>
      <c r="C37" s="49"/>
      <c r="D37" s="69" t="s">
        <v>75</v>
      </c>
      <c r="E37" s="75">
        <v>549086904.46663213</v>
      </c>
      <c r="F37" s="75">
        <v>588397565.83035445</v>
      </c>
      <c r="G37" s="64" t="s">
        <v>75</v>
      </c>
      <c r="H37" s="81" t="s">
        <v>227</v>
      </c>
    </row>
    <row r="38" spans="1:10" x14ac:dyDescent="0.25">
      <c r="A38" s="64">
        <v>24</v>
      </c>
      <c r="B38" s="71" t="s">
        <v>76</v>
      </c>
      <c r="C38" s="49"/>
      <c r="D38" s="69" t="s">
        <v>77</v>
      </c>
      <c r="E38" s="82">
        <v>7.8600000000000003E-2</v>
      </c>
      <c r="F38" s="82">
        <v>7.8700000000000006E-2</v>
      </c>
      <c r="G38" s="64" t="s">
        <v>78</v>
      </c>
      <c r="H38" s="83" t="s">
        <v>210</v>
      </c>
    </row>
    <row r="39" spans="1:10" x14ac:dyDescent="0.25">
      <c r="A39" s="64">
        <v>25</v>
      </c>
      <c r="B39" s="49"/>
      <c r="C39" s="49"/>
      <c r="D39" s="69"/>
      <c r="E39" s="84"/>
      <c r="F39" s="84"/>
      <c r="G39" s="64"/>
    </row>
    <row r="40" spans="1:10" x14ac:dyDescent="0.25">
      <c r="A40" s="64">
        <v>26</v>
      </c>
      <c r="B40" s="34" t="s">
        <v>79</v>
      </c>
      <c r="C40" s="49"/>
      <c r="D40" s="69"/>
      <c r="E40" s="75">
        <f>E37*E38</f>
        <v>43158230.691077285</v>
      </c>
      <c r="F40" s="75">
        <f>F37*F38</f>
        <v>46306888.430848897</v>
      </c>
      <c r="G40" s="64"/>
      <c r="J40" s="48"/>
    </row>
    <row r="41" spans="1:10" x14ac:dyDescent="0.25">
      <c r="A41" s="64">
        <v>27</v>
      </c>
      <c r="B41" s="49"/>
      <c r="C41" s="49"/>
      <c r="D41" s="69"/>
      <c r="E41" s="85"/>
      <c r="F41" s="85"/>
      <c r="G41" s="64"/>
    </row>
    <row r="42" spans="1:10" x14ac:dyDescent="0.25">
      <c r="A42" s="64">
        <v>28</v>
      </c>
      <c r="B42" s="86" t="s">
        <v>80</v>
      </c>
      <c r="C42" s="49"/>
      <c r="D42" s="69"/>
      <c r="E42" s="87">
        <f>E31</f>
        <v>34302767.159406751</v>
      </c>
      <c r="F42" s="87">
        <f>F31</f>
        <v>26902155.388940394</v>
      </c>
      <c r="G42" s="64"/>
    </row>
    <row r="43" spans="1:10" x14ac:dyDescent="0.25">
      <c r="A43" s="64">
        <v>29</v>
      </c>
      <c r="B43" s="34"/>
      <c r="C43" s="49"/>
      <c r="D43" s="69"/>
      <c r="E43" s="80"/>
      <c r="F43" s="80"/>
      <c r="G43" s="64"/>
    </row>
    <row r="44" spans="1:10" ht="15.75" thickBot="1" x14ac:dyDescent="0.3">
      <c r="A44" s="64">
        <v>30</v>
      </c>
      <c r="B44" s="34" t="s">
        <v>81</v>
      </c>
      <c r="C44" s="29"/>
      <c r="D44" s="58"/>
      <c r="E44" s="88">
        <f>E40-E42</f>
        <v>8855463.5316705331</v>
      </c>
      <c r="F44" s="88">
        <f>F40-F42</f>
        <v>19404733.041908503</v>
      </c>
      <c r="G44" s="54"/>
    </row>
    <row r="45" spans="1:10" ht="15.75" thickTop="1" x14ac:dyDescent="0.25">
      <c r="A45" s="64">
        <v>31</v>
      </c>
      <c r="B45" s="49"/>
      <c r="C45" s="49"/>
      <c r="D45" s="69"/>
      <c r="E45" s="89"/>
      <c r="F45" s="89"/>
      <c r="G45" s="64"/>
    </row>
    <row r="46" spans="1:10" x14ac:dyDescent="0.25">
      <c r="A46" s="64">
        <v>32</v>
      </c>
      <c r="B46" s="34" t="s">
        <v>82</v>
      </c>
      <c r="C46" s="49"/>
      <c r="D46" s="69" t="s">
        <v>83</v>
      </c>
      <c r="E46" s="90">
        <f>'Rev Conversion Factor - SCH H'!D31</f>
        <v>1.3425585157043483</v>
      </c>
      <c r="F46" s="90">
        <f>'Rev Conversion Factor - SCH H'!D31</f>
        <v>1.3425585157043483</v>
      </c>
      <c r="G46" s="64" t="s">
        <v>83</v>
      </c>
      <c r="H46" s="91" t="e">
        <f ca="1">'Rev Conversion Factor - SCH H'!G2</f>
        <v>#VALUE!</v>
      </c>
    </row>
    <row r="47" spans="1:10" x14ac:dyDescent="0.25">
      <c r="A47" s="64">
        <v>33</v>
      </c>
      <c r="B47" s="49"/>
      <c r="C47" s="49"/>
      <c r="D47" s="69"/>
      <c r="E47" s="49"/>
      <c r="F47" s="49"/>
    </row>
    <row r="48" spans="1:10" ht="15.75" thickBot="1" x14ac:dyDescent="0.3">
      <c r="A48" s="64">
        <v>34</v>
      </c>
      <c r="B48" s="34" t="s">
        <v>84</v>
      </c>
      <c r="C48" s="34"/>
      <c r="D48" s="58"/>
      <c r="E48" s="88">
        <f>E44*E46</f>
        <v>11888977.974953577</v>
      </c>
      <c r="F48" s="88">
        <f>F44*F46</f>
        <v>26051989.590383802</v>
      </c>
      <c r="G48" s="92"/>
      <c r="H48" s="93"/>
    </row>
    <row r="49" spans="1:19" ht="15.75" thickTop="1" x14ac:dyDescent="0.25">
      <c r="A49" s="64">
        <v>35</v>
      </c>
      <c r="B49" s="49"/>
      <c r="C49" s="49"/>
      <c r="D49" s="64"/>
      <c r="E49" s="29"/>
      <c r="F49" s="94"/>
      <c r="G49" s="95"/>
      <c r="H49" s="49"/>
      <c r="I49" s="80"/>
    </row>
    <row r="50" spans="1:19" ht="30.75" thickBot="1" x14ac:dyDescent="0.3">
      <c r="A50" s="64">
        <v>36</v>
      </c>
      <c r="B50" s="96" t="s">
        <v>85</v>
      </c>
      <c r="C50" s="34"/>
      <c r="D50" s="54"/>
      <c r="E50" s="97">
        <f>E48/E18</f>
        <v>0.10570162771498717</v>
      </c>
      <c r="F50" s="97">
        <f>((F48+F18)/F18)-1</f>
        <v>0.22417422131317255</v>
      </c>
      <c r="G50" s="64"/>
      <c r="H50" s="49"/>
      <c r="I50" s="49"/>
    </row>
    <row r="51" spans="1:19" ht="15.75" thickTop="1" x14ac:dyDescent="0.25">
      <c r="A51" s="64">
        <v>37</v>
      </c>
      <c r="B51" s="29"/>
      <c r="C51" s="29"/>
      <c r="D51" s="29"/>
      <c r="E51" s="80"/>
      <c r="F51" s="80"/>
      <c r="G51" s="64"/>
      <c r="I51" s="49"/>
    </row>
    <row r="52" spans="1:19" ht="15.75" thickBot="1" x14ac:dyDescent="0.3">
      <c r="A52" s="64">
        <v>38</v>
      </c>
      <c r="B52" s="34" t="s">
        <v>86</v>
      </c>
      <c r="C52" s="49"/>
      <c r="D52" s="49"/>
      <c r="E52" s="88">
        <f>E18+E48</f>
        <v>124365750.86828025</v>
      </c>
      <c r="F52" s="88">
        <f>F18+F48</f>
        <v>142265127.02329597</v>
      </c>
      <c r="G52" s="92"/>
      <c r="I52" s="49"/>
      <c r="S52" s="48"/>
    </row>
    <row r="53" spans="1:19" ht="15.75" thickTop="1" x14ac:dyDescent="0.25">
      <c r="A53" s="64"/>
      <c r="B53" s="49"/>
      <c r="C53" s="49"/>
      <c r="D53" s="49"/>
      <c r="E53" s="49"/>
      <c r="F53" s="84"/>
      <c r="G53" s="98"/>
      <c r="I53" s="49"/>
      <c r="S53" s="48"/>
    </row>
    <row r="54" spans="1:19" x14ac:dyDescent="0.25">
      <c r="A54" s="64"/>
      <c r="G54" s="98"/>
      <c r="H54" s="48"/>
      <c r="S54" s="48"/>
    </row>
    <row r="55" spans="1:19" x14ac:dyDescent="0.25">
      <c r="A55" s="64"/>
      <c r="B55" s="49"/>
      <c r="C55" s="49"/>
      <c r="D55" s="49"/>
      <c r="E55" s="49"/>
      <c r="F55" s="49"/>
      <c r="G55" s="98"/>
      <c r="H55" s="99"/>
      <c r="I55" s="49"/>
      <c r="J55"/>
      <c r="S55" s="48"/>
    </row>
    <row r="56" spans="1:19" x14ac:dyDescent="0.25">
      <c r="A56" s="64"/>
      <c r="B56" s="49"/>
      <c r="C56" s="49"/>
      <c r="D56" s="49"/>
      <c r="E56" s="49"/>
      <c r="F56" s="75"/>
      <c r="G56" s="98"/>
      <c r="H56" s="75"/>
      <c r="I56" s="49"/>
      <c r="J56"/>
      <c r="S56" s="48"/>
    </row>
    <row r="57" spans="1:19" x14ac:dyDescent="0.25">
      <c r="H57" s="75"/>
      <c r="J57"/>
      <c r="S57" s="48"/>
    </row>
    <row r="58" spans="1:19" x14ac:dyDescent="0.25">
      <c r="G58" s="98"/>
      <c r="H58" s="48"/>
      <c r="J58"/>
      <c r="S58" s="48"/>
    </row>
    <row r="59" spans="1:19" x14ac:dyDescent="0.25">
      <c r="H59" s="48"/>
      <c r="J59"/>
      <c r="S59" s="48"/>
    </row>
    <row r="60" spans="1:19" x14ac:dyDescent="0.25">
      <c r="G60" s="98"/>
      <c r="H60" s="48"/>
      <c r="J60"/>
      <c r="S60" s="48"/>
    </row>
    <row r="61" spans="1:19" x14ac:dyDescent="0.25">
      <c r="G61" s="98"/>
      <c r="H61" s="48"/>
      <c r="J61"/>
      <c r="S61" s="48"/>
    </row>
    <row r="62" spans="1:19" x14ac:dyDescent="0.25">
      <c r="G62" s="98"/>
      <c r="H62" s="48"/>
      <c r="J62"/>
      <c r="S62" s="48"/>
    </row>
    <row r="63" spans="1:19" x14ac:dyDescent="0.25">
      <c r="G63" s="98"/>
      <c r="H63" s="48"/>
      <c r="J63"/>
      <c r="S63" s="48"/>
    </row>
    <row r="64" spans="1:19" x14ac:dyDescent="0.25">
      <c r="G64" s="98"/>
      <c r="H64" s="48"/>
      <c r="J64"/>
      <c r="S64" s="48"/>
    </row>
    <row r="65" spans="6:19" x14ac:dyDescent="0.25">
      <c r="S65" s="48"/>
    </row>
    <row r="66" spans="6:19" x14ac:dyDescent="0.25">
      <c r="S66" s="48"/>
    </row>
    <row r="67" spans="6:19" x14ac:dyDescent="0.25">
      <c r="F67" s="48"/>
    </row>
    <row r="115" spans="11:11" x14ac:dyDescent="0.25">
      <c r="K115" s="89"/>
    </row>
  </sheetData>
  <mergeCells count="5">
    <mergeCell ref="A5:H5"/>
    <mergeCell ref="A6:H6"/>
    <mergeCell ref="A7:H7"/>
    <mergeCell ref="A8:H8"/>
    <mergeCell ref="A9:H9"/>
  </mergeCells>
  <pageMargins left="0.22" right="0.23" top="0.37" bottom="0.4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58E2-7E31-40CA-9624-1118C7C2C8B9}">
  <sheetPr>
    <pageSetUpPr fitToPage="1"/>
  </sheetPr>
  <dimension ref="A1:I133"/>
  <sheetViews>
    <sheetView zoomScaleNormal="100" zoomScaleSheetLayoutView="85" workbookViewId="0"/>
  </sheetViews>
  <sheetFormatPr defaultColWidth="8.85546875" defaultRowHeight="15" x14ac:dyDescent="0.25"/>
  <cols>
    <col min="1" max="1" width="5.5703125" style="18" customWidth="1"/>
    <col min="2" max="2" width="57.42578125" style="18" customWidth="1"/>
    <col min="3" max="3" width="9" style="18" customWidth="1"/>
    <col min="4" max="4" width="12.140625" style="18" customWidth="1"/>
    <col min="5" max="5" width="17.140625" style="18" customWidth="1"/>
    <col min="6" max="6" width="10.85546875" style="18" customWidth="1"/>
    <col min="7" max="7" width="66" style="18" customWidth="1"/>
    <col min="8" max="16384" width="8.85546875" style="18"/>
  </cols>
  <sheetData>
    <row r="1" spans="1:7" x14ac:dyDescent="0.25">
      <c r="A1" s="100"/>
      <c r="B1" s="101"/>
      <c r="C1" s="101"/>
      <c r="D1" s="101"/>
      <c r="E1" s="101"/>
      <c r="F1" s="20"/>
      <c r="G1" s="102" t="s">
        <v>83</v>
      </c>
    </row>
    <row r="2" spans="1:7" x14ac:dyDescent="0.25">
      <c r="A2" s="100"/>
      <c r="B2" s="101"/>
      <c r="C2" s="101"/>
      <c r="D2" s="101"/>
      <c r="E2" s="52"/>
      <c r="F2" s="20"/>
      <c r="G2" s="102" t="e">
        <f ca="1">RIGHT(CELL("filename",$A$1),LEN(CELL("filename",$A$1))-SEARCH("\Exhibits",CELL("filename",$A$1),1))</f>
        <v>#VALUE!</v>
      </c>
    </row>
    <row r="3" spans="1:7" x14ac:dyDescent="0.25">
      <c r="A3" s="103"/>
      <c r="B3" s="103"/>
      <c r="C3" s="103"/>
      <c r="D3" s="103"/>
      <c r="E3" s="20"/>
      <c r="F3" s="20"/>
      <c r="G3" s="102" t="s">
        <v>87</v>
      </c>
    </row>
    <row r="6" spans="1:7" x14ac:dyDescent="0.25">
      <c r="A6" s="328" t="s">
        <v>6</v>
      </c>
      <c r="B6" s="328"/>
      <c r="C6" s="328"/>
      <c r="D6" s="328"/>
      <c r="E6" s="328"/>
      <c r="F6" s="328"/>
      <c r="G6" s="328"/>
    </row>
    <row r="7" spans="1:7" x14ac:dyDescent="0.25">
      <c r="A7" s="328" t="str">
        <f>'Rev Requirement - SCH A'!A6:H6</f>
        <v>Case No. 2023-00191</v>
      </c>
      <c r="B7" s="328"/>
      <c r="C7" s="328"/>
      <c r="D7" s="328"/>
      <c r="E7" s="328"/>
      <c r="F7" s="328"/>
      <c r="G7" s="328"/>
    </row>
    <row r="8" spans="1:7" x14ac:dyDescent="0.25">
      <c r="A8" s="328" t="s">
        <v>88</v>
      </c>
      <c r="B8" s="328"/>
      <c r="C8" s="328"/>
      <c r="D8" s="328"/>
      <c r="E8" s="328"/>
      <c r="F8" s="328"/>
      <c r="G8" s="328"/>
    </row>
    <row r="9" spans="1:7" x14ac:dyDescent="0.25">
      <c r="A9" s="104"/>
      <c r="B9" s="104"/>
      <c r="C9" s="104"/>
      <c r="D9" s="104"/>
      <c r="E9" s="104"/>
    </row>
    <row r="10" spans="1:7" x14ac:dyDescent="0.25">
      <c r="A10" s="104"/>
      <c r="B10" s="104"/>
      <c r="C10" s="104"/>
      <c r="D10" s="104"/>
      <c r="E10" s="104"/>
      <c r="G10" s="105" t="s">
        <v>83</v>
      </c>
    </row>
    <row r="11" spans="1:7" x14ac:dyDescent="0.25">
      <c r="A11" s="56" t="s">
        <v>51</v>
      </c>
      <c r="B11" s="104"/>
      <c r="C11" s="104"/>
      <c r="D11" s="104"/>
      <c r="E11" s="104"/>
      <c r="G11" s="105" t="s">
        <v>109</v>
      </c>
    </row>
    <row r="12" spans="1:7" x14ac:dyDescent="0.25">
      <c r="A12" s="57" t="s">
        <v>52</v>
      </c>
      <c r="B12" s="104"/>
      <c r="C12" s="104"/>
      <c r="D12" s="101"/>
      <c r="E12" s="104"/>
      <c r="G12" s="55" t="s">
        <v>89</v>
      </c>
    </row>
    <row r="13" spans="1:7" x14ac:dyDescent="0.25">
      <c r="A13" s="57"/>
      <c r="B13" s="104"/>
      <c r="C13" s="104"/>
      <c r="D13" s="101" t="s">
        <v>90</v>
      </c>
      <c r="E13" s="104"/>
      <c r="G13" s="55"/>
    </row>
    <row r="14" spans="1:7" x14ac:dyDescent="0.25">
      <c r="A14" s="103"/>
      <c r="B14" s="103"/>
      <c r="C14" s="103"/>
      <c r="D14" s="101" t="s">
        <v>91</v>
      </c>
      <c r="E14" s="101" t="s">
        <v>92</v>
      </c>
      <c r="G14" s="105"/>
    </row>
    <row r="15" spans="1:7" x14ac:dyDescent="0.25">
      <c r="A15" s="101" t="s">
        <v>17</v>
      </c>
      <c r="B15" s="103"/>
      <c r="C15" s="101" t="s">
        <v>19</v>
      </c>
      <c r="D15" s="101" t="s">
        <v>93</v>
      </c>
      <c r="E15" s="101" t="s">
        <v>19</v>
      </c>
      <c r="F15" s="101" t="s">
        <v>94</v>
      </c>
    </row>
    <row r="16" spans="1:7" x14ac:dyDescent="0.25">
      <c r="A16" s="106" t="s">
        <v>95</v>
      </c>
      <c r="B16" s="106" t="s">
        <v>96</v>
      </c>
      <c r="C16" s="106" t="s">
        <v>97</v>
      </c>
      <c r="D16" s="106" t="s">
        <v>98</v>
      </c>
      <c r="E16" s="106" t="s">
        <v>18</v>
      </c>
      <c r="F16" s="106" t="s">
        <v>58</v>
      </c>
      <c r="G16" s="106" t="s">
        <v>61</v>
      </c>
    </row>
    <row r="17" spans="1:7" x14ac:dyDescent="0.25">
      <c r="A17" s="101"/>
      <c r="B17" s="101"/>
      <c r="C17" s="101"/>
      <c r="D17" s="101"/>
      <c r="E17" s="101"/>
    </row>
    <row r="18" spans="1:7" x14ac:dyDescent="0.25">
      <c r="A18" s="107">
        <v>1</v>
      </c>
      <c r="B18" s="108" t="s">
        <v>99</v>
      </c>
      <c r="C18" s="109"/>
      <c r="D18" s="110">
        <v>1</v>
      </c>
      <c r="E18" s="110"/>
    </row>
    <row r="19" spans="1:7" x14ac:dyDescent="0.25">
      <c r="A19" s="107">
        <v>2</v>
      </c>
      <c r="B19" s="108" t="s">
        <v>100</v>
      </c>
      <c r="C19" s="111">
        <v>6.0399893567930725E-3</v>
      </c>
      <c r="D19" s="110">
        <f>C19</f>
        <v>6.0399893567930725E-3</v>
      </c>
      <c r="E19" s="112">
        <f>ROUND(D19/(D$18-D$29),8)</f>
        <v>2.3671979999999999E-2</v>
      </c>
      <c r="F19" s="113" t="s">
        <v>228</v>
      </c>
      <c r="G19" s="18" t="s">
        <v>229</v>
      </c>
    </row>
    <row r="20" spans="1:7" x14ac:dyDescent="0.25">
      <c r="A20" s="107">
        <v>3</v>
      </c>
      <c r="B20" s="114" t="s">
        <v>101</v>
      </c>
      <c r="C20" s="115">
        <v>1.4930000390574987E-3</v>
      </c>
      <c r="D20" s="110">
        <f>C20</f>
        <v>1.4930000390574987E-3</v>
      </c>
      <c r="E20" s="112">
        <f>ROUND(D20/(D$18-D$29),8)</f>
        <v>5.8513799999999998E-3</v>
      </c>
      <c r="F20" s="113" t="s">
        <v>230</v>
      </c>
      <c r="G20" s="18" t="s">
        <v>231</v>
      </c>
    </row>
    <row r="21" spans="1:7" x14ac:dyDescent="0.25">
      <c r="A21" s="107">
        <v>4</v>
      </c>
      <c r="B21" s="108" t="s">
        <v>102</v>
      </c>
      <c r="C21" s="116"/>
      <c r="D21" s="117">
        <f>D18-D19-D20</f>
        <v>0.99246701060414944</v>
      </c>
      <c r="E21" s="118"/>
    </row>
    <row r="22" spans="1:7" x14ac:dyDescent="0.25">
      <c r="A22" s="107">
        <v>5</v>
      </c>
      <c r="B22" s="103"/>
      <c r="C22" s="119"/>
      <c r="D22" s="118"/>
      <c r="E22" s="118"/>
    </row>
    <row r="23" spans="1:7" x14ac:dyDescent="0.25">
      <c r="A23" s="107">
        <v>6</v>
      </c>
      <c r="B23" s="103"/>
      <c r="C23" s="119"/>
      <c r="D23" s="103"/>
      <c r="E23" s="112"/>
    </row>
    <row r="24" spans="1:7" x14ac:dyDescent="0.25">
      <c r="A24" s="107">
        <v>7</v>
      </c>
      <c r="B24" s="114" t="s">
        <v>103</v>
      </c>
      <c r="C24" s="120">
        <v>0.05</v>
      </c>
      <c r="D24" s="110">
        <f>C24*D21</f>
        <v>4.9623350530207472E-2</v>
      </c>
      <c r="E24" s="112">
        <f>ROUND(D24/(D$18-D$29),8)</f>
        <v>0.1944843</v>
      </c>
    </row>
    <row r="25" spans="1:7" x14ac:dyDescent="0.25">
      <c r="A25" s="107">
        <v>9</v>
      </c>
      <c r="B25" s="108" t="s">
        <v>104</v>
      </c>
      <c r="C25" s="121"/>
      <c r="D25" s="122">
        <f>D21-D24</f>
        <v>0.94284366007394194</v>
      </c>
      <c r="E25" s="112"/>
    </row>
    <row r="26" spans="1:7" x14ac:dyDescent="0.25">
      <c r="A26" s="107">
        <v>10</v>
      </c>
      <c r="B26" s="103"/>
      <c r="C26" s="119"/>
      <c r="D26" s="112"/>
      <c r="E26" s="112"/>
    </row>
    <row r="27" spans="1:7" x14ac:dyDescent="0.25">
      <c r="A27" s="107">
        <v>11</v>
      </c>
      <c r="B27" s="114" t="s">
        <v>105</v>
      </c>
      <c r="C27" s="123">
        <v>0.21</v>
      </c>
      <c r="D27" s="124">
        <f>C27*D25</f>
        <v>0.1979971686155278</v>
      </c>
      <c r="E27" s="124">
        <f>ROUND(D27/(D$18-D$29),8)</f>
        <v>0.77599233999999995</v>
      </c>
    </row>
    <row r="28" spans="1:7" x14ac:dyDescent="0.25">
      <c r="A28" s="107">
        <v>12</v>
      </c>
      <c r="B28" s="103"/>
      <c r="C28" s="119"/>
      <c r="D28" s="112"/>
      <c r="E28" s="112"/>
    </row>
    <row r="29" spans="1:7" ht="30.75" thickBot="1" x14ac:dyDescent="0.3">
      <c r="A29" s="107">
        <v>13</v>
      </c>
      <c r="B29" s="125" t="s">
        <v>106</v>
      </c>
      <c r="C29" s="109"/>
      <c r="D29" s="126">
        <f>D25-D27</f>
        <v>0.74484649145841408</v>
      </c>
      <c r="E29" s="126">
        <f>SUM(E19:E20,E24,E27)</f>
        <v>1</v>
      </c>
    </row>
    <row r="30" spans="1:7" ht="15.75" thickTop="1" x14ac:dyDescent="0.25">
      <c r="A30" s="107">
        <v>14</v>
      </c>
      <c r="B30" s="103"/>
      <c r="C30" s="127"/>
      <c r="D30" s="112"/>
      <c r="E30" s="112"/>
    </row>
    <row r="31" spans="1:7" ht="15.75" thickBot="1" x14ac:dyDescent="0.3">
      <c r="A31" s="107">
        <v>15</v>
      </c>
      <c r="B31" s="108" t="s">
        <v>107</v>
      </c>
      <c r="C31" s="109"/>
      <c r="D31" s="126">
        <f>1/D29</f>
        <v>1.3425585157043483</v>
      </c>
      <c r="E31" s="112"/>
    </row>
    <row r="32" spans="1:7" ht="15.75" thickTop="1" x14ac:dyDescent="0.25">
      <c r="A32" s="107">
        <v>16</v>
      </c>
    </row>
    <row r="133" spans="9:9" x14ac:dyDescent="0.25">
      <c r="I133" s="128"/>
    </row>
  </sheetData>
  <mergeCells count="3">
    <mergeCell ref="A6:G6"/>
    <mergeCell ref="A7:G7"/>
    <mergeCell ref="A8:G8"/>
  </mergeCells>
  <pageMargins left="0.32" right="0.28999999999999998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B029-8C12-4A53-B08F-D5D163BB8C7C}">
  <sheetPr>
    <pageSetUpPr fitToPage="1"/>
  </sheetPr>
  <dimension ref="A1:E47"/>
  <sheetViews>
    <sheetView zoomScaleNormal="100" workbookViewId="0"/>
  </sheetViews>
  <sheetFormatPr defaultColWidth="9.140625" defaultRowHeight="15" x14ac:dyDescent="0.25"/>
  <cols>
    <col min="1" max="1" width="9.140625" style="18"/>
    <col min="2" max="2" width="75" style="18" customWidth="1"/>
    <col min="3" max="3" width="15.140625" style="18" bestFit="1" customWidth="1"/>
    <col min="4" max="4" width="22.140625" style="18" customWidth="1"/>
    <col min="5" max="5" width="16.5703125" style="18" customWidth="1"/>
    <col min="6" max="16384" width="9.140625" style="18"/>
  </cols>
  <sheetData>
    <row r="1" spans="1:5" x14ac:dyDescent="0.25">
      <c r="A1" s="16" t="s">
        <v>11</v>
      </c>
      <c r="B1" s="17"/>
      <c r="C1" s="17"/>
      <c r="E1" s="19" t="s">
        <v>232</v>
      </c>
    </row>
    <row r="2" spans="1:5" x14ac:dyDescent="0.25">
      <c r="A2" s="16" t="s">
        <v>12</v>
      </c>
      <c r="B2" s="17"/>
      <c r="C2" s="17"/>
      <c r="E2" s="20" t="s">
        <v>110</v>
      </c>
    </row>
    <row r="3" spans="1:5" x14ac:dyDescent="0.25">
      <c r="A3" s="16"/>
      <c r="B3" s="17"/>
      <c r="C3" s="17"/>
      <c r="D3" s="19"/>
    </row>
    <row r="4" spans="1:5" x14ac:dyDescent="0.25">
      <c r="A4" s="16"/>
      <c r="B4" s="17"/>
      <c r="C4" s="17"/>
      <c r="D4" s="17"/>
    </row>
    <row r="5" spans="1:5" x14ac:dyDescent="0.25">
      <c r="A5" s="16"/>
      <c r="B5" s="17"/>
      <c r="C5" s="17"/>
      <c r="D5" s="17"/>
    </row>
    <row r="6" spans="1:5" x14ac:dyDescent="0.25">
      <c r="A6" s="329" t="s">
        <v>6</v>
      </c>
      <c r="B6" s="329"/>
      <c r="C6" s="329"/>
      <c r="D6" s="329"/>
      <c r="E6" s="329"/>
    </row>
    <row r="7" spans="1:5" x14ac:dyDescent="0.25">
      <c r="A7" s="329" t="s">
        <v>214</v>
      </c>
      <c r="B7" s="329"/>
      <c r="C7" s="329"/>
      <c r="D7" s="329"/>
      <c r="E7" s="329"/>
    </row>
    <row r="8" spans="1:5" x14ac:dyDescent="0.25">
      <c r="A8" s="329" t="s">
        <v>13</v>
      </c>
      <c r="B8" s="329"/>
      <c r="C8" s="329"/>
      <c r="D8" s="329"/>
      <c r="E8" s="329"/>
    </row>
    <row r="9" spans="1:5" x14ac:dyDescent="0.25">
      <c r="A9" s="329"/>
      <c r="B9" s="329"/>
      <c r="C9" s="329"/>
      <c r="D9" s="329"/>
    </row>
    <row r="10" spans="1:5" x14ac:dyDescent="0.25">
      <c r="A10" s="16"/>
      <c r="B10" s="16"/>
      <c r="C10" s="16"/>
      <c r="D10" s="16"/>
    </row>
    <row r="11" spans="1:5" x14ac:dyDescent="0.25">
      <c r="A11" s="22" t="s">
        <v>14</v>
      </c>
      <c r="B11" s="16"/>
      <c r="C11" s="16"/>
      <c r="D11" s="17"/>
    </row>
    <row r="12" spans="1:5" x14ac:dyDescent="0.25">
      <c r="A12" s="23" t="s">
        <v>15</v>
      </c>
      <c r="B12" s="16"/>
      <c r="C12" s="16"/>
      <c r="D12" s="17"/>
    </row>
    <row r="13" spans="1:5" x14ac:dyDescent="0.25">
      <c r="A13" s="17"/>
      <c r="B13" s="17"/>
      <c r="C13" s="21" t="s">
        <v>16</v>
      </c>
      <c r="D13" s="24"/>
    </row>
    <row r="14" spans="1:5" x14ac:dyDescent="0.25">
      <c r="A14" s="21" t="s">
        <v>17</v>
      </c>
      <c r="B14" s="17"/>
      <c r="C14" s="21" t="s">
        <v>18</v>
      </c>
      <c r="D14" s="25" t="s">
        <v>19</v>
      </c>
    </row>
    <row r="15" spans="1:5" x14ac:dyDescent="0.25">
      <c r="A15" s="26" t="s">
        <v>20</v>
      </c>
      <c r="B15" s="26" t="s">
        <v>21</v>
      </c>
      <c r="C15" s="26" t="s">
        <v>22</v>
      </c>
      <c r="D15" s="27" t="s">
        <v>23</v>
      </c>
    </row>
    <row r="16" spans="1:5" x14ac:dyDescent="0.25">
      <c r="A16" s="28">
        <v>1</v>
      </c>
      <c r="B16" s="17"/>
      <c r="C16" s="17"/>
      <c r="D16" s="17"/>
    </row>
    <row r="17" spans="1:5" x14ac:dyDescent="0.25">
      <c r="A17" s="28">
        <v>2</v>
      </c>
      <c r="B17" s="29" t="s">
        <v>24</v>
      </c>
      <c r="C17" s="17"/>
      <c r="D17" s="30">
        <f>'Rev Requirement - SCH A'!F48</f>
        <v>26051989.590383802</v>
      </c>
      <c r="E17" s="31"/>
    </row>
    <row r="18" spans="1:5" x14ac:dyDescent="0.25">
      <c r="A18" s="28">
        <v>3</v>
      </c>
      <c r="B18" s="32" t="s">
        <v>25</v>
      </c>
      <c r="C18" s="17"/>
      <c r="D18" s="33">
        <f>'Rev Requirement - SCH A'!F44</f>
        <v>19404733.041908503</v>
      </c>
    </row>
    <row r="19" spans="1:5" ht="15.75" thickBot="1" x14ac:dyDescent="0.3">
      <c r="A19" s="28">
        <v>4</v>
      </c>
      <c r="B19" s="34" t="s">
        <v>26</v>
      </c>
      <c r="C19" s="17"/>
      <c r="D19" s="35">
        <f>D17-D18</f>
        <v>6647256.548475299</v>
      </c>
    </row>
    <row r="20" spans="1:5" ht="15.75" thickTop="1" x14ac:dyDescent="0.25">
      <c r="A20" s="28">
        <v>5</v>
      </c>
      <c r="B20" s="17"/>
      <c r="C20" s="17"/>
      <c r="D20" s="17"/>
    </row>
    <row r="21" spans="1:5" x14ac:dyDescent="0.25">
      <c r="A21" s="28">
        <v>6</v>
      </c>
      <c r="B21" s="36" t="s">
        <v>27</v>
      </c>
      <c r="C21" s="37"/>
      <c r="D21" s="17"/>
    </row>
    <row r="22" spans="1:5" x14ac:dyDescent="0.25">
      <c r="A22" s="28">
        <v>7</v>
      </c>
      <c r="B22" s="17" t="s">
        <v>28</v>
      </c>
      <c r="C22" s="38">
        <f>'Rev Conversion Factor - SCH H'!E19</f>
        <v>2.3671979999999999E-2</v>
      </c>
      <c r="D22" s="30">
        <f>D19*C22</f>
        <v>157353.72407037631</v>
      </c>
    </row>
    <row r="23" spans="1:5" x14ac:dyDescent="0.25">
      <c r="A23" s="28">
        <v>8</v>
      </c>
      <c r="B23" s="17" t="s">
        <v>29</v>
      </c>
      <c r="C23" s="38">
        <f>'Rev Conversion Factor - SCH H'!E20</f>
        <v>5.8513799999999998E-3</v>
      </c>
      <c r="D23" s="33">
        <f>D19*C23</f>
        <v>38895.62402261739</v>
      </c>
    </row>
    <row r="24" spans="1:5" x14ac:dyDescent="0.25">
      <c r="A24" s="28">
        <v>9</v>
      </c>
      <c r="B24" s="17" t="s">
        <v>30</v>
      </c>
      <c r="C24" s="38">
        <f>'Rev Conversion Factor - SCH H'!E24</f>
        <v>0.1944843</v>
      </c>
      <c r="D24" s="33">
        <f>D19*C24</f>
        <v>1292787.0367506347</v>
      </c>
      <c r="E24" s="39"/>
    </row>
    <row r="25" spans="1:5" x14ac:dyDescent="0.25">
      <c r="A25" s="28">
        <v>10</v>
      </c>
      <c r="B25" s="40" t="s">
        <v>31</v>
      </c>
      <c r="C25" s="41">
        <f>'Rev Conversion Factor - SCH H'!E27</f>
        <v>0.77599233999999995</v>
      </c>
      <c r="D25" s="42">
        <f>D19*C25</f>
        <v>5158220.1636316702</v>
      </c>
      <c r="E25" s="39"/>
    </row>
    <row r="26" spans="1:5" x14ac:dyDescent="0.25">
      <c r="A26" s="28">
        <v>11</v>
      </c>
      <c r="B26" s="17"/>
      <c r="C26" s="43"/>
      <c r="D26" s="33"/>
    </row>
    <row r="27" spans="1:5" ht="15.75" thickBot="1" x14ac:dyDescent="0.3">
      <c r="A27" s="28">
        <v>12</v>
      </c>
      <c r="B27" s="19" t="s">
        <v>32</v>
      </c>
      <c r="C27" s="44">
        <v>1</v>
      </c>
      <c r="D27" s="45">
        <f>SUM(D22:D25)</f>
        <v>6647256.548475299</v>
      </c>
    </row>
    <row r="28" spans="1:5" ht="15.75" thickTop="1" x14ac:dyDescent="0.25">
      <c r="A28" s="28">
        <v>13</v>
      </c>
      <c r="B28" s="16"/>
      <c r="C28" s="17"/>
      <c r="D28" s="30"/>
    </row>
    <row r="29" spans="1:5" ht="15.75" thickBot="1" x14ac:dyDescent="0.3">
      <c r="A29" s="28">
        <v>14</v>
      </c>
      <c r="B29" s="19" t="s">
        <v>33</v>
      </c>
      <c r="C29" s="17"/>
      <c r="D29" s="45">
        <f>D17-D27</f>
        <v>19404733.041908503</v>
      </c>
    </row>
    <row r="30" spans="1:5" ht="15.75" thickTop="1" x14ac:dyDescent="0.25">
      <c r="A30" s="28">
        <v>15</v>
      </c>
      <c r="B30" s="17"/>
      <c r="C30" s="17"/>
      <c r="D30" s="46"/>
    </row>
    <row r="31" spans="1:5" x14ac:dyDescent="0.25">
      <c r="A31" s="28">
        <v>16</v>
      </c>
      <c r="B31" s="17"/>
      <c r="C31" s="17"/>
      <c r="D31" s="33"/>
    </row>
    <row r="32" spans="1:5" x14ac:dyDescent="0.25">
      <c r="A32" s="28">
        <v>17</v>
      </c>
      <c r="C32" s="17"/>
      <c r="D32" s="33"/>
    </row>
    <row r="33" spans="1:5" x14ac:dyDescent="0.25">
      <c r="A33" s="28">
        <v>18</v>
      </c>
      <c r="B33" s="47" t="s">
        <v>34</v>
      </c>
      <c r="C33" s="26" t="s">
        <v>35</v>
      </c>
      <c r="D33" s="27" t="s">
        <v>36</v>
      </c>
      <c r="E33" s="27" t="s">
        <v>37</v>
      </c>
    </row>
    <row r="34" spans="1:5" ht="15.75" thickBot="1" x14ac:dyDescent="0.3">
      <c r="A34" s="28">
        <v>19</v>
      </c>
      <c r="B34" s="16" t="s">
        <v>38</v>
      </c>
      <c r="C34" s="45">
        <f>'Rev Requirement - SCH A'!F18</f>
        <v>116213137.43291217</v>
      </c>
      <c r="D34" s="45">
        <f>D17</f>
        <v>26051989.590383802</v>
      </c>
      <c r="E34" s="45">
        <f>C34+D34</f>
        <v>142265127.02329597</v>
      </c>
    </row>
    <row r="35" spans="1:5" ht="15.75" thickTop="1" x14ac:dyDescent="0.25">
      <c r="A35" s="28">
        <v>20</v>
      </c>
      <c r="B35" s="17"/>
      <c r="C35" s="17"/>
      <c r="D35" s="33"/>
    </row>
    <row r="36" spans="1:5" x14ac:dyDescent="0.25">
      <c r="A36" s="28">
        <v>21</v>
      </c>
      <c r="B36" s="47" t="s">
        <v>39</v>
      </c>
      <c r="C36" s="17"/>
      <c r="D36" s="33"/>
    </row>
    <row r="37" spans="1:5" x14ac:dyDescent="0.25">
      <c r="A37" s="28">
        <v>22</v>
      </c>
      <c r="B37" s="17" t="s">
        <v>40</v>
      </c>
      <c r="C37" s="30">
        <f>'Rev Requirement - SCH A'!F21</f>
        <v>46466136.443313703</v>
      </c>
      <c r="D37" s="30">
        <f>D22</f>
        <v>157353.72407037631</v>
      </c>
      <c r="E37" s="30">
        <f t="shared" ref="E37:E43" si="0">C37+D37</f>
        <v>46623490.167384081</v>
      </c>
    </row>
    <row r="38" spans="1:5" x14ac:dyDescent="0.25">
      <c r="A38" s="28">
        <v>23</v>
      </c>
      <c r="B38" s="17" t="s">
        <v>41</v>
      </c>
      <c r="C38" s="33">
        <f>'Rev Requirement - SCH A'!F22</f>
        <v>28740336.021431103</v>
      </c>
      <c r="D38" s="33">
        <v>0</v>
      </c>
      <c r="E38" s="33">
        <f t="shared" si="0"/>
        <v>28740336.021431103</v>
      </c>
    </row>
    <row r="39" spans="1:5" x14ac:dyDescent="0.25">
      <c r="A39" s="28">
        <v>24</v>
      </c>
      <c r="B39" s="17" t="s">
        <v>42</v>
      </c>
      <c r="C39" s="33">
        <f>'Rev Requirement - SCH A'!F23+'Rev Requirement - SCH A'!F24</f>
        <v>71802.959999999992</v>
      </c>
      <c r="D39" s="33">
        <v>0</v>
      </c>
      <c r="E39" s="33">
        <f t="shared" si="0"/>
        <v>71802.959999999992</v>
      </c>
    </row>
    <row r="40" spans="1:5" x14ac:dyDescent="0.25">
      <c r="A40" s="28">
        <v>25</v>
      </c>
      <c r="B40" s="17" t="s">
        <v>43</v>
      </c>
      <c r="C40" s="33">
        <f>'Rev Requirement - SCH A'!F28</f>
        <v>10651594</v>
      </c>
      <c r="D40" s="33">
        <f>D23</f>
        <v>38895.62402261739</v>
      </c>
      <c r="E40" s="33">
        <f t="shared" si="0"/>
        <v>10690489.624022618</v>
      </c>
    </row>
    <row r="41" spans="1:5" x14ac:dyDescent="0.25">
      <c r="A41" s="28">
        <v>26</v>
      </c>
      <c r="B41" s="17" t="s">
        <v>44</v>
      </c>
      <c r="C41" s="33">
        <f>'Rev Requirement - SCH A'!F25</f>
        <v>868081.83665836742</v>
      </c>
      <c r="D41" s="33">
        <f>D24</f>
        <v>1292787.0367506347</v>
      </c>
      <c r="E41" s="33">
        <f t="shared" si="0"/>
        <v>2160868.8734090021</v>
      </c>
    </row>
    <row r="42" spans="1:5" x14ac:dyDescent="0.25">
      <c r="A42" s="28">
        <v>27</v>
      </c>
      <c r="B42" s="17" t="s">
        <v>45</v>
      </c>
      <c r="C42" s="42">
        <f>'Rev Requirement - SCH A'!F26+'Rev Requirement - SCH A'!F27</f>
        <v>2513030.7825685963</v>
      </c>
      <c r="D42" s="42">
        <f>D25</f>
        <v>5158220.1636316702</v>
      </c>
      <c r="E42" s="42">
        <f t="shared" si="0"/>
        <v>7671250.9462002665</v>
      </c>
    </row>
    <row r="43" spans="1:5" ht="15.75" thickBot="1" x14ac:dyDescent="0.3">
      <c r="A43" s="28">
        <v>28</v>
      </c>
      <c r="B43" s="19" t="s">
        <v>46</v>
      </c>
      <c r="C43" s="45">
        <f>'Rev Requirement - SCH A'!F29</f>
        <v>89310982.043971777</v>
      </c>
      <c r="D43" s="45">
        <f>SUM(D37:D42)</f>
        <v>6647256.548475299</v>
      </c>
      <c r="E43" s="45">
        <f t="shared" si="0"/>
        <v>95958238.592447072</v>
      </c>
    </row>
    <row r="44" spans="1:5" ht="15.75" thickTop="1" x14ac:dyDescent="0.25">
      <c r="A44" s="28">
        <v>29</v>
      </c>
      <c r="B44" s="17"/>
      <c r="C44" s="17"/>
      <c r="D44" s="17"/>
    </row>
    <row r="45" spans="1:5" ht="15.75" thickBot="1" x14ac:dyDescent="0.3">
      <c r="A45" s="28">
        <v>30</v>
      </c>
      <c r="B45" s="19" t="s">
        <v>47</v>
      </c>
      <c r="C45" s="45">
        <f>'Rev Requirement - SCH A'!F31</f>
        <v>26902155.388940394</v>
      </c>
      <c r="D45" s="45">
        <f>D34-D43</f>
        <v>19404733.041908503</v>
      </c>
      <c r="E45" s="45">
        <f>C45+D45</f>
        <v>46306888.430848897</v>
      </c>
    </row>
    <row r="46" spans="1:5" ht="15.75" thickTop="1" x14ac:dyDescent="0.25">
      <c r="A46" s="28">
        <v>31</v>
      </c>
      <c r="B46" s="17"/>
      <c r="C46" s="17"/>
      <c r="D46" s="17"/>
    </row>
    <row r="47" spans="1:5" x14ac:dyDescent="0.25">
      <c r="E47" s="48"/>
    </row>
  </sheetData>
  <mergeCells count="4">
    <mergeCell ref="A6:E6"/>
    <mergeCell ref="A7:E7"/>
    <mergeCell ref="A8:E8"/>
    <mergeCell ref="A9:D9"/>
  </mergeCells>
  <printOptions horizontalCentered="1"/>
  <pageMargins left="0.7" right="0.7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07F9-8D38-4DFD-B878-7B78C7C80E87}">
  <dimension ref="A1:W55"/>
  <sheetViews>
    <sheetView zoomScaleNormal="100" workbookViewId="0">
      <selection sqref="A1:Q1"/>
    </sheetView>
  </sheetViews>
  <sheetFormatPr defaultColWidth="8.85546875" defaultRowHeight="12.75" x14ac:dyDescent="0.2"/>
  <cols>
    <col min="1" max="1" width="4.85546875" style="165" customWidth="1"/>
    <col min="2" max="2" width="1.85546875" style="165" customWidth="1"/>
    <col min="3" max="3" width="16.85546875" style="165" customWidth="1"/>
    <col min="4" max="4" width="1.85546875" style="165" customWidth="1"/>
    <col min="5" max="5" width="15.85546875" style="165" customWidth="1"/>
    <col min="6" max="6" width="1.85546875" style="165" customWidth="1"/>
    <col min="7" max="7" width="14.140625" style="165" customWidth="1"/>
    <col min="8" max="8" width="1.85546875" style="165" customWidth="1"/>
    <col min="9" max="9" width="13.85546875" style="165" customWidth="1"/>
    <col min="10" max="10" width="1.85546875" style="165" customWidth="1"/>
    <col min="11" max="11" width="13.85546875" style="165" customWidth="1"/>
    <col min="12" max="12" width="1.85546875" style="165" customWidth="1"/>
    <col min="13" max="13" width="16.140625" style="165" customWidth="1"/>
    <col min="14" max="14" width="1.85546875" style="165" customWidth="1"/>
    <col min="15" max="15" width="8.5703125" style="165" customWidth="1"/>
    <col min="16" max="16" width="1.85546875" style="165" customWidth="1"/>
    <col min="17" max="17" width="15.85546875" style="165" customWidth="1"/>
    <col min="18" max="18" width="1.85546875" style="165" customWidth="1"/>
    <col min="19" max="19" width="8.85546875" style="165"/>
    <col min="20" max="20" width="9.140625" style="165" bestFit="1" customWidth="1"/>
    <col min="21" max="21" width="21.42578125" style="165" customWidth="1"/>
    <col min="22" max="22" width="4.5703125" style="165" customWidth="1"/>
    <col min="23" max="23" width="6.5703125" style="165" bestFit="1" customWidth="1"/>
    <col min="24" max="16384" width="8.85546875" style="165"/>
  </cols>
  <sheetData>
    <row r="1" spans="1:19" ht="15" x14ac:dyDescent="0.25">
      <c r="A1" s="330" t="s">
        <v>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9" ht="15" x14ac:dyDescent="0.25">
      <c r="A2" s="330" t="s">
        <v>214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166"/>
      <c r="S2" s="166"/>
    </row>
    <row r="3" spans="1:19" ht="15" x14ac:dyDescent="0.25">
      <c r="A3" s="330" t="s">
        <v>215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166"/>
      <c r="S3" s="166"/>
    </row>
    <row r="4" spans="1:19" ht="15" x14ac:dyDescent="0.25">
      <c r="A4" s="331" t="s">
        <v>216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166"/>
      <c r="S4" s="166"/>
    </row>
    <row r="5" spans="1:19" ht="15" x14ac:dyDescent="0.25">
      <c r="A5" s="108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</row>
    <row r="6" spans="1:19" ht="15" x14ac:dyDescent="0.25">
      <c r="A6" s="167" t="s">
        <v>188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68" t="s">
        <v>189</v>
      </c>
      <c r="R6" s="108"/>
    </row>
    <row r="7" spans="1:19" ht="15" x14ac:dyDescent="0.25">
      <c r="A7" s="169" t="s">
        <v>217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70" t="s">
        <v>210</v>
      </c>
      <c r="R7" s="108"/>
    </row>
    <row r="8" spans="1:19" ht="15" x14ac:dyDescent="0.25">
      <c r="A8" s="169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70" t="s">
        <v>218</v>
      </c>
      <c r="R8" s="108"/>
    </row>
    <row r="9" spans="1:19" ht="15" x14ac:dyDescent="0.25">
      <c r="A9" s="169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70" t="s">
        <v>190</v>
      </c>
      <c r="R9" s="108"/>
    </row>
    <row r="10" spans="1:19" ht="15" x14ac:dyDescent="0.25">
      <c r="A10" s="169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ht="15" x14ac:dyDescent="0.25">
      <c r="A11" s="169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 ht="15" x14ac:dyDescent="0.25">
      <c r="A12" s="169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ht="15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ht="15" x14ac:dyDescent="0.25">
      <c r="A14" s="169"/>
      <c r="B14" s="169"/>
      <c r="C14" s="169"/>
      <c r="D14" s="169"/>
      <c r="E14" s="169"/>
      <c r="F14" s="169"/>
      <c r="G14" s="171" t="s">
        <v>191</v>
      </c>
      <c r="H14" s="171"/>
      <c r="I14" s="169"/>
      <c r="J14" s="169"/>
      <c r="K14" s="169"/>
      <c r="L14" s="169"/>
      <c r="M14" s="169"/>
      <c r="N14" s="169"/>
      <c r="O14" s="169"/>
      <c r="P14" s="169"/>
      <c r="Q14" s="171" t="s">
        <v>191</v>
      </c>
      <c r="R14" s="169"/>
      <c r="S14" s="169"/>
    </row>
    <row r="15" spans="1:19" ht="15" x14ac:dyDescent="0.25">
      <c r="A15" s="107" t="s">
        <v>17</v>
      </c>
      <c r="B15" s="108"/>
      <c r="C15" s="107" t="s">
        <v>192</v>
      </c>
      <c r="D15" s="169"/>
      <c r="E15" s="108"/>
      <c r="F15" s="108"/>
      <c r="G15" s="107" t="s">
        <v>193</v>
      </c>
      <c r="H15" s="107"/>
      <c r="I15" s="108"/>
      <c r="J15" s="108"/>
      <c r="K15" s="108"/>
      <c r="L15" s="108"/>
      <c r="M15" s="107" t="s">
        <v>5</v>
      </c>
      <c r="N15" s="107"/>
      <c r="O15" s="108"/>
      <c r="P15" s="108"/>
      <c r="Q15" s="107" t="s">
        <v>194</v>
      </c>
      <c r="R15" s="108"/>
      <c r="S15" s="108"/>
    </row>
    <row r="16" spans="1:19" ht="15.75" thickBot="1" x14ac:dyDescent="0.3">
      <c r="A16" s="172" t="s">
        <v>126</v>
      </c>
      <c r="B16" s="169"/>
      <c r="C16" s="172" t="s">
        <v>195</v>
      </c>
      <c r="D16" s="169"/>
      <c r="E16" s="172" t="s">
        <v>58</v>
      </c>
      <c r="F16" s="169"/>
      <c r="G16" s="172" t="s">
        <v>196</v>
      </c>
      <c r="H16" s="171"/>
      <c r="I16" s="172" t="s">
        <v>197</v>
      </c>
      <c r="J16" s="171"/>
      <c r="K16" s="172" t="s">
        <v>198</v>
      </c>
      <c r="L16" s="171"/>
      <c r="M16" s="172" t="s">
        <v>195</v>
      </c>
      <c r="N16" s="171"/>
      <c r="O16" s="172" t="s">
        <v>199</v>
      </c>
      <c r="P16" s="171"/>
      <c r="Q16" s="172" t="s">
        <v>200</v>
      </c>
      <c r="R16" s="169"/>
      <c r="S16" s="171"/>
    </row>
    <row r="17" spans="1:23" ht="15" x14ac:dyDescent="0.25">
      <c r="A17" s="171">
        <v>1</v>
      </c>
      <c r="B17" s="108"/>
      <c r="C17" s="108"/>
      <c r="D17" s="169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23" ht="15" x14ac:dyDescent="0.25">
      <c r="A18" s="171">
        <f t="shared" ref="A18:A32" si="0">A17+1</f>
        <v>2</v>
      </c>
      <c r="B18" s="108"/>
      <c r="C18" s="169" t="s">
        <v>201</v>
      </c>
      <c r="D18" s="169"/>
      <c r="E18" s="107" t="s">
        <v>219</v>
      </c>
      <c r="F18" s="108"/>
      <c r="G18" s="173">
        <v>5752847.5694025801</v>
      </c>
      <c r="H18" s="174"/>
      <c r="I18" s="175">
        <f>ROUND(G18/$G$26,5)</f>
        <v>9.6299999999999997E-3</v>
      </c>
      <c r="J18" s="174"/>
      <c r="K18" s="173">
        <f>ROUND(I18*$G$32,5)</f>
        <v>6.1599999999999997E-3</v>
      </c>
      <c r="L18" s="174"/>
      <c r="M18" s="173">
        <f>G18+K18</f>
        <v>5752847.5755625805</v>
      </c>
      <c r="N18" s="174"/>
      <c r="O18" s="176">
        <v>3.8184230769230783E-2</v>
      </c>
      <c r="P18" s="176"/>
      <c r="Q18" s="176">
        <f>ROUND(O18*I18,4)</f>
        <v>4.0000000000000002E-4</v>
      </c>
      <c r="R18" s="108"/>
      <c r="S18" s="177"/>
      <c r="U18" s="178"/>
      <c r="V18" s="178"/>
      <c r="W18" s="178"/>
    </row>
    <row r="19" spans="1:23" ht="15" x14ac:dyDescent="0.25">
      <c r="A19" s="171">
        <f t="shared" si="0"/>
        <v>3</v>
      </c>
      <c r="B19" s="108"/>
      <c r="C19" s="108"/>
      <c r="D19" s="108"/>
      <c r="E19" s="107"/>
      <c r="F19" s="108"/>
      <c r="G19" s="169"/>
      <c r="H19" s="108"/>
      <c r="I19" s="175"/>
      <c r="J19" s="108"/>
      <c r="K19" s="169"/>
      <c r="L19" s="108"/>
      <c r="M19" s="169"/>
      <c r="N19" s="108"/>
      <c r="O19" s="176"/>
      <c r="P19" s="176"/>
      <c r="Q19" s="176"/>
      <c r="R19" s="108"/>
      <c r="S19" s="177"/>
      <c r="U19" s="108" t="s">
        <v>202</v>
      </c>
      <c r="V19" s="178"/>
      <c r="W19" s="178"/>
    </row>
    <row r="20" spans="1:23" ht="15" x14ac:dyDescent="0.25">
      <c r="A20" s="171">
        <f t="shared" si="0"/>
        <v>4</v>
      </c>
      <c r="B20" s="108"/>
      <c r="C20" s="169" t="s">
        <v>203</v>
      </c>
      <c r="D20" s="108"/>
      <c r="E20" s="107" t="s">
        <v>220</v>
      </c>
      <c r="F20" s="108"/>
      <c r="G20" s="169">
        <v>275967192.40632474</v>
      </c>
      <c r="H20" s="179"/>
      <c r="I20" s="175">
        <f>ROUND(G20/$G$26,5)</f>
        <v>0.46211000000000002</v>
      </c>
      <c r="J20" s="179"/>
      <c r="K20" s="180">
        <f>ROUND(I20*$G$32,5)</f>
        <v>0.29575000000000001</v>
      </c>
      <c r="L20" s="179"/>
      <c r="M20" s="169">
        <f>G20+K20</f>
        <v>275967192.70207477</v>
      </c>
      <c r="N20" s="179"/>
      <c r="O20" s="176">
        <v>4.6808527808553914E-2</v>
      </c>
      <c r="P20" s="176"/>
      <c r="Q20" s="176">
        <f>ROUND(O20*I20,4)</f>
        <v>2.1600000000000001E-2</v>
      </c>
      <c r="R20" s="108"/>
      <c r="S20" s="177"/>
      <c r="U20" s="108"/>
      <c r="V20" s="178"/>
      <c r="W20" s="175"/>
    </row>
    <row r="21" spans="1:23" ht="15" x14ac:dyDescent="0.25">
      <c r="A21" s="171">
        <f t="shared" si="0"/>
        <v>5</v>
      </c>
      <c r="B21" s="108"/>
      <c r="C21" s="108"/>
      <c r="D21" s="108"/>
      <c r="E21" s="107"/>
      <c r="F21" s="108"/>
      <c r="G21" s="169"/>
      <c r="H21" s="108"/>
      <c r="I21" s="175"/>
      <c r="J21" s="108"/>
      <c r="K21" s="169"/>
      <c r="L21" s="108"/>
      <c r="M21" s="169"/>
      <c r="N21" s="108"/>
      <c r="O21" s="176"/>
      <c r="P21" s="176"/>
      <c r="Q21" s="176"/>
      <c r="R21" s="108"/>
      <c r="S21" s="108"/>
      <c r="U21" s="169" t="s">
        <v>204</v>
      </c>
      <c r="V21" s="178"/>
      <c r="W21" s="175">
        <f>Q26</f>
        <v>7.8700000000000006E-2</v>
      </c>
    </row>
    <row r="22" spans="1:23" ht="15" x14ac:dyDescent="0.25">
      <c r="A22" s="171">
        <f t="shared" si="0"/>
        <v>6</v>
      </c>
      <c r="B22" s="108"/>
      <c r="C22" s="169" t="s">
        <v>205</v>
      </c>
      <c r="D22" s="108"/>
      <c r="E22" s="107" t="s">
        <v>221</v>
      </c>
      <c r="F22" s="108"/>
      <c r="G22" s="169">
        <v>2245235.88</v>
      </c>
      <c r="H22" s="179"/>
      <c r="I22" s="175">
        <f>ROUND(G22/$G$26,5)</f>
        <v>3.7599999999999999E-3</v>
      </c>
      <c r="J22" s="179"/>
      <c r="K22" s="169">
        <f>ROUND(I22*$G$32,5)</f>
        <v>2.4099999999999998E-3</v>
      </c>
      <c r="L22" s="179"/>
      <c r="M22" s="169">
        <f>G22+K22</f>
        <v>2245235.8824100001</v>
      </c>
      <c r="N22" s="179"/>
      <c r="O22" s="176">
        <v>8.5099999999999995E-2</v>
      </c>
      <c r="P22" s="176"/>
      <c r="Q22" s="176">
        <f>ROUND(O22*I22,4)</f>
        <v>2.9999999999999997E-4</v>
      </c>
      <c r="R22" s="108"/>
      <c r="S22" s="108"/>
      <c r="U22" s="108"/>
      <c r="V22" s="178"/>
      <c r="W22" s="108"/>
    </row>
    <row r="23" spans="1:23" ht="15" x14ac:dyDescent="0.25">
      <c r="A23" s="171">
        <f t="shared" si="0"/>
        <v>7</v>
      </c>
      <c r="B23" s="108"/>
      <c r="C23" s="108"/>
      <c r="D23" s="108"/>
      <c r="E23" s="107"/>
      <c r="F23" s="108"/>
      <c r="G23" s="169"/>
      <c r="H23" s="108"/>
      <c r="I23" s="175"/>
      <c r="J23" s="108"/>
      <c r="K23" s="169"/>
      <c r="L23" s="108"/>
      <c r="M23" s="169"/>
      <c r="N23" s="108"/>
      <c r="O23" s="176"/>
      <c r="P23" s="176"/>
      <c r="Q23" s="176"/>
      <c r="R23" s="108"/>
      <c r="S23" s="108"/>
      <c r="U23" s="169" t="s">
        <v>206</v>
      </c>
      <c r="V23" s="178"/>
      <c r="W23" s="175">
        <f>Q18+Q20</f>
        <v>2.2000000000000002E-2</v>
      </c>
    </row>
    <row r="24" spans="1:23" ht="15" x14ac:dyDescent="0.25">
      <c r="A24" s="171">
        <f t="shared" si="0"/>
        <v>8</v>
      </c>
      <c r="B24" s="108"/>
      <c r="C24" s="169" t="s">
        <v>207</v>
      </c>
      <c r="D24" s="108"/>
      <c r="E24" s="107" t="s">
        <v>222</v>
      </c>
      <c r="F24" s="108"/>
      <c r="G24" s="181">
        <v>313228975.82808197</v>
      </c>
      <c r="H24" s="179"/>
      <c r="I24" s="182">
        <f>1-SUM(I18:I22)</f>
        <v>0.52449999999999997</v>
      </c>
      <c r="J24" s="179"/>
      <c r="K24" s="183">
        <f>ROUND(I24*$G$32,5)</f>
        <v>0.33567999999999998</v>
      </c>
      <c r="L24" s="179"/>
      <c r="M24" s="181">
        <f>G24+K24</f>
        <v>313228976.16376197</v>
      </c>
      <c r="N24" s="179"/>
      <c r="O24" s="175">
        <v>0.1075</v>
      </c>
      <c r="P24" s="176"/>
      <c r="Q24" s="184">
        <f>ROUND(O24*I24,4)</f>
        <v>5.6399999999999999E-2</v>
      </c>
      <c r="R24" s="108"/>
      <c r="S24" s="108"/>
    </row>
    <row r="25" spans="1:23" ht="15" x14ac:dyDescent="0.25">
      <c r="A25" s="171">
        <f t="shared" si="0"/>
        <v>9</v>
      </c>
      <c r="B25" s="108"/>
      <c r="C25" s="108"/>
      <c r="D25" s="108"/>
      <c r="E25" s="107"/>
      <c r="F25" s="108"/>
      <c r="G25" s="169"/>
      <c r="H25" s="108"/>
      <c r="I25" s="176"/>
      <c r="J25" s="108"/>
      <c r="K25" s="169"/>
      <c r="L25" s="108"/>
      <c r="M25" s="169"/>
      <c r="N25" s="108"/>
      <c r="O25" s="176"/>
      <c r="P25" s="176"/>
      <c r="Q25" s="176"/>
      <c r="R25" s="108"/>
      <c r="S25" s="108"/>
    </row>
    <row r="26" spans="1:23" ht="15.75" thickBot="1" x14ac:dyDescent="0.3">
      <c r="A26" s="171">
        <f t="shared" si="0"/>
        <v>10</v>
      </c>
      <c r="B26" s="108"/>
      <c r="C26" s="169" t="s">
        <v>208</v>
      </c>
      <c r="D26" s="108"/>
      <c r="E26" s="107"/>
      <c r="F26" s="108"/>
      <c r="G26" s="185">
        <f>SUM(G18:G24)</f>
        <v>597194251.68380928</v>
      </c>
      <c r="H26" s="174"/>
      <c r="I26" s="186" t="s">
        <v>129</v>
      </c>
      <c r="J26" s="174"/>
      <c r="K26" s="187">
        <f>SUM(K18:K24)</f>
        <v>0.64</v>
      </c>
      <c r="L26" s="174"/>
      <c r="M26" s="185">
        <f>SUM(M18:M24)</f>
        <v>597194252.32380939</v>
      </c>
      <c r="N26" s="174"/>
      <c r="O26" s="176"/>
      <c r="P26" s="176"/>
      <c r="Q26" s="186">
        <f>SUM(Q18:Q24)</f>
        <v>7.8700000000000006E-2</v>
      </c>
      <c r="R26" s="108"/>
      <c r="S26" s="108"/>
    </row>
    <row r="27" spans="1:23" ht="15.75" thickTop="1" x14ac:dyDescent="0.25">
      <c r="A27" s="171">
        <f t="shared" si="0"/>
        <v>11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</row>
    <row r="28" spans="1:23" ht="15" x14ac:dyDescent="0.25">
      <c r="A28" s="171">
        <f t="shared" si="0"/>
        <v>12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spans="1:23" ht="15" x14ac:dyDescent="0.25">
      <c r="A29" s="171">
        <f t="shared" si="0"/>
        <v>13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88"/>
      <c r="N29" s="188"/>
      <c r="O29" s="108"/>
      <c r="P29" s="108"/>
      <c r="Q29" s="108"/>
      <c r="R29" s="108"/>
      <c r="S29" s="108"/>
    </row>
    <row r="30" spans="1:23" ht="15" x14ac:dyDescent="0.25">
      <c r="A30" s="171">
        <f t="shared" si="0"/>
        <v>14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88"/>
      <c r="N30" s="188"/>
      <c r="O30" s="108"/>
      <c r="P30" s="108"/>
      <c r="R30" s="108"/>
      <c r="S30" s="108"/>
    </row>
    <row r="31" spans="1:23" ht="15" x14ac:dyDescent="0.25">
      <c r="A31" s="171">
        <f t="shared" si="0"/>
        <v>15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2" spans="1:23" ht="15.75" thickBot="1" x14ac:dyDescent="0.3">
      <c r="A32" s="171">
        <f t="shared" si="0"/>
        <v>16</v>
      </c>
      <c r="B32" s="108"/>
      <c r="C32" s="169" t="s">
        <v>209</v>
      </c>
      <c r="D32" s="108"/>
      <c r="E32" s="107" t="s">
        <v>223</v>
      </c>
      <c r="F32" s="108"/>
      <c r="G32" s="187">
        <v>0.64000000000180535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spans="1:17" ht="13.5" thickTop="1" x14ac:dyDescent="0.2"/>
    <row r="36" spans="1:17" ht="15" x14ac:dyDescent="0.25">
      <c r="A36" s="189"/>
      <c r="G36" s="173"/>
      <c r="H36" s="174"/>
      <c r="I36" s="176"/>
      <c r="J36" s="174"/>
      <c r="K36" s="173"/>
      <c r="L36" s="174"/>
      <c r="M36" s="173"/>
      <c r="N36" s="174"/>
      <c r="O36" s="176"/>
      <c r="P36" s="176"/>
      <c r="Q36" s="176"/>
    </row>
    <row r="37" spans="1:17" ht="15" x14ac:dyDescent="0.25">
      <c r="A37" s="169"/>
      <c r="B37" s="169"/>
      <c r="C37" s="169"/>
      <c r="D37" s="169"/>
      <c r="E37" s="169"/>
      <c r="F37" s="169"/>
      <c r="G37" s="169"/>
      <c r="H37" s="108"/>
      <c r="I37" s="176"/>
      <c r="J37" s="108"/>
      <c r="K37" s="169"/>
      <c r="L37" s="108"/>
      <c r="M37" s="169"/>
      <c r="N37" s="108"/>
      <c r="O37" s="176"/>
      <c r="P37" s="176"/>
      <c r="Q37" s="176"/>
    </row>
    <row r="38" spans="1:17" ht="15" x14ac:dyDescent="0.25">
      <c r="A38" s="107"/>
      <c r="B38" s="108"/>
      <c r="C38" s="107"/>
      <c r="D38" s="169"/>
      <c r="E38" s="108"/>
      <c r="F38" s="108"/>
      <c r="G38" s="169"/>
      <c r="H38" s="179"/>
      <c r="I38" s="176"/>
      <c r="J38" s="179"/>
      <c r="K38" s="169"/>
      <c r="L38" s="179"/>
      <c r="M38" s="169"/>
      <c r="N38" s="179"/>
      <c r="O38" s="176"/>
      <c r="P38" s="176"/>
      <c r="Q38" s="176"/>
    </row>
    <row r="39" spans="1:17" ht="15" x14ac:dyDescent="0.25">
      <c r="A39" s="171"/>
      <c r="B39" s="169"/>
      <c r="C39" s="171"/>
      <c r="D39" s="169"/>
      <c r="E39" s="171"/>
      <c r="F39" s="169"/>
      <c r="G39" s="169"/>
      <c r="H39" s="108"/>
      <c r="I39" s="176"/>
      <c r="J39" s="108"/>
      <c r="K39" s="169"/>
      <c r="L39" s="108"/>
      <c r="M39" s="169"/>
      <c r="N39" s="108"/>
      <c r="O39" s="176"/>
      <c r="P39" s="176"/>
      <c r="Q39" s="176"/>
    </row>
    <row r="40" spans="1:17" ht="15" x14ac:dyDescent="0.25">
      <c r="A40" s="171"/>
      <c r="B40" s="108"/>
      <c r="C40" s="108"/>
      <c r="D40" s="169"/>
      <c r="E40" s="108"/>
      <c r="F40" s="108"/>
      <c r="G40" s="169"/>
      <c r="H40" s="179"/>
      <c r="I40" s="176"/>
      <c r="J40" s="179"/>
      <c r="K40" s="169"/>
      <c r="L40" s="179"/>
      <c r="M40" s="169"/>
      <c r="N40" s="179"/>
      <c r="O40" s="176"/>
      <c r="P40" s="176"/>
      <c r="Q40" s="176"/>
    </row>
    <row r="41" spans="1:17" ht="15" x14ac:dyDescent="0.25">
      <c r="A41" s="171"/>
      <c r="B41" s="108"/>
      <c r="C41" s="169"/>
      <c r="D41" s="169"/>
      <c r="E41" s="107"/>
      <c r="F41" s="108"/>
      <c r="G41" s="169"/>
      <c r="H41" s="108"/>
      <c r="I41" s="176"/>
      <c r="J41" s="108"/>
      <c r="K41" s="169"/>
      <c r="L41" s="108"/>
      <c r="M41" s="169"/>
      <c r="N41" s="108"/>
      <c r="O41" s="176"/>
      <c r="P41" s="176"/>
      <c r="Q41" s="176"/>
    </row>
    <row r="42" spans="1:17" ht="15" x14ac:dyDescent="0.25">
      <c r="A42" s="171"/>
      <c r="B42" s="108"/>
      <c r="C42" s="108"/>
      <c r="D42" s="108"/>
      <c r="E42" s="107"/>
      <c r="F42" s="108"/>
      <c r="G42" s="169"/>
      <c r="H42" s="179"/>
      <c r="I42" s="176"/>
      <c r="J42" s="179"/>
      <c r="K42" s="169"/>
      <c r="L42" s="179"/>
      <c r="M42" s="169"/>
      <c r="N42" s="179"/>
      <c r="O42" s="176"/>
      <c r="P42" s="176"/>
      <c r="Q42" s="176"/>
    </row>
    <row r="43" spans="1:17" ht="15" x14ac:dyDescent="0.25">
      <c r="A43" s="171"/>
      <c r="B43" s="108"/>
      <c r="C43" s="169"/>
      <c r="D43" s="108"/>
      <c r="E43" s="107"/>
      <c r="F43" s="108"/>
      <c r="G43" s="169"/>
      <c r="H43" s="108"/>
      <c r="I43" s="176"/>
      <c r="J43" s="108"/>
      <c r="K43" s="169"/>
      <c r="L43" s="108"/>
      <c r="M43" s="169"/>
      <c r="N43" s="108"/>
      <c r="O43" s="176"/>
      <c r="P43" s="176"/>
      <c r="Q43" s="176"/>
    </row>
    <row r="44" spans="1:17" ht="15" x14ac:dyDescent="0.25">
      <c r="A44" s="171"/>
      <c r="B44" s="108"/>
      <c r="C44" s="108"/>
      <c r="D44" s="108"/>
      <c r="E44" s="107"/>
      <c r="F44" s="108"/>
      <c r="G44" s="173"/>
      <c r="H44" s="174"/>
      <c r="I44" s="176"/>
      <c r="J44" s="174"/>
      <c r="K44" s="173"/>
      <c r="L44" s="174"/>
      <c r="M44" s="173"/>
      <c r="N44" s="174"/>
      <c r="O44" s="176"/>
      <c r="P44" s="176"/>
      <c r="Q44" s="176"/>
    </row>
    <row r="45" spans="1:17" ht="15" x14ac:dyDescent="0.25">
      <c r="A45" s="171"/>
      <c r="B45" s="108"/>
      <c r="C45" s="169"/>
      <c r="D45" s="108"/>
      <c r="E45" s="107"/>
      <c r="F45" s="108"/>
      <c r="G45" s="169"/>
      <c r="H45" s="179"/>
      <c r="I45" s="176"/>
      <c r="J45" s="179"/>
      <c r="K45" s="169"/>
      <c r="L45" s="179"/>
      <c r="M45" s="169"/>
      <c r="N45" s="179"/>
      <c r="O45" s="176"/>
      <c r="P45" s="176"/>
      <c r="Q45" s="176"/>
    </row>
    <row r="46" spans="1:17" ht="15" x14ac:dyDescent="0.25">
      <c r="A46" s="171"/>
      <c r="B46" s="108"/>
      <c r="C46" s="108"/>
      <c r="D46" s="108"/>
      <c r="E46" s="107"/>
      <c r="F46" s="108"/>
      <c r="G46" s="169"/>
      <c r="H46" s="108"/>
      <c r="I46" s="176"/>
      <c r="J46" s="108"/>
      <c r="K46" s="169"/>
      <c r="L46" s="108"/>
      <c r="M46" s="169"/>
      <c r="N46" s="108"/>
      <c r="O46" s="176"/>
      <c r="P46" s="176"/>
      <c r="Q46" s="176"/>
    </row>
    <row r="47" spans="1:17" ht="15" x14ac:dyDescent="0.25">
      <c r="A47" s="171"/>
      <c r="B47" s="108"/>
      <c r="C47" s="169"/>
      <c r="D47" s="108"/>
      <c r="E47" s="107"/>
      <c r="F47" s="108"/>
      <c r="G47" s="169"/>
      <c r="H47" s="179"/>
      <c r="I47" s="176"/>
      <c r="J47" s="179"/>
      <c r="K47" s="169"/>
      <c r="L47" s="179"/>
      <c r="M47" s="169"/>
      <c r="N47" s="179"/>
      <c r="O47" s="176"/>
      <c r="P47" s="176"/>
      <c r="Q47" s="176"/>
    </row>
    <row r="48" spans="1:17" ht="15" x14ac:dyDescent="0.25">
      <c r="A48" s="171"/>
      <c r="B48" s="108"/>
      <c r="C48" s="108"/>
      <c r="D48" s="108"/>
      <c r="E48" s="107"/>
      <c r="F48" s="108"/>
      <c r="G48" s="169"/>
      <c r="H48" s="108"/>
      <c r="I48" s="176"/>
      <c r="J48" s="108"/>
      <c r="K48" s="169"/>
      <c r="L48" s="108"/>
      <c r="M48" s="169"/>
      <c r="N48" s="108"/>
      <c r="O48" s="176"/>
      <c r="P48" s="176"/>
      <c r="Q48" s="176"/>
    </row>
    <row r="49" spans="1:17" ht="15" x14ac:dyDescent="0.25">
      <c r="A49" s="171"/>
      <c r="B49" s="108"/>
      <c r="C49" s="169"/>
      <c r="D49" s="108"/>
      <c r="E49" s="107"/>
      <c r="F49" s="108"/>
      <c r="G49" s="173"/>
      <c r="H49" s="174"/>
      <c r="I49" s="176"/>
      <c r="J49" s="174"/>
      <c r="K49" s="173"/>
      <c r="L49" s="174"/>
      <c r="M49" s="173"/>
      <c r="N49" s="174"/>
      <c r="O49" s="176"/>
      <c r="P49" s="176"/>
      <c r="Q49" s="176"/>
    </row>
    <row r="50" spans="1:17" ht="15" x14ac:dyDescent="0.25">
      <c r="A50" s="171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1:17" ht="15" x14ac:dyDescent="0.25">
      <c r="A51" s="171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ht="15" x14ac:dyDescent="0.25">
      <c r="A52" s="171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88"/>
      <c r="N52" s="188"/>
      <c r="O52" s="108"/>
      <c r="P52" s="108"/>
      <c r="Q52" s="108"/>
    </row>
    <row r="53" spans="1:17" ht="15" x14ac:dyDescent="0.25">
      <c r="A53" s="171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88"/>
      <c r="N53" s="188"/>
      <c r="O53" s="108"/>
      <c r="P53" s="108"/>
      <c r="Q53" s="108"/>
    </row>
    <row r="54" spans="1:17" ht="15" x14ac:dyDescent="0.25">
      <c r="A54" s="171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ht="15" x14ac:dyDescent="0.25">
      <c r="A55" s="171"/>
      <c r="B55" s="108"/>
      <c r="C55" s="169"/>
      <c r="D55" s="108"/>
      <c r="E55" s="107"/>
      <c r="F55" s="108"/>
      <c r="G55" s="173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</sheetData>
  <mergeCells count="4">
    <mergeCell ref="A1:Q1"/>
    <mergeCell ref="A2:Q2"/>
    <mergeCell ref="A3:Q3"/>
    <mergeCell ref="A4:Q4"/>
  </mergeCells>
  <printOptions horizontalCentered="1"/>
  <pageMargins left="0.75" right="0.75" top="1" bottom="0.5" header="0.3" footer="0.3"/>
  <pageSetup scale="85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409D-3758-48F5-AAAC-69EF5366ABD3}">
  <dimension ref="A1:I181"/>
  <sheetViews>
    <sheetView zoomScaleNormal="100" workbookViewId="0">
      <selection sqref="A1:H1"/>
    </sheetView>
  </sheetViews>
  <sheetFormatPr defaultColWidth="9.140625" defaultRowHeight="15" x14ac:dyDescent="0.25"/>
  <cols>
    <col min="1" max="1" width="9.85546875" style="131" bestFit="1" customWidth="1"/>
    <col min="2" max="2" width="33.7109375" style="131" customWidth="1"/>
    <col min="3" max="3" width="18" style="131" customWidth="1"/>
    <col min="4" max="4" width="15.7109375" style="131" customWidth="1"/>
    <col min="5" max="5" width="13.7109375" style="131" customWidth="1"/>
    <col min="6" max="6" width="14.7109375" style="131" customWidth="1"/>
    <col min="7" max="7" width="14.85546875" style="131" customWidth="1"/>
    <col min="8" max="8" width="13.85546875" style="131" customWidth="1"/>
    <col min="9" max="9" width="2.7109375" style="131" customWidth="1"/>
    <col min="10" max="16384" width="9.140625" style="131"/>
  </cols>
  <sheetData>
    <row r="1" spans="1:8" x14ac:dyDescent="0.25">
      <c r="A1" s="333" t="s">
        <v>224</v>
      </c>
      <c r="B1" s="333"/>
      <c r="C1" s="333"/>
      <c r="D1" s="333"/>
      <c r="E1" s="333"/>
      <c r="F1" s="333"/>
      <c r="G1" s="333"/>
      <c r="H1" s="333"/>
    </row>
    <row r="2" spans="1:8" x14ac:dyDescent="0.25">
      <c r="A2" s="333" t="s">
        <v>214</v>
      </c>
      <c r="B2" s="333"/>
      <c r="C2" s="333"/>
      <c r="D2" s="333"/>
      <c r="E2" s="333"/>
      <c r="F2" s="333"/>
      <c r="G2" s="333"/>
      <c r="H2" s="333"/>
    </row>
    <row r="3" spans="1:8" x14ac:dyDescent="0.25">
      <c r="A3" s="333" t="s">
        <v>113</v>
      </c>
      <c r="B3" s="333"/>
      <c r="C3" s="333"/>
      <c r="D3" s="333"/>
      <c r="E3" s="333"/>
      <c r="F3" s="333"/>
      <c r="G3" s="333"/>
      <c r="H3" s="333"/>
    </row>
    <row r="4" spans="1:8" x14ac:dyDescent="0.25">
      <c r="A4" s="333" t="s">
        <v>225</v>
      </c>
      <c r="B4" s="333"/>
      <c r="C4" s="333"/>
      <c r="D4" s="333"/>
      <c r="E4" s="333"/>
      <c r="F4" s="333"/>
      <c r="G4" s="333"/>
      <c r="H4" s="333"/>
    </row>
    <row r="5" spans="1:8" x14ac:dyDescent="0.25">
      <c r="A5" s="56"/>
      <c r="B5" s="56"/>
      <c r="C5" s="56"/>
      <c r="D5" s="56"/>
      <c r="E5" s="56"/>
      <c r="F5" s="56"/>
      <c r="G5" s="56"/>
    </row>
    <row r="6" spans="1:8" x14ac:dyDescent="0.25">
      <c r="A6" s="22"/>
      <c r="B6" s="22"/>
      <c r="C6" s="22"/>
      <c r="D6" s="22"/>
      <c r="E6" s="22"/>
      <c r="F6" s="22"/>
      <c r="G6" s="22"/>
      <c r="H6" s="20" t="s">
        <v>114</v>
      </c>
    </row>
    <row r="7" spans="1:8" x14ac:dyDescent="0.25">
      <c r="A7" s="22"/>
      <c r="B7" s="22"/>
      <c r="C7" s="22"/>
      <c r="D7" s="22"/>
      <c r="E7" s="22"/>
      <c r="F7" s="22"/>
      <c r="G7" s="22"/>
      <c r="H7" s="132" t="s">
        <v>115</v>
      </c>
    </row>
    <row r="8" spans="1:8" x14ac:dyDescent="0.25">
      <c r="A8" s="22" t="s">
        <v>116</v>
      </c>
      <c r="H8" s="132" t="s">
        <v>186</v>
      </c>
    </row>
    <row r="9" spans="1:8" x14ac:dyDescent="0.25">
      <c r="A9" s="56"/>
      <c r="B9" s="56"/>
      <c r="C9" s="133"/>
      <c r="D9" s="130"/>
      <c r="E9" s="133"/>
      <c r="F9" s="133"/>
      <c r="G9" s="133"/>
    </row>
    <row r="10" spans="1:8" x14ac:dyDescent="0.25">
      <c r="A10" s="56"/>
      <c r="B10" s="56"/>
      <c r="C10" s="130" t="s">
        <v>117</v>
      </c>
      <c r="D10" s="130" t="s">
        <v>55</v>
      </c>
      <c r="E10" s="130" t="s">
        <v>118</v>
      </c>
      <c r="F10" s="130" t="s">
        <v>119</v>
      </c>
      <c r="G10" s="130" t="s">
        <v>118</v>
      </c>
      <c r="H10" s="130" t="s">
        <v>119</v>
      </c>
    </row>
    <row r="11" spans="1:8" x14ac:dyDescent="0.25">
      <c r="A11" s="130" t="s">
        <v>17</v>
      </c>
      <c r="B11" s="56"/>
      <c r="C11" s="130" t="s">
        <v>120</v>
      </c>
      <c r="D11" s="130" t="s">
        <v>121</v>
      </c>
      <c r="E11" s="130" t="s">
        <v>122</v>
      </c>
      <c r="F11" s="130" t="s">
        <v>123</v>
      </c>
      <c r="G11" s="130" t="s">
        <v>124</v>
      </c>
      <c r="H11" s="130" t="s">
        <v>125</v>
      </c>
    </row>
    <row r="12" spans="1:8" x14ac:dyDescent="0.25">
      <c r="A12" s="134" t="s">
        <v>126</v>
      </c>
      <c r="B12" s="134" t="s">
        <v>21</v>
      </c>
      <c r="C12" s="134" t="s">
        <v>58</v>
      </c>
      <c r="D12" s="135">
        <v>45199</v>
      </c>
      <c r="E12" s="134" t="s">
        <v>127</v>
      </c>
      <c r="F12" s="134" t="s">
        <v>127</v>
      </c>
      <c r="G12" s="134" t="s">
        <v>127</v>
      </c>
      <c r="H12" s="134" t="s">
        <v>127</v>
      </c>
    </row>
    <row r="13" spans="1:8" x14ac:dyDescent="0.25">
      <c r="A13" s="133">
        <v>1</v>
      </c>
      <c r="B13" s="56"/>
      <c r="C13" s="56"/>
      <c r="D13" s="136"/>
      <c r="E13" s="136"/>
      <c r="F13" s="136"/>
      <c r="G13" s="136"/>
      <c r="H13" s="136"/>
    </row>
    <row r="14" spans="1:8" x14ac:dyDescent="0.25">
      <c r="A14" s="133">
        <f>+A13+1</f>
        <v>2</v>
      </c>
      <c r="B14" s="22" t="s">
        <v>128</v>
      </c>
      <c r="C14" s="56"/>
      <c r="D14" s="136"/>
      <c r="E14" s="136"/>
      <c r="F14" s="137" t="s">
        <v>129</v>
      </c>
      <c r="G14" s="136" t="s">
        <v>129</v>
      </c>
      <c r="H14" s="136"/>
    </row>
    <row r="15" spans="1:8" x14ac:dyDescent="0.25">
      <c r="A15" s="133">
        <f t="shared" ref="A15:A42" si="0">+A14+1</f>
        <v>3</v>
      </c>
      <c r="B15" s="56" t="s">
        <v>130</v>
      </c>
      <c r="C15" s="56" t="s">
        <v>131</v>
      </c>
      <c r="D15" s="138">
        <v>61416885</v>
      </c>
      <c r="E15" s="138">
        <f t="shared" ref="E15:G22" si="1">ROUND(F15-D15,0)</f>
        <v>561149</v>
      </c>
      <c r="F15" s="138">
        <v>61978034</v>
      </c>
      <c r="G15" s="138">
        <f t="shared" si="1"/>
        <v>14130047</v>
      </c>
      <c r="H15" s="138">
        <v>76108081</v>
      </c>
    </row>
    <row r="16" spans="1:8" x14ac:dyDescent="0.25">
      <c r="A16" s="133">
        <f t="shared" si="0"/>
        <v>4</v>
      </c>
      <c r="B16" s="56" t="s">
        <v>132</v>
      </c>
      <c r="C16" s="56" t="str">
        <f>C15</f>
        <v>Schedule M2-M3</v>
      </c>
      <c r="D16" s="136">
        <v>29059208</v>
      </c>
      <c r="E16" s="136">
        <f t="shared" si="1"/>
        <v>817512</v>
      </c>
      <c r="F16" s="136">
        <v>29876720</v>
      </c>
      <c r="G16" s="136">
        <f t="shared" si="1"/>
        <v>6986508</v>
      </c>
      <c r="H16" s="136">
        <v>36863228</v>
      </c>
    </row>
    <row r="17" spans="1:8" x14ac:dyDescent="0.25">
      <c r="A17" s="133">
        <f t="shared" si="0"/>
        <v>5</v>
      </c>
      <c r="B17" s="56" t="s">
        <v>133</v>
      </c>
      <c r="C17" s="56" t="str">
        <f t="shared" ref="C17:C22" si="2">C16</f>
        <v>Schedule M2-M3</v>
      </c>
      <c r="D17" s="136">
        <v>2767939</v>
      </c>
      <c r="E17" s="136">
        <f t="shared" si="1"/>
        <v>108581</v>
      </c>
      <c r="F17" s="136">
        <v>2876520</v>
      </c>
      <c r="G17" s="136">
        <f t="shared" si="1"/>
        <v>683834</v>
      </c>
      <c r="H17" s="136">
        <v>3560354</v>
      </c>
    </row>
    <row r="18" spans="1:8" x14ac:dyDescent="0.25">
      <c r="A18" s="133">
        <f t="shared" si="0"/>
        <v>6</v>
      </c>
      <c r="B18" s="56" t="s">
        <v>134</v>
      </c>
      <c r="C18" s="56" t="str">
        <f t="shared" si="2"/>
        <v>Schedule M2-M3</v>
      </c>
      <c r="D18" s="136">
        <v>7207271</v>
      </c>
      <c r="E18" s="136">
        <f t="shared" si="1"/>
        <v>268552</v>
      </c>
      <c r="F18" s="136">
        <v>7475823</v>
      </c>
      <c r="G18" s="136">
        <f t="shared" si="1"/>
        <v>1760344</v>
      </c>
      <c r="H18" s="136">
        <v>9236167</v>
      </c>
    </row>
    <row r="19" spans="1:8" x14ac:dyDescent="0.25">
      <c r="A19" s="133">
        <f t="shared" si="0"/>
        <v>7</v>
      </c>
      <c r="B19" s="56" t="s">
        <v>135</v>
      </c>
      <c r="C19" s="56" t="str">
        <f t="shared" si="2"/>
        <v>Schedule M2-M3</v>
      </c>
      <c r="D19" s="136">
        <v>1374712</v>
      </c>
      <c r="E19" s="136">
        <f t="shared" si="1"/>
        <v>-92425</v>
      </c>
      <c r="F19" s="136">
        <v>1282287</v>
      </c>
      <c r="G19" s="136">
        <f t="shared" si="1"/>
        <v>267017</v>
      </c>
      <c r="H19" s="136">
        <v>1549304</v>
      </c>
    </row>
    <row r="20" spans="1:8" x14ac:dyDescent="0.25">
      <c r="A20" s="133">
        <f t="shared" si="0"/>
        <v>8</v>
      </c>
      <c r="B20" s="56" t="s">
        <v>136</v>
      </c>
      <c r="C20" s="56" t="str">
        <f t="shared" si="2"/>
        <v>Schedule M2-M3</v>
      </c>
      <c r="D20" s="136">
        <v>3374437</v>
      </c>
      <c r="E20" s="136">
        <f t="shared" si="1"/>
        <v>158458</v>
      </c>
      <c r="F20" s="136">
        <v>3532895</v>
      </c>
      <c r="G20" s="136">
        <f t="shared" si="1"/>
        <v>851837</v>
      </c>
      <c r="H20" s="136">
        <v>4384732</v>
      </c>
    </row>
    <row r="21" spans="1:8" x14ac:dyDescent="0.25">
      <c r="A21" s="133">
        <f t="shared" si="0"/>
        <v>9</v>
      </c>
      <c r="B21" s="56" t="s">
        <v>137</v>
      </c>
      <c r="C21" s="56" t="str">
        <f t="shared" si="2"/>
        <v>Schedule M2-M3</v>
      </c>
      <c r="D21" s="136">
        <v>4694791</v>
      </c>
      <c r="E21" s="136">
        <f>ROUND(F21-D21,0)</f>
        <v>212410</v>
      </c>
      <c r="F21" s="136">
        <v>4907201</v>
      </c>
      <c r="G21" s="136">
        <f>ROUND(H21-F21,0)</f>
        <v>1159966</v>
      </c>
      <c r="H21" s="136">
        <v>6067167</v>
      </c>
    </row>
    <row r="22" spans="1:8" x14ac:dyDescent="0.25">
      <c r="A22" s="133">
        <f t="shared" si="0"/>
        <v>10</v>
      </c>
      <c r="B22" s="56" t="s">
        <v>138</v>
      </c>
      <c r="C22" s="56" t="str">
        <f t="shared" si="2"/>
        <v>Schedule M2-M3</v>
      </c>
      <c r="D22" s="136">
        <v>126202</v>
      </c>
      <c r="E22" s="136">
        <f t="shared" si="1"/>
        <v>-20028</v>
      </c>
      <c r="F22" s="136">
        <v>106174</v>
      </c>
      <c r="G22" s="136">
        <f t="shared" si="1"/>
        <v>23616</v>
      </c>
      <c r="H22" s="136">
        <v>129790</v>
      </c>
    </row>
    <row r="23" spans="1:8" x14ac:dyDescent="0.25">
      <c r="A23" s="133">
        <f t="shared" si="0"/>
        <v>11</v>
      </c>
      <c r="B23" s="56"/>
      <c r="C23" s="56"/>
      <c r="D23" s="136"/>
      <c r="E23" s="136"/>
      <c r="F23" s="136"/>
      <c r="G23" s="136"/>
      <c r="H23" s="136"/>
    </row>
    <row r="24" spans="1:8" x14ac:dyDescent="0.25">
      <c r="A24" s="133">
        <f t="shared" si="0"/>
        <v>12</v>
      </c>
      <c r="B24" s="22" t="s">
        <v>139</v>
      </c>
      <c r="C24" s="56"/>
      <c r="D24" s="139">
        <f t="shared" ref="D24:H24" si="3">SUM(D15:D23)</f>
        <v>110021445</v>
      </c>
      <c r="E24" s="139">
        <f>SUM(E15:E23)</f>
        <v>2014209</v>
      </c>
      <c r="F24" s="139">
        <f t="shared" si="3"/>
        <v>112035654</v>
      </c>
      <c r="G24" s="139">
        <f t="shared" si="3"/>
        <v>25863169</v>
      </c>
      <c r="H24" s="139">
        <f t="shared" si="3"/>
        <v>137898823</v>
      </c>
    </row>
    <row r="25" spans="1:8" x14ac:dyDescent="0.25">
      <c r="A25" s="133">
        <f t="shared" si="0"/>
        <v>13</v>
      </c>
      <c r="B25" s="56"/>
      <c r="C25" s="56" t="s">
        <v>140</v>
      </c>
      <c r="D25" s="139"/>
      <c r="E25" s="139"/>
      <c r="F25" s="139"/>
      <c r="G25" s="139"/>
      <c r="H25" s="139"/>
    </row>
    <row r="26" spans="1:8" x14ac:dyDescent="0.25">
      <c r="A26" s="133">
        <f t="shared" si="0"/>
        <v>14</v>
      </c>
      <c r="B26" s="56"/>
      <c r="C26" s="56"/>
      <c r="D26" s="136"/>
      <c r="E26" s="136"/>
      <c r="F26" s="136"/>
      <c r="G26" s="136"/>
      <c r="H26" s="136"/>
    </row>
    <row r="27" spans="1:8" x14ac:dyDescent="0.25">
      <c r="A27" s="133">
        <f t="shared" si="0"/>
        <v>15</v>
      </c>
      <c r="B27" s="22" t="s">
        <v>141</v>
      </c>
      <c r="C27" s="56"/>
      <c r="D27" s="136"/>
      <c r="E27" s="136"/>
      <c r="F27" s="136"/>
      <c r="G27" s="136"/>
      <c r="H27" s="136"/>
    </row>
    <row r="28" spans="1:8" x14ac:dyDescent="0.25">
      <c r="A28" s="133">
        <f t="shared" si="0"/>
        <v>16</v>
      </c>
      <c r="B28" s="56"/>
      <c r="C28" s="56"/>
      <c r="D28" s="136"/>
      <c r="E28" s="136"/>
      <c r="F28" s="136"/>
      <c r="G28" s="136"/>
      <c r="H28" s="136"/>
    </row>
    <row r="29" spans="1:8" x14ac:dyDescent="0.25">
      <c r="A29" s="133">
        <f t="shared" si="0"/>
        <v>17</v>
      </c>
      <c r="B29" s="56" t="s">
        <v>142</v>
      </c>
      <c r="C29" s="56" t="str">
        <f>+C22</f>
        <v>Schedule M2-M3</v>
      </c>
      <c r="D29" s="138">
        <v>809820.49133746536</v>
      </c>
      <c r="E29" s="138">
        <f t="shared" ref="E29:E36" si="4">ROUND(F29-D29,0)</f>
        <v>8124</v>
      </c>
      <c r="F29" s="138">
        <v>817944.75281864335</v>
      </c>
      <c r="G29" s="138">
        <f t="shared" ref="G29:G36" si="5">ROUND(H29-F29,0)</f>
        <v>188821</v>
      </c>
      <c r="H29" s="138">
        <v>1006765.39</v>
      </c>
    </row>
    <row r="30" spans="1:8" x14ac:dyDescent="0.25">
      <c r="A30" s="133">
        <f t="shared" si="0"/>
        <v>18</v>
      </c>
      <c r="B30" s="56" t="s">
        <v>143</v>
      </c>
      <c r="C30" s="56" t="str">
        <f t="shared" ref="C30:C36" si="6">C29</f>
        <v>Schedule M2-M3</v>
      </c>
      <c r="D30" s="136">
        <v>164957.26</v>
      </c>
      <c r="E30" s="136">
        <f t="shared" si="4"/>
        <v>32606</v>
      </c>
      <c r="F30" s="136">
        <v>197563.56000000003</v>
      </c>
      <c r="G30" s="136">
        <f t="shared" si="5"/>
        <v>0</v>
      </c>
      <c r="H30" s="136">
        <v>197563.56000000003</v>
      </c>
    </row>
    <row r="31" spans="1:8" x14ac:dyDescent="0.25">
      <c r="A31" s="133">
        <f t="shared" si="0"/>
        <v>19</v>
      </c>
      <c r="B31" s="56" t="s">
        <v>144</v>
      </c>
      <c r="C31" s="56" t="str">
        <f t="shared" si="6"/>
        <v>Schedule M2-M3</v>
      </c>
      <c r="D31" s="136">
        <v>207454.7699999999</v>
      </c>
      <c r="E31" s="136">
        <f t="shared" si="4"/>
        <v>17508</v>
      </c>
      <c r="F31" s="136">
        <v>224963.03999999992</v>
      </c>
      <c r="G31" s="136">
        <f t="shared" si="5"/>
        <v>0</v>
      </c>
      <c r="H31" s="136">
        <v>224963.03999999992</v>
      </c>
    </row>
    <row r="32" spans="1:8" x14ac:dyDescent="0.25">
      <c r="A32" s="133">
        <f t="shared" si="0"/>
        <v>20</v>
      </c>
      <c r="B32" s="56" t="s">
        <v>145</v>
      </c>
      <c r="C32" s="56" t="str">
        <f t="shared" si="6"/>
        <v>Schedule M2-M3</v>
      </c>
      <c r="D32" s="136">
        <v>32388</v>
      </c>
      <c r="E32" s="136">
        <f t="shared" si="4"/>
        <v>-904</v>
      </c>
      <c r="F32" s="136">
        <v>31484</v>
      </c>
      <c r="G32" s="136">
        <f t="shared" si="5"/>
        <v>0</v>
      </c>
      <c r="H32" s="136">
        <v>31484</v>
      </c>
    </row>
    <row r="33" spans="1:9" x14ac:dyDescent="0.25">
      <c r="A33" s="133">
        <f t="shared" si="0"/>
        <v>21</v>
      </c>
      <c r="B33" s="56" t="s">
        <v>146</v>
      </c>
      <c r="C33" s="56" t="str">
        <f t="shared" si="6"/>
        <v>Schedule M2-M3</v>
      </c>
      <c r="D33" s="136">
        <v>650498.23333333328</v>
      </c>
      <c r="E33" s="136">
        <f t="shared" si="4"/>
        <v>20914</v>
      </c>
      <c r="F33" s="136">
        <v>671412.02333333332</v>
      </c>
      <c r="G33" s="136">
        <f t="shared" si="5"/>
        <v>0</v>
      </c>
      <c r="H33" s="136">
        <v>671412.02333333332</v>
      </c>
    </row>
    <row r="34" spans="1:9" x14ac:dyDescent="0.25">
      <c r="A34" s="133">
        <f t="shared" si="0"/>
        <v>22</v>
      </c>
      <c r="B34" s="56" t="s">
        <v>147</v>
      </c>
      <c r="C34" s="56" t="str">
        <f t="shared" si="6"/>
        <v>Schedule M2-M3</v>
      </c>
      <c r="D34" s="136">
        <v>59632.350000000006</v>
      </c>
      <c r="E34" s="136">
        <f t="shared" si="4"/>
        <v>381</v>
      </c>
      <c r="F34" s="136">
        <v>60013.80000000001</v>
      </c>
      <c r="G34" s="136">
        <f t="shared" si="5"/>
        <v>0</v>
      </c>
      <c r="H34" s="136">
        <v>60013.80000000001</v>
      </c>
    </row>
    <row r="35" spans="1:9" x14ac:dyDescent="0.25">
      <c r="A35" s="133">
        <f t="shared" si="0"/>
        <v>23</v>
      </c>
      <c r="B35" s="56" t="s">
        <v>148</v>
      </c>
      <c r="C35" s="56" t="str">
        <f t="shared" si="6"/>
        <v>Schedule M2-M3</v>
      </c>
      <c r="D35" s="136">
        <v>475447.80333333334</v>
      </c>
      <c r="E35" s="136">
        <f t="shared" si="4"/>
        <v>3593</v>
      </c>
      <c r="F35" s="136">
        <v>479040.70000000007</v>
      </c>
      <c r="G35" s="136">
        <f t="shared" si="5"/>
        <v>0</v>
      </c>
      <c r="H35" s="136">
        <v>479040.70000000007</v>
      </c>
    </row>
    <row r="36" spans="1:9" x14ac:dyDescent="0.25">
      <c r="A36" s="133">
        <f t="shared" si="0"/>
        <v>24</v>
      </c>
      <c r="B36" s="56" t="s">
        <v>149</v>
      </c>
      <c r="C36" s="56" t="str">
        <f t="shared" si="6"/>
        <v>Schedule M2-M3</v>
      </c>
      <c r="D36" s="136">
        <v>55128.719999999994</v>
      </c>
      <c r="E36" s="136">
        <f t="shared" si="4"/>
        <v>-32158</v>
      </c>
      <c r="F36" s="136">
        <v>22970.300000000003</v>
      </c>
      <c r="G36" s="136">
        <f t="shared" si="5"/>
        <v>0</v>
      </c>
      <c r="H36" s="136">
        <v>22970.300000000003</v>
      </c>
    </row>
    <row r="37" spans="1:9" x14ac:dyDescent="0.25">
      <c r="A37" s="133">
        <f t="shared" si="0"/>
        <v>25</v>
      </c>
      <c r="B37" s="56"/>
      <c r="C37" s="56"/>
      <c r="D37" s="136"/>
      <c r="E37" s="136"/>
      <c r="F37" s="136"/>
      <c r="G37" s="136"/>
      <c r="H37" s="136"/>
    </row>
    <row r="38" spans="1:9" x14ac:dyDescent="0.25">
      <c r="A38" s="133">
        <f t="shared" si="0"/>
        <v>26</v>
      </c>
      <c r="B38" s="22" t="s">
        <v>150</v>
      </c>
      <c r="C38" s="56"/>
      <c r="D38" s="139">
        <f>SUM(D28:D37)</f>
        <v>2455327.6280041323</v>
      </c>
      <c r="E38" s="139">
        <f>SUM(E28:E37)</f>
        <v>50064</v>
      </c>
      <c r="F38" s="139">
        <f>SUM(F28:F37)</f>
        <v>2505392.1761519765</v>
      </c>
      <c r="G38" s="139">
        <f>SUM(G28:G37)</f>
        <v>188821</v>
      </c>
      <c r="H38" s="139">
        <f>SUM(H28:H37)</f>
        <v>2694212.813333333</v>
      </c>
    </row>
    <row r="39" spans="1:9" x14ac:dyDescent="0.25">
      <c r="A39" s="133">
        <f t="shared" si="0"/>
        <v>27</v>
      </c>
      <c r="B39" s="56"/>
      <c r="C39" s="56"/>
      <c r="D39" s="139"/>
      <c r="E39" s="139"/>
      <c r="F39" s="139"/>
      <c r="G39" s="139"/>
      <c r="H39" s="139"/>
    </row>
    <row r="40" spans="1:9" x14ac:dyDescent="0.25">
      <c r="A40" s="133">
        <f t="shared" si="0"/>
        <v>28</v>
      </c>
      <c r="B40" s="56"/>
      <c r="C40" s="56"/>
      <c r="D40" s="136"/>
      <c r="E40" s="136"/>
      <c r="F40" s="136"/>
      <c r="G40" s="136"/>
      <c r="H40" s="136"/>
    </row>
    <row r="41" spans="1:9" ht="15.75" thickBot="1" x14ac:dyDescent="0.3">
      <c r="A41" s="133">
        <f t="shared" si="0"/>
        <v>29</v>
      </c>
      <c r="B41" s="22" t="s">
        <v>151</v>
      </c>
      <c r="C41" s="56"/>
      <c r="D41" s="140">
        <f>D24+D38</f>
        <v>112476772.62800413</v>
      </c>
      <c r="E41" s="140">
        <f>E24+E38</f>
        <v>2064273</v>
      </c>
      <c r="F41" s="140">
        <f>F24+F38</f>
        <v>114541046.17615198</v>
      </c>
      <c r="G41" s="140">
        <f>G24+G38</f>
        <v>26051990</v>
      </c>
      <c r="H41" s="140">
        <f>H24+H38</f>
        <v>140593035.81333333</v>
      </c>
    </row>
    <row r="42" spans="1:9" ht="15.75" thickTop="1" x14ac:dyDescent="0.25">
      <c r="A42" s="133">
        <f t="shared" si="0"/>
        <v>30</v>
      </c>
      <c r="B42" s="56"/>
      <c r="C42" s="141"/>
      <c r="D42" s="142"/>
      <c r="E42" s="142"/>
      <c r="F42" s="142"/>
      <c r="G42" s="142"/>
      <c r="H42" s="142"/>
    </row>
    <row r="43" spans="1:9" x14ac:dyDescent="0.25">
      <c r="A43" s="133"/>
      <c r="B43" s="56"/>
      <c r="C43" s="141"/>
      <c r="D43" s="143"/>
      <c r="E43" s="143"/>
      <c r="F43" s="143"/>
      <c r="G43" s="143"/>
      <c r="H43" s="143"/>
    </row>
    <row r="44" spans="1:9" x14ac:dyDescent="0.25">
      <c r="A44" s="133"/>
      <c r="B44" s="56"/>
      <c r="C44" s="141"/>
      <c r="D44" s="143"/>
      <c r="E44" s="143"/>
      <c r="F44" s="143"/>
      <c r="G44" s="143"/>
      <c r="H44" s="143"/>
    </row>
    <row r="45" spans="1:9" x14ac:dyDescent="0.25">
      <c r="A45" s="332" t="s">
        <v>224</v>
      </c>
      <c r="B45" s="332"/>
      <c r="C45" s="332"/>
      <c r="D45" s="332"/>
      <c r="E45" s="332"/>
      <c r="F45" s="332"/>
      <c r="G45" s="332"/>
      <c r="H45" s="332"/>
      <c r="I45" s="145"/>
    </row>
    <row r="46" spans="1:9" x14ac:dyDescent="0.25">
      <c r="A46" s="332" t="s">
        <v>214</v>
      </c>
      <c r="B46" s="332"/>
      <c r="C46" s="332"/>
      <c r="D46" s="332"/>
      <c r="E46" s="332"/>
      <c r="F46" s="332"/>
      <c r="G46" s="332"/>
      <c r="H46" s="332"/>
      <c r="I46" s="146"/>
    </row>
    <row r="47" spans="1:9" x14ac:dyDescent="0.25">
      <c r="A47" s="332" t="s">
        <v>113</v>
      </c>
      <c r="B47" s="332"/>
      <c r="C47" s="332"/>
      <c r="D47" s="332"/>
      <c r="E47" s="332"/>
      <c r="F47" s="332"/>
      <c r="G47" s="332"/>
      <c r="H47" s="332"/>
      <c r="I47" s="144"/>
    </row>
    <row r="48" spans="1:9" x14ac:dyDescent="0.25">
      <c r="A48" s="332" t="s">
        <v>152</v>
      </c>
      <c r="B48" s="332"/>
      <c r="C48" s="332"/>
      <c r="D48" s="332"/>
      <c r="E48" s="332"/>
      <c r="F48" s="332"/>
      <c r="G48" s="332"/>
      <c r="H48" s="332"/>
      <c r="I48" s="144"/>
    </row>
    <row r="49" spans="1:9" x14ac:dyDescent="0.25">
      <c r="A49" s="145"/>
      <c r="B49" s="145"/>
      <c r="C49" s="145"/>
      <c r="D49" s="145"/>
      <c r="E49" s="145"/>
      <c r="F49" s="145"/>
      <c r="G49" s="145"/>
      <c r="H49" s="145"/>
      <c r="I49" s="146"/>
    </row>
    <row r="50" spans="1:9" x14ac:dyDescent="0.25">
      <c r="A50" s="147"/>
      <c r="B50" s="145"/>
      <c r="C50" s="145"/>
      <c r="D50" s="145"/>
      <c r="E50" s="145"/>
      <c r="F50" s="145"/>
      <c r="G50" s="145"/>
      <c r="H50" s="148" t="str">
        <f>+H6</f>
        <v>Exhibit 37, Schedule M-1</v>
      </c>
      <c r="I50" s="145"/>
    </row>
    <row r="51" spans="1:9" x14ac:dyDescent="0.25">
      <c r="A51" s="147"/>
      <c r="B51" s="145"/>
      <c r="C51" s="145"/>
      <c r="D51" s="145"/>
      <c r="E51" s="145"/>
      <c r="F51" s="145"/>
      <c r="G51" s="145"/>
      <c r="H51" s="148" t="str">
        <f>+H7</f>
        <v>Witness Responsible:  Chuck Rea</v>
      </c>
      <c r="I51" s="145"/>
    </row>
    <row r="52" spans="1:9" x14ac:dyDescent="0.25">
      <c r="A52" s="147"/>
      <c r="B52" s="145"/>
      <c r="C52" s="145"/>
      <c r="D52" s="145"/>
      <c r="E52" s="145"/>
      <c r="F52" s="145"/>
      <c r="G52" s="145"/>
      <c r="H52" s="148" t="str">
        <f>+H8</f>
        <v>Revenues\[KAWC 2023 Rate Case - Exhibit 37 (M,N) Revenue Present &amp; Proposed.xlsx]Sch M1</v>
      </c>
      <c r="I52" s="145"/>
    </row>
    <row r="53" spans="1:9" x14ac:dyDescent="0.25">
      <c r="A53" s="145"/>
      <c r="B53" s="145"/>
      <c r="C53" s="145"/>
      <c r="D53" s="145"/>
      <c r="E53" s="145"/>
      <c r="F53" s="145"/>
      <c r="G53" s="145"/>
      <c r="H53" s="145"/>
      <c r="I53" s="145"/>
    </row>
    <row r="54" spans="1:9" x14ac:dyDescent="0.25">
      <c r="A54" s="149" t="s">
        <v>153</v>
      </c>
      <c r="B54" s="150"/>
      <c r="C54" s="149" t="s">
        <v>120</v>
      </c>
      <c r="D54" s="150"/>
      <c r="E54" s="150"/>
      <c r="F54" s="150"/>
      <c r="G54" s="149" t="s">
        <v>154</v>
      </c>
      <c r="H54" s="149" t="s">
        <v>155</v>
      </c>
      <c r="I54" s="145"/>
    </row>
    <row r="55" spans="1:9" x14ac:dyDescent="0.25">
      <c r="A55" s="151" t="s">
        <v>20</v>
      </c>
      <c r="B55" s="151" t="s">
        <v>118</v>
      </c>
      <c r="C55" s="151" t="s">
        <v>58</v>
      </c>
      <c r="D55" s="151" t="s">
        <v>156</v>
      </c>
      <c r="E55" s="151" t="s">
        <v>157</v>
      </c>
      <c r="F55" s="151" t="s">
        <v>158</v>
      </c>
      <c r="G55" s="151" t="s">
        <v>159</v>
      </c>
      <c r="H55" s="151" t="s">
        <v>160</v>
      </c>
      <c r="I55" s="145"/>
    </row>
    <row r="56" spans="1:9" x14ac:dyDescent="0.25">
      <c r="A56" s="145"/>
      <c r="B56" s="145"/>
      <c r="C56" s="145"/>
      <c r="D56" s="145"/>
      <c r="E56" s="145"/>
      <c r="F56" s="145"/>
      <c r="G56" s="145"/>
      <c r="H56" s="145"/>
      <c r="I56" s="145"/>
    </row>
    <row r="57" spans="1:9" x14ac:dyDescent="0.25">
      <c r="A57" s="152">
        <v>1</v>
      </c>
      <c r="B57" s="145"/>
      <c r="C57" s="145"/>
      <c r="D57" s="145"/>
      <c r="E57" s="145"/>
      <c r="F57" s="145"/>
      <c r="G57" s="145"/>
      <c r="H57" s="145"/>
      <c r="I57" s="145"/>
    </row>
    <row r="58" spans="1:9" x14ac:dyDescent="0.25">
      <c r="A58" s="152">
        <v>2</v>
      </c>
      <c r="B58" s="153" t="s">
        <v>161</v>
      </c>
      <c r="C58" s="154" t="str">
        <f>+C15</f>
        <v>Schedule M2-M3</v>
      </c>
      <c r="D58" s="155">
        <v>-23118.119999997318</v>
      </c>
      <c r="E58" s="155">
        <v>56666.090000000782</v>
      </c>
      <c r="F58" s="155">
        <v>-5380.3999999999651</v>
      </c>
      <c r="G58" s="155">
        <v>-28710.059999999939</v>
      </c>
      <c r="H58" s="155">
        <v>1335.2400000000052</v>
      </c>
      <c r="I58" s="145"/>
    </row>
    <row r="59" spans="1:9" x14ac:dyDescent="0.25">
      <c r="A59" s="152">
        <v>3</v>
      </c>
      <c r="B59" s="145" t="s">
        <v>162</v>
      </c>
      <c r="C59" s="156" t="str">
        <f>+C58</f>
        <v>Schedule M2-M3</v>
      </c>
      <c r="D59" s="157">
        <v>-1640345.8800000027</v>
      </c>
      <c r="E59" s="157">
        <v>-335878.86999999732</v>
      </c>
      <c r="F59" s="157">
        <v>7717.5</v>
      </c>
      <c r="G59" s="157">
        <v>21815.419999999925</v>
      </c>
      <c r="H59" s="157">
        <v>-134792.12999999989</v>
      </c>
      <c r="I59" s="145"/>
    </row>
    <row r="60" spans="1:9" x14ac:dyDescent="0.25">
      <c r="A60" s="152">
        <v>4</v>
      </c>
      <c r="B60" s="145" t="s">
        <v>163</v>
      </c>
      <c r="C60" s="156" t="str">
        <f>+C59</f>
        <v>Schedule M2-M3</v>
      </c>
      <c r="D60" s="157">
        <v>2224612.6399999997</v>
      </c>
      <c r="E60" s="157">
        <v>1096725.1399999999</v>
      </c>
      <c r="F60" s="157">
        <v>106243.87</v>
      </c>
      <c r="G60" s="157">
        <v>275446.64</v>
      </c>
      <c r="H60" s="157">
        <v>41032.12999999999</v>
      </c>
      <c r="I60" s="145"/>
    </row>
    <row r="61" spans="1:9" x14ac:dyDescent="0.25">
      <c r="A61" s="152">
        <v>5</v>
      </c>
      <c r="B61" s="145"/>
      <c r="C61" s="145"/>
      <c r="D61" s="157"/>
      <c r="E61" s="157"/>
      <c r="F61" s="157"/>
      <c r="G61" s="157"/>
      <c r="H61" s="157"/>
      <c r="I61" s="145"/>
    </row>
    <row r="62" spans="1:9" x14ac:dyDescent="0.25">
      <c r="A62" s="152">
        <v>6</v>
      </c>
      <c r="B62" s="145"/>
      <c r="C62" s="145"/>
      <c r="D62" s="157"/>
      <c r="E62" s="157"/>
      <c r="F62" s="157"/>
      <c r="G62" s="157"/>
      <c r="H62" s="157"/>
      <c r="I62" s="145"/>
    </row>
    <row r="63" spans="1:9" ht="15.75" thickBot="1" x14ac:dyDescent="0.3">
      <c r="A63" s="152">
        <v>7</v>
      </c>
      <c r="B63" s="145" t="s">
        <v>19</v>
      </c>
      <c r="C63" s="145"/>
      <c r="D63" s="158">
        <f>SUM(D58:D62)</f>
        <v>561148.63999999966</v>
      </c>
      <c r="E63" s="158">
        <f>SUM(E58:E62)</f>
        <v>817512.36000000336</v>
      </c>
      <c r="F63" s="158">
        <f>SUM(F58:F62)</f>
        <v>108580.97000000003</v>
      </c>
      <c r="G63" s="158">
        <f>SUM(G58:G62)</f>
        <v>268552</v>
      </c>
      <c r="H63" s="158">
        <f>SUM(H58:H62)</f>
        <v>-92424.759999999907</v>
      </c>
      <c r="I63" s="145"/>
    </row>
    <row r="64" spans="1:9" ht="15.75" thickTop="1" x14ac:dyDescent="0.25">
      <c r="A64" s="152">
        <v>8</v>
      </c>
      <c r="B64" s="332"/>
      <c r="C64" s="332"/>
      <c r="D64" s="332"/>
      <c r="E64" s="332"/>
      <c r="F64" s="332"/>
      <c r="G64" s="332"/>
      <c r="H64" s="332"/>
      <c r="I64" s="332"/>
    </row>
    <row r="65" spans="1:9" x14ac:dyDescent="0.25">
      <c r="A65" s="152">
        <v>9</v>
      </c>
      <c r="B65" s="144"/>
      <c r="C65" s="144"/>
      <c r="D65" s="144"/>
      <c r="E65" s="144"/>
      <c r="F65" s="144"/>
      <c r="G65" s="144"/>
      <c r="H65" s="144"/>
      <c r="I65" s="144"/>
    </row>
    <row r="66" spans="1:9" x14ac:dyDescent="0.25">
      <c r="A66" s="152">
        <v>10</v>
      </c>
      <c r="B66" s="144"/>
      <c r="C66" s="144"/>
      <c r="D66" s="144"/>
      <c r="E66" s="144"/>
      <c r="F66" s="144"/>
      <c r="G66" s="144"/>
      <c r="H66" s="144"/>
      <c r="I66" s="144"/>
    </row>
    <row r="67" spans="1:9" x14ac:dyDescent="0.25">
      <c r="A67" s="152">
        <v>11</v>
      </c>
      <c r="B67" s="144"/>
      <c r="C67" s="144"/>
      <c r="D67" s="149" t="s">
        <v>164</v>
      </c>
      <c r="E67" s="149" t="s">
        <v>165</v>
      </c>
      <c r="F67" s="149"/>
      <c r="G67" s="149" t="s">
        <v>166</v>
      </c>
      <c r="H67" s="145"/>
      <c r="I67" s="144"/>
    </row>
    <row r="68" spans="1:9" x14ac:dyDescent="0.25">
      <c r="A68" s="152">
        <v>12</v>
      </c>
      <c r="B68" s="144"/>
      <c r="C68" s="144"/>
      <c r="D68" s="151" t="s">
        <v>167</v>
      </c>
      <c r="E68" s="151" t="s">
        <v>167</v>
      </c>
      <c r="F68" s="151" t="s">
        <v>168</v>
      </c>
      <c r="G68" s="151" t="s">
        <v>169</v>
      </c>
      <c r="H68" s="151" t="s">
        <v>19</v>
      </c>
      <c r="I68" s="144"/>
    </row>
    <row r="69" spans="1:9" x14ac:dyDescent="0.25">
      <c r="A69" s="152">
        <v>13</v>
      </c>
      <c r="B69" s="159"/>
      <c r="C69" s="159"/>
      <c r="D69" s="145"/>
      <c r="E69" s="145"/>
      <c r="F69" s="145"/>
      <c r="G69" s="145"/>
      <c r="H69" s="145"/>
      <c r="I69" s="144"/>
    </row>
    <row r="70" spans="1:9" x14ac:dyDescent="0.25">
      <c r="A70" s="152">
        <v>14</v>
      </c>
      <c r="B70" s="159"/>
      <c r="C70" s="159"/>
      <c r="D70" s="145"/>
      <c r="E70" s="145"/>
      <c r="F70" s="145"/>
      <c r="G70" s="145"/>
      <c r="H70" s="145"/>
      <c r="I70" s="144"/>
    </row>
    <row r="71" spans="1:9" x14ac:dyDescent="0.25">
      <c r="A71" s="152">
        <v>15</v>
      </c>
      <c r="B71" s="153" t="s">
        <v>161</v>
      </c>
      <c r="C71" s="154" t="str">
        <f>C58</f>
        <v>Schedule M2-M3</v>
      </c>
      <c r="D71" s="155">
        <v>41269</v>
      </c>
      <c r="E71" s="155">
        <v>26210.719999999739</v>
      </c>
      <c r="F71" s="155">
        <v>-1890.8999999999942</v>
      </c>
      <c r="G71" s="155">
        <v>0</v>
      </c>
      <c r="H71" s="155">
        <f>SUM(D58:H58,D71:G71)</f>
        <v>66381.57000000331</v>
      </c>
      <c r="I71" s="144"/>
    </row>
    <row r="72" spans="1:9" x14ac:dyDescent="0.25">
      <c r="A72" s="152">
        <v>16</v>
      </c>
      <c r="B72" s="145" t="s">
        <v>162</v>
      </c>
      <c r="C72" s="156" t="str">
        <f>+C71</f>
        <v>Schedule M2-M3</v>
      </c>
      <c r="D72" s="157">
        <v>-17207.29</v>
      </c>
      <c r="E72" s="157"/>
      <c r="F72" s="157">
        <v>-20949.32</v>
      </c>
      <c r="G72" s="157"/>
      <c r="H72" s="155">
        <f>SUM(D59:H59,D72:G72)</f>
        <v>-2119640.5699999998</v>
      </c>
      <c r="I72" s="144"/>
    </row>
    <row r="73" spans="1:9" x14ac:dyDescent="0.25">
      <c r="A73" s="152">
        <v>17</v>
      </c>
      <c r="B73" s="145" t="s">
        <v>163</v>
      </c>
      <c r="C73" s="156" t="str">
        <f>+C72</f>
        <v>Schedule M2-M3</v>
      </c>
      <c r="D73" s="157">
        <v>134396.11000000004</v>
      </c>
      <c r="E73" s="157">
        <v>186199.26999999996</v>
      </c>
      <c r="F73" s="157">
        <v>2812.6900000000005</v>
      </c>
      <c r="G73" s="157"/>
      <c r="H73" s="155">
        <f>SUM(D60:H60,D73:G73)</f>
        <v>4067468.4899999993</v>
      </c>
      <c r="I73" s="144"/>
    </row>
    <row r="74" spans="1:9" x14ac:dyDescent="0.25">
      <c r="A74" s="152">
        <v>18</v>
      </c>
      <c r="B74" s="145"/>
      <c r="C74" s="144"/>
      <c r="D74" s="157"/>
      <c r="E74" s="157"/>
      <c r="F74" s="157"/>
      <c r="G74" s="157"/>
      <c r="H74" s="157"/>
      <c r="I74" s="144"/>
    </row>
    <row r="75" spans="1:9" x14ac:dyDescent="0.25">
      <c r="A75" s="152">
        <v>19</v>
      </c>
      <c r="B75" s="145"/>
      <c r="C75" s="144"/>
      <c r="D75" s="157"/>
      <c r="E75" s="157"/>
      <c r="F75" s="157"/>
      <c r="G75" s="157"/>
      <c r="H75" s="157"/>
      <c r="I75" s="144"/>
    </row>
    <row r="76" spans="1:9" ht="15.75" thickBot="1" x14ac:dyDescent="0.3">
      <c r="A76" s="152">
        <v>20</v>
      </c>
      <c r="B76" s="145" t="s">
        <v>19</v>
      </c>
      <c r="C76" s="144"/>
      <c r="D76" s="158">
        <f>SUM(D71:D75)</f>
        <v>158457.82000000004</v>
      </c>
      <c r="E76" s="158">
        <f>SUM(E71:E75)</f>
        <v>212409.9899999997</v>
      </c>
      <c r="F76" s="158">
        <f>SUM(F71:F75)</f>
        <v>-20027.529999999992</v>
      </c>
      <c r="G76" s="158">
        <f>SUM(G71:G75)</f>
        <v>0</v>
      </c>
      <c r="H76" s="158">
        <f>SUM(H71:H75)</f>
        <v>2014209.4900000028</v>
      </c>
      <c r="I76" s="144"/>
    </row>
    <row r="77" spans="1:9" ht="15.75" thickTop="1" x14ac:dyDescent="0.25">
      <c r="A77" s="152"/>
      <c r="B77" s="144"/>
      <c r="C77" s="144"/>
      <c r="D77" s="160"/>
      <c r="E77" s="160"/>
      <c r="F77" s="160"/>
      <c r="G77" s="160"/>
      <c r="H77" s="144"/>
      <c r="I77" s="144"/>
    </row>
    <row r="78" spans="1:9" x14ac:dyDescent="0.25">
      <c r="A78" s="152"/>
      <c r="B78" s="144"/>
      <c r="C78" s="144"/>
      <c r="D78" s="160"/>
      <c r="E78" s="160"/>
      <c r="F78" s="145"/>
      <c r="G78" s="160"/>
      <c r="H78" s="144"/>
      <c r="I78" s="144"/>
    </row>
    <row r="80" spans="1:9" x14ac:dyDescent="0.25">
      <c r="A80" s="332" t="s">
        <v>224</v>
      </c>
      <c r="B80" s="332"/>
      <c r="C80" s="332"/>
      <c r="D80" s="332"/>
      <c r="E80" s="332"/>
      <c r="F80" s="332"/>
      <c r="G80" s="332"/>
      <c r="H80" s="332"/>
      <c r="I80" s="146"/>
    </row>
    <row r="81" spans="1:9" x14ac:dyDescent="0.25">
      <c r="A81" s="332" t="s">
        <v>214</v>
      </c>
      <c r="B81" s="332"/>
      <c r="C81" s="332"/>
      <c r="D81" s="332"/>
      <c r="E81" s="332"/>
      <c r="F81" s="332"/>
      <c r="G81" s="332"/>
      <c r="H81" s="332"/>
      <c r="I81" s="146"/>
    </row>
    <row r="82" spans="1:9" x14ac:dyDescent="0.25">
      <c r="A82" s="332" t="s">
        <v>113</v>
      </c>
      <c r="B82" s="332"/>
      <c r="C82" s="332"/>
      <c r="D82" s="332"/>
      <c r="E82" s="332"/>
      <c r="F82" s="332"/>
      <c r="G82" s="332"/>
      <c r="H82" s="332"/>
      <c r="I82" s="146"/>
    </row>
    <row r="83" spans="1:9" x14ac:dyDescent="0.25">
      <c r="A83" s="332" t="s">
        <v>152</v>
      </c>
      <c r="B83" s="332"/>
      <c r="C83" s="332"/>
      <c r="D83" s="332"/>
      <c r="E83" s="332"/>
      <c r="F83" s="332"/>
      <c r="G83" s="332"/>
      <c r="H83" s="332"/>
      <c r="I83" s="146"/>
    </row>
    <row r="84" spans="1:9" x14ac:dyDescent="0.25">
      <c r="A84" s="145"/>
      <c r="B84" s="145"/>
      <c r="C84" s="145"/>
      <c r="D84" s="145"/>
      <c r="E84" s="145"/>
      <c r="F84" s="145"/>
      <c r="G84" s="145"/>
      <c r="H84" s="145"/>
      <c r="I84" s="145"/>
    </row>
    <row r="85" spans="1:9" x14ac:dyDescent="0.25">
      <c r="A85" s="147"/>
      <c r="B85" s="145"/>
      <c r="C85" s="145"/>
      <c r="D85" s="145"/>
      <c r="E85" s="145"/>
      <c r="F85" s="145"/>
      <c r="G85" s="145"/>
      <c r="H85" s="148" t="str">
        <f>+H50</f>
        <v>Exhibit 37, Schedule M-1</v>
      </c>
    </row>
    <row r="86" spans="1:9" x14ac:dyDescent="0.25">
      <c r="A86" s="147"/>
      <c r="B86" s="145"/>
      <c r="C86" s="145"/>
      <c r="D86" s="145"/>
      <c r="E86" s="145"/>
      <c r="F86" s="145"/>
      <c r="G86" s="145"/>
      <c r="H86" s="148" t="str">
        <f>+H51</f>
        <v>Witness Responsible:  Chuck Rea</v>
      </c>
    </row>
    <row r="87" spans="1:9" x14ac:dyDescent="0.25">
      <c r="A87" s="147"/>
      <c r="B87" s="145"/>
      <c r="C87" s="145"/>
      <c r="D87" s="145"/>
      <c r="E87" s="145"/>
      <c r="F87" s="145"/>
      <c r="G87" s="145"/>
      <c r="H87" s="148" t="str">
        <f>+H52</f>
        <v>Revenues\[KAWC 2023 Rate Case - Exhibit 37 (M,N) Revenue Present &amp; Proposed.xlsx]Sch M1</v>
      </c>
    </row>
    <row r="88" spans="1:9" x14ac:dyDescent="0.25">
      <c r="A88" s="145"/>
      <c r="B88" s="145"/>
      <c r="C88" s="145"/>
      <c r="D88" s="145"/>
      <c r="E88" s="145"/>
      <c r="F88" s="145"/>
      <c r="G88" s="145"/>
      <c r="H88" s="145"/>
      <c r="I88" s="145"/>
    </row>
    <row r="89" spans="1:9" x14ac:dyDescent="0.25">
      <c r="A89" s="149" t="s">
        <v>153</v>
      </c>
      <c r="B89" s="150"/>
      <c r="C89" s="149" t="s">
        <v>120</v>
      </c>
      <c r="D89" s="149" t="s">
        <v>170</v>
      </c>
      <c r="E89" s="150"/>
      <c r="F89" s="149"/>
      <c r="G89" s="149" t="s">
        <v>171</v>
      </c>
      <c r="H89" s="149" t="s">
        <v>172</v>
      </c>
    </row>
    <row r="90" spans="1:9" x14ac:dyDescent="0.25">
      <c r="A90" s="151" t="s">
        <v>20</v>
      </c>
      <c r="B90" s="151" t="s">
        <v>118</v>
      </c>
      <c r="C90" s="151" t="s">
        <v>58</v>
      </c>
      <c r="D90" s="151" t="s">
        <v>173</v>
      </c>
      <c r="E90" s="151" t="s">
        <v>143</v>
      </c>
      <c r="F90" s="151" t="s">
        <v>144</v>
      </c>
      <c r="G90" s="151" t="s">
        <v>174</v>
      </c>
      <c r="H90" s="151" t="s">
        <v>175</v>
      </c>
    </row>
    <row r="91" spans="1:9" x14ac:dyDescent="0.25">
      <c r="A91" s="145"/>
      <c r="B91" s="145"/>
      <c r="C91" s="145"/>
      <c r="D91" s="145"/>
      <c r="E91" s="145"/>
      <c r="F91" s="145"/>
      <c r="G91" s="145"/>
      <c r="H91" s="145"/>
    </row>
    <row r="92" spans="1:9" x14ac:dyDescent="0.25">
      <c r="A92" s="152">
        <v>1</v>
      </c>
      <c r="B92" s="145"/>
      <c r="C92" s="145"/>
      <c r="D92" s="145"/>
      <c r="E92" s="145"/>
      <c r="F92" s="145"/>
      <c r="G92" s="145"/>
      <c r="H92" s="145"/>
    </row>
    <row r="93" spans="1:9" x14ac:dyDescent="0.25">
      <c r="A93" s="152">
        <v>2</v>
      </c>
      <c r="B93" s="145" t="s">
        <v>176</v>
      </c>
      <c r="C93" s="156" t="str">
        <f>+C73</f>
        <v>Schedule M2-M3</v>
      </c>
      <c r="D93" s="155">
        <v>8124</v>
      </c>
      <c r="E93" s="155">
        <v>32606</v>
      </c>
      <c r="F93" s="155">
        <v>17508</v>
      </c>
      <c r="G93" s="155">
        <v>-904</v>
      </c>
      <c r="H93" s="155">
        <v>20914</v>
      </c>
    </row>
    <row r="94" spans="1:9" x14ac:dyDescent="0.25">
      <c r="A94" s="152">
        <v>3</v>
      </c>
      <c r="B94" s="145"/>
      <c r="C94" s="145"/>
      <c r="D94" s="161"/>
      <c r="E94" s="161"/>
      <c r="F94" s="161"/>
      <c r="G94" s="161"/>
      <c r="H94" s="161"/>
    </row>
    <row r="95" spans="1:9" x14ac:dyDescent="0.25">
      <c r="A95" s="152">
        <v>4</v>
      </c>
      <c r="B95" s="145"/>
      <c r="C95" s="145"/>
      <c r="D95" s="145"/>
      <c r="E95" s="145"/>
      <c r="F95" s="145"/>
      <c r="G95" s="160"/>
      <c r="H95" s="145"/>
    </row>
    <row r="96" spans="1:9" x14ac:dyDescent="0.25">
      <c r="A96" s="152">
        <v>5</v>
      </c>
      <c r="B96" s="145"/>
      <c r="C96" s="145"/>
      <c r="D96" s="160"/>
      <c r="E96" s="160"/>
      <c r="F96" s="160"/>
      <c r="G96" s="160"/>
      <c r="H96" s="160"/>
    </row>
    <row r="97" spans="1:9" x14ac:dyDescent="0.25">
      <c r="A97" s="152">
        <v>6</v>
      </c>
      <c r="B97" s="145"/>
      <c r="C97" s="145"/>
      <c r="D97" s="160"/>
      <c r="E97" s="160"/>
      <c r="F97" s="160"/>
      <c r="G97" s="160"/>
      <c r="H97" s="160"/>
    </row>
    <row r="98" spans="1:9" ht="15.75" thickBot="1" x14ac:dyDescent="0.3">
      <c r="A98" s="152">
        <v>7</v>
      </c>
      <c r="B98" s="145" t="s">
        <v>19</v>
      </c>
      <c r="C98" s="145"/>
      <c r="D98" s="158">
        <f>SUM(D93:D97)</f>
        <v>8124</v>
      </c>
      <c r="E98" s="158">
        <f>SUM(E93:E97)</f>
        <v>32606</v>
      </c>
      <c r="F98" s="158">
        <f>SUM(F93:F97)</f>
        <v>17508</v>
      </c>
      <c r="G98" s="158">
        <f>SUM(G93:G97)</f>
        <v>-904</v>
      </c>
      <c r="H98" s="158">
        <f>SUM(H93:H97)</f>
        <v>20914</v>
      </c>
    </row>
    <row r="99" spans="1:9" ht="15.75" thickTop="1" x14ac:dyDescent="0.25">
      <c r="A99" s="152">
        <v>8</v>
      </c>
      <c r="B99" s="145"/>
      <c r="C99" s="145"/>
      <c r="D99" s="160"/>
      <c r="E99" s="160"/>
      <c r="F99" s="160"/>
      <c r="G99" s="160"/>
      <c r="H99" s="160"/>
      <c r="I99" s="160"/>
    </row>
    <row r="100" spans="1:9" x14ac:dyDescent="0.25">
      <c r="A100" s="152">
        <v>9</v>
      </c>
      <c r="B100" s="145"/>
      <c r="C100" s="145"/>
      <c r="D100" s="145"/>
      <c r="E100" s="145"/>
      <c r="F100" s="145"/>
      <c r="G100" s="145"/>
      <c r="H100" s="145"/>
      <c r="I100" s="145"/>
    </row>
    <row r="101" spans="1:9" x14ac:dyDescent="0.25">
      <c r="A101" s="152">
        <v>10</v>
      </c>
      <c r="B101" s="145"/>
      <c r="C101" s="145"/>
      <c r="D101" s="145"/>
      <c r="E101" s="145"/>
      <c r="F101" s="145"/>
      <c r="G101" s="145"/>
      <c r="H101" s="145"/>
      <c r="I101" s="145"/>
    </row>
    <row r="102" spans="1:9" x14ac:dyDescent="0.25">
      <c r="A102" s="152">
        <v>11</v>
      </c>
      <c r="B102" s="145"/>
      <c r="C102" s="145"/>
      <c r="D102" s="149" t="s">
        <v>177</v>
      </c>
      <c r="E102" s="149" t="s">
        <v>178</v>
      </c>
      <c r="F102" s="149" t="s">
        <v>179</v>
      </c>
      <c r="G102" s="149"/>
      <c r="H102" s="145"/>
    </row>
    <row r="103" spans="1:9" x14ac:dyDescent="0.25">
      <c r="A103" s="152">
        <v>12</v>
      </c>
      <c r="B103" s="145"/>
      <c r="C103" s="145"/>
      <c r="D103" s="151" t="s">
        <v>180</v>
      </c>
      <c r="E103" s="151" t="s">
        <v>181</v>
      </c>
      <c r="F103" s="151" t="s">
        <v>182</v>
      </c>
      <c r="G103" s="151"/>
      <c r="H103" s="151" t="s">
        <v>19</v>
      </c>
    </row>
    <row r="104" spans="1:9" x14ac:dyDescent="0.25">
      <c r="A104" s="152">
        <v>13</v>
      </c>
      <c r="B104" s="145"/>
      <c r="C104" s="145"/>
      <c r="D104" s="145"/>
      <c r="E104" s="145"/>
      <c r="F104" s="145"/>
      <c r="G104" s="145"/>
      <c r="H104" s="145"/>
    </row>
    <row r="105" spans="1:9" x14ac:dyDescent="0.25">
      <c r="A105" s="152">
        <v>14</v>
      </c>
      <c r="B105" s="145"/>
      <c r="C105" s="145"/>
      <c r="D105" s="145"/>
      <c r="E105" s="145"/>
      <c r="F105" s="145"/>
      <c r="G105" s="145"/>
      <c r="H105" s="145"/>
    </row>
    <row r="106" spans="1:9" x14ac:dyDescent="0.25">
      <c r="A106" s="152">
        <v>15</v>
      </c>
      <c r="B106" s="145" t="s">
        <v>176</v>
      </c>
      <c r="C106" s="156" t="str">
        <f>C93</f>
        <v>Schedule M2-M3</v>
      </c>
      <c r="D106" s="155">
        <v>381.45000000000437</v>
      </c>
      <c r="E106" s="155">
        <v>3592.8966666667257</v>
      </c>
      <c r="F106" s="155">
        <v>-32158.419999999991</v>
      </c>
      <c r="G106" s="155"/>
      <c r="H106" s="155">
        <f>SUM(D106:G106,D93:H93)</f>
        <v>50063.926666666739</v>
      </c>
    </row>
    <row r="107" spans="1:9" x14ac:dyDescent="0.25">
      <c r="A107" s="152">
        <v>16</v>
      </c>
      <c r="B107" s="145"/>
      <c r="C107" s="145"/>
      <c r="D107" s="155"/>
      <c r="E107" s="155"/>
      <c r="F107" s="155"/>
      <c r="G107" s="155"/>
      <c r="H107" s="155"/>
    </row>
    <row r="108" spans="1:9" x14ac:dyDescent="0.25">
      <c r="A108" s="152">
        <v>17</v>
      </c>
      <c r="B108" s="145"/>
      <c r="C108" s="145"/>
      <c r="D108" s="145"/>
      <c r="E108" s="145"/>
      <c r="F108" s="145"/>
      <c r="G108" s="145"/>
      <c r="H108" s="161"/>
    </row>
    <row r="109" spans="1:9" x14ac:dyDescent="0.25">
      <c r="A109" s="152">
        <v>18</v>
      </c>
      <c r="B109" s="145"/>
      <c r="C109" s="145"/>
      <c r="D109" s="161"/>
      <c r="E109" s="161"/>
      <c r="F109" s="161"/>
      <c r="G109" s="161"/>
      <c r="H109" s="161"/>
    </row>
    <row r="110" spans="1:9" x14ac:dyDescent="0.25">
      <c r="A110" s="152">
        <v>19</v>
      </c>
      <c r="B110" s="145"/>
      <c r="C110" s="145"/>
      <c r="D110" s="145"/>
      <c r="E110" s="145"/>
      <c r="F110" s="145"/>
      <c r="G110" s="145"/>
      <c r="H110" s="145"/>
    </row>
    <row r="111" spans="1:9" ht="15.75" thickBot="1" x14ac:dyDescent="0.3">
      <c r="A111" s="152">
        <v>20</v>
      </c>
      <c r="B111" s="145" t="s">
        <v>19</v>
      </c>
      <c r="C111" s="145"/>
      <c r="D111" s="158">
        <f t="shared" ref="D111:H111" si="7">SUM(D106:D109)</f>
        <v>381.45000000000437</v>
      </c>
      <c r="E111" s="158">
        <f t="shared" si="7"/>
        <v>3592.8966666667257</v>
      </c>
      <c r="F111" s="158">
        <f t="shared" si="7"/>
        <v>-32158.419999999991</v>
      </c>
      <c r="G111" s="158"/>
      <c r="H111" s="158">
        <f t="shared" si="7"/>
        <v>50063.926666666739</v>
      </c>
    </row>
    <row r="112" spans="1:9" ht="15.75" thickTop="1" x14ac:dyDescent="0.25">
      <c r="A112" s="152"/>
      <c r="B112" s="145"/>
      <c r="C112" s="145"/>
      <c r="D112" s="161"/>
      <c r="E112" s="161"/>
      <c r="F112" s="161"/>
      <c r="G112" s="161"/>
      <c r="H112" s="161"/>
    </row>
    <row r="114" spans="1:9" x14ac:dyDescent="0.25">
      <c r="A114" s="332" t="s">
        <v>224</v>
      </c>
      <c r="B114" s="332"/>
      <c r="C114" s="332"/>
      <c r="D114" s="332"/>
      <c r="E114" s="332"/>
      <c r="F114" s="332"/>
      <c r="G114" s="332"/>
      <c r="H114" s="332"/>
      <c r="I114" s="145"/>
    </row>
    <row r="115" spans="1:9" x14ac:dyDescent="0.25">
      <c r="A115" s="332" t="s">
        <v>214</v>
      </c>
      <c r="B115" s="332"/>
      <c r="C115" s="332"/>
      <c r="D115" s="332"/>
      <c r="E115" s="332"/>
      <c r="F115" s="332"/>
      <c r="G115" s="332"/>
      <c r="H115" s="332"/>
      <c r="I115" s="146"/>
    </row>
    <row r="116" spans="1:9" x14ac:dyDescent="0.25">
      <c r="A116" s="332" t="s">
        <v>113</v>
      </c>
      <c r="B116" s="332"/>
      <c r="C116" s="332"/>
      <c r="D116" s="332"/>
      <c r="E116" s="332"/>
      <c r="F116" s="332"/>
      <c r="G116" s="332"/>
      <c r="H116" s="332"/>
      <c r="I116" s="144"/>
    </row>
    <row r="117" spans="1:9" x14ac:dyDescent="0.25">
      <c r="A117" s="332" t="s">
        <v>183</v>
      </c>
      <c r="B117" s="332"/>
      <c r="C117" s="332"/>
      <c r="D117" s="332"/>
      <c r="E117" s="332"/>
      <c r="F117" s="332"/>
      <c r="G117" s="332"/>
      <c r="H117" s="332"/>
      <c r="I117" s="144"/>
    </row>
    <row r="118" spans="1:9" x14ac:dyDescent="0.25">
      <c r="A118" s="145"/>
      <c r="B118" s="145"/>
      <c r="C118" s="145"/>
      <c r="D118" s="145"/>
      <c r="E118" s="145"/>
      <c r="F118" s="145"/>
      <c r="G118" s="145"/>
      <c r="H118" s="145"/>
      <c r="I118" s="146"/>
    </row>
    <row r="119" spans="1:9" x14ac:dyDescent="0.25">
      <c r="A119" s="147"/>
      <c r="B119" s="145"/>
      <c r="C119" s="145"/>
      <c r="D119" s="145"/>
      <c r="E119" s="145"/>
      <c r="F119" s="145"/>
      <c r="G119" s="145"/>
      <c r="H119" s="148" t="str">
        <f>+H$6</f>
        <v>Exhibit 37, Schedule M-1</v>
      </c>
      <c r="I119" s="145"/>
    </row>
    <row r="120" spans="1:9" x14ac:dyDescent="0.25">
      <c r="A120" s="147"/>
      <c r="B120" s="145"/>
      <c r="C120" s="145"/>
      <c r="D120" s="145"/>
      <c r="E120" s="145"/>
      <c r="F120" s="145"/>
      <c r="G120" s="145"/>
      <c r="H120" s="148" t="str">
        <f>+H$7</f>
        <v>Witness Responsible:  Chuck Rea</v>
      </c>
      <c r="I120" s="145"/>
    </row>
    <row r="121" spans="1:9" x14ac:dyDescent="0.25">
      <c r="A121" s="147"/>
      <c r="B121" s="145"/>
      <c r="C121" s="145"/>
      <c r="D121" s="145"/>
      <c r="E121" s="145"/>
      <c r="F121" s="145"/>
      <c r="G121" s="145"/>
      <c r="H121" s="148" t="str">
        <f>+H$8</f>
        <v>Revenues\[KAWC 2023 Rate Case - Exhibit 37 (M,N) Revenue Present &amp; Proposed.xlsx]Sch M1</v>
      </c>
      <c r="I121" s="145"/>
    </row>
    <row r="122" spans="1:9" x14ac:dyDescent="0.25">
      <c r="A122" s="145"/>
      <c r="B122" s="145"/>
      <c r="C122" s="145"/>
      <c r="D122" s="145"/>
      <c r="E122" s="145"/>
      <c r="F122" s="145"/>
      <c r="G122" s="145"/>
      <c r="H122" s="145"/>
      <c r="I122" s="145"/>
    </row>
    <row r="123" spans="1:9" x14ac:dyDescent="0.25">
      <c r="A123" s="149" t="s">
        <v>153</v>
      </c>
      <c r="B123" s="150"/>
      <c r="C123" s="149" t="s">
        <v>120</v>
      </c>
      <c r="D123" s="150"/>
      <c r="E123" s="150"/>
      <c r="F123" s="150"/>
      <c r="G123" s="149" t="s">
        <v>154</v>
      </c>
      <c r="H123" s="149" t="s">
        <v>155</v>
      </c>
      <c r="I123" s="145"/>
    </row>
    <row r="124" spans="1:9" x14ac:dyDescent="0.25">
      <c r="A124" s="151" t="s">
        <v>20</v>
      </c>
      <c r="B124" s="151" t="s">
        <v>118</v>
      </c>
      <c r="C124" s="151" t="s">
        <v>58</v>
      </c>
      <c r="D124" s="151" t="s">
        <v>156</v>
      </c>
      <c r="E124" s="151" t="s">
        <v>157</v>
      </c>
      <c r="F124" s="151" t="s">
        <v>158</v>
      </c>
      <c r="G124" s="151" t="s">
        <v>159</v>
      </c>
      <c r="H124" s="151" t="s">
        <v>160</v>
      </c>
      <c r="I124" s="145"/>
    </row>
    <row r="125" spans="1:9" x14ac:dyDescent="0.25">
      <c r="A125" s="145"/>
      <c r="B125" s="145"/>
      <c r="C125" s="145"/>
      <c r="D125" s="145"/>
      <c r="E125" s="145"/>
      <c r="F125" s="145"/>
      <c r="G125" s="145"/>
      <c r="H125" s="145"/>
      <c r="I125" s="145"/>
    </row>
    <row r="126" spans="1:9" x14ac:dyDescent="0.25">
      <c r="A126" s="152">
        <v>1</v>
      </c>
      <c r="B126" s="145"/>
      <c r="C126" s="145"/>
      <c r="D126" s="145"/>
      <c r="E126" s="145"/>
      <c r="F126" s="145"/>
      <c r="G126" s="145"/>
      <c r="H126" s="145"/>
      <c r="I126" s="145"/>
    </row>
    <row r="127" spans="1:9" x14ac:dyDescent="0.25">
      <c r="A127" s="152">
        <v>2</v>
      </c>
      <c r="B127" s="153" t="s">
        <v>184</v>
      </c>
      <c r="C127" s="154" t="str">
        <f>+C106</f>
        <v>Schedule M2-M3</v>
      </c>
      <c r="D127" s="155">
        <v>14130047.050000004</v>
      </c>
      <c r="E127" s="155">
        <v>6986507.570000004</v>
      </c>
      <c r="F127" s="155">
        <v>683833.89999999991</v>
      </c>
      <c r="G127" s="155">
        <v>1760343.8600000003</v>
      </c>
      <c r="H127" s="155">
        <v>267016.59000000008</v>
      </c>
      <c r="I127" s="145"/>
    </row>
    <row r="128" spans="1:9" x14ac:dyDescent="0.25">
      <c r="A128" s="152">
        <v>3</v>
      </c>
      <c r="B128" s="145"/>
      <c r="C128" s="156"/>
      <c r="D128" s="157"/>
      <c r="E128" s="157"/>
      <c r="F128" s="157"/>
      <c r="G128" s="157"/>
      <c r="H128" s="157"/>
      <c r="I128" s="145"/>
    </row>
    <row r="129" spans="1:9" x14ac:dyDescent="0.25">
      <c r="A129" s="152">
        <v>4</v>
      </c>
      <c r="B129" s="145"/>
      <c r="C129" s="156"/>
      <c r="D129" s="157"/>
      <c r="E129" s="157"/>
      <c r="F129" s="157"/>
      <c r="G129" s="157"/>
      <c r="H129" s="157"/>
      <c r="I129" s="145"/>
    </row>
    <row r="130" spans="1:9" x14ac:dyDescent="0.25">
      <c r="A130" s="152">
        <v>5</v>
      </c>
      <c r="B130" s="145"/>
      <c r="C130" s="145"/>
      <c r="D130" s="157"/>
      <c r="E130" s="157"/>
      <c r="F130" s="157"/>
      <c r="G130" s="157"/>
      <c r="H130" s="157"/>
      <c r="I130" s="145"/>
    </row>
    <row r="131" spans="1:9" x14ac:dyDescent="0.25">
      <c r="A131" s="152">
        <v>6</v>
      </c>
      <c r="B131" s="145"/>
      <c r="C131" s="145"/>
      <c r="D131" s="157"/>
      <c r="E131" s="157"/>
      <c r="F131" s="157"/>
      <c r="G131" s="157"/>
      <c r="H131" s="157"/>
      <c r="I131" s="145"/>
    </row>
    <row r="132" spans="1:9" ht="15.75" thickBot="1" x14ac:dyDescent="0.3">
      <c r="A132" s="152">
        <v>7</v>
      </c>
      <c r="B132" s="145" t="s">
        <v>19</v>
      </c>
      <c r="C132" s="145"/>
      <c r="D132" s="158">
        <f>SUM(D127:D131)</f>
        <v>14130047.050000004</v>
      </c>
      <c r="E132" s="158">
        <f>SUM(E127:E131)</f>
        <v>6986507.570000004</v>
      </c>
      <c r="F132" s="158">
        <f>SUM(F127:F131)</f>
        <v>683833.89999999991</v>
      </c>
      <c r="G132" s="158">
        <f>SUM(G127:G131)</f>
        <v>1760343.8600000003</v>
      </c>
      <c r="H132" s="158">
        <f>SUM(H127:H131)</f>
        <v>267016.59000000008</v>
      </c>
      <c r="I132" s="145"/>
    </row>
    <row r="133" spans="1:9" ht="15.75" thickTop="1" x14ac:dyDescent="0.25">
      <c r="A133" s="152">
        <v>8</v>
      </c>
      <c r="B133" s="332"/>
      <c r="C133" s="332"/>
      <c r="D133" s="332"/>
      <c r="E133" s="332"/>
      <c r="F133" s="332"/>
      <c r="G133" s="332"/>
      <c r="H133" s="332"/>
      <c r="I133" s="332"/>
    </row>
    <row r="134" spans="1:9" x14ac:dyDescent="0.25">
      <c r="A134" s="152">
        <v>9</v>
      </c>
      <c r="B134" s="144"/>
      <c r="C134" s="144"/>
      <c r="D134" s="144"/>
      <c r="E134" s="144"/>
      <c r="F134" s="144"/>
      <c r="G134" s="144"/>
      <c r="H134" s="144"/>
      <c r="I134" s="144"/>
    </row>
    <row r="135" spans="1:9" x14ac:dyDescent="0.25">
      <c r="A135" s="152">
        <v>10</v>
      </c>
      <c r="B135" s="144"/>
      <c r="C135" s="144"/>
      <c r="D135" s="144"/>
      <c r="E135" s="144"/>
      <c r="F135" s="144"/>
      <c r="G135" s="144"/>
      <c r="H135" s="144"/>
      <c r="I135" s="144"/>
    </row>
    <row r="136" spans="1:9" x14ac:dyDescent="0.25">
      <c r="A136" s="152">
        <v>11</v>
      </c>
      <c r="B136" s="144"/>
      <c r="C136" s="144"/>
      <c r="D136" s="149" t="s">
        <v>164</v>
      </c>
      <c r="E136" s="149" t="s">
        <v>165</v>
      </c>
      <c r="F136" s="149"/>
      <c r="G136" s="149" t="s">
        <v>166</v>
      </c>
      <c r="H136" s="145"/>
      <c r="I136" s="144"/>
    </row>
    <row r="137" spans="1:9" x14ac:dyDescent="0.25">
      <c r="A137" s="152">
        <v>12</v>
      </c>
      <c r="B137" s="144"/>
      <c r="C137" s="144"/>
      <c r="D137" s="151" t="s">
        <v>167</v>
      </c>
      <c r="E137" s="151" t="s">
        <v>167</v>
      </c>
      <c r="F137" s="151" t="s">
        <v>168</v>
      </c>
      <c r="G137" s="151" t="s">
        <v>169</v>
      </c>
      <c r="H137" s="151" t="s">
        <v>19</v>
      </c>
      <c r="I137" s="144"/>
    </row>
    <row r="138" spans="1:9" x14ac:dyDescent="0.25">
      <c r="A138" s="152">
        <v>13</v>
      </c>
      <c r="B138" s="159"/>
      <c r="C138" s="159"/>
      <c r="D138" s="145"/>
      <c r="E138" s="145"/>
      <c r="F138" s="145"/>
      <c r="G138" s="145"/>
      <c r="H138" s="145"/>
      <c r="I138" s="144"/>
    </row>
    <row r="139" spans="1:9" x14ac:dyDescent="0.25">
      <c r="A139" s="152">
        <v>14</v>
      </c>
      <c r="B139" s="159"/>
      <c r="C139" s="159"/>
      <c r="D139" s="145"/>
      <c r="E139" s="145"/>
      <c r="F139" s="145"/>
      <c r="G139" s="145"/>
      <c r="H139" s="145"/>
      <c r="I139" s="144"/>
    </row>
    <row r="140" spans="1:9" x14ac:dyDescent="0.25">
      <c r="A140" s="152">
        <v>15</v>
      </c>
      <c r="B140" s="153" t="s">
        <v>184</v>
      </c>
      <c r="C140" s="154" t="str">
        <f>C127</f>
        <v>Schedule M2-M3</v>
      </c>
      <c r="D140" s="155">
        <v>851837.85999999987</v>
      </c>
      <c r="E140" s="155">
        <v>1159966.3899999997</v>
      </c>
      <c r="F140" s="155">
        <v>23615.47</v>
      </c>
      <c r="G140" s="155">
        <v>0</v>
      </c>
      <c r="H140" s="155">
        <f>SUM(D127:H127,D140:G140)</f>
        <v>25863168.690000005</v>
      </c>
      <c r="I140" s="144"/>
    </row>
    <row r="141" spans="1:9" x14ac:dyDescent="0.25">
      <c r="A141" s="152">
        <v>16</v>
      </c>
      <c r="B141" s="145"/>
      <c r="C141" s="156"/>
      <c r="D141" s="157"/>
      <c r="E141" s="157"/>
      <c r="F141" s="157"/>
      <c r="G141" s="157"/>
      <c r="H141" s="155"/>
      <c r="I141" s="144"/>
    </row>
    <row r="142" spans="1:9" x14ac:dyDescent="0.25">
      <c r="A142" s="152">
        <v>17</v>
      </c>
      <c r="B142" s="145"/>
      <c r="C142" s="156"/>
      <c r="D142" s="157"/>
      <c r="E142" s="157"/>
      <c r="F142" s="157"/>
      <c r="G142" s="157"/>
      <c r="H142" s="155"/>
      <c r="I142" s="144"/>
    </row>
    <row r="143" spans="1:9" x14ac:dyDescent="0.25">
      <c r="A143" s="152">
        <v>18</v>
      </c>
      <c r="B143" s="145"/>
      <c r="C143" s="144"/>
      <c r="D143" s="157"/>
      <c r="E143" s="157"/>
      <c r="F143" s="157"/>
      <c r="G143" s="157"/>
      <c r="H143" s="157"/>
      <c r="I143" s="144"/>
    </row>
    <row r="144" spans="1:9" x14ac:dyDescent="0.25">
      <c r="A144" s="152">
        <v>19</v>
      </c>
      <c r="B144" s="145"/>
      <c r="C144" s="144"/>
      <c r="D144" s="157"/>
      <c r="E144" s="157"/>
      <c r="F144" s="157"/>
      <c r="G144" s="157"/>
      <c r="H144" s="157"/>
      <c r="I144" s="144"/>
    </row>
    <row r="145" spans="1:9" ht="15.75" thickBot="1" x14ac:dyDescent="0.3">
      <c r="A145" s="152">
        <v>20</v>
      </c>
      <c r="B145" s="145" t="s">
        <v>19</v>
      </c>
      <c r="C145" s="144"/>
      <c r="D145" s="158">
        <f>SUM(D140:D144)</f>
        <v>851837.85999999987</v>
      </c>
      <c r="E145" s="158">
        <f>SUM(E140:E144)</f>
        <v>1159966.3899999997</v>
      </c>
      <c r="F145" s="158">
        <f>SUM(F140:F144)</f>
        <v>23615.47</v>
      </c>
      <c r="G145" s="158">
        <f>SUM(G140:G144)</f>
        <v>0</v>
      </c>
      <c r="H145" s="158">
        <f>SUM(H140:H144)</f>
        <v>25863168.690000005</v>
      </c>
      <c r="I145" s="144"/>
    </row>
    <row r="146" spans="1:9" ht="15.75" thickTop="1" x14ac:dyDescent="0.25">
      <c r="A146" s="152"/>
      <c r="B146" s="144"/>
      <c r="C146" s="144"/>
      <c r="D146" s="160"/>
      <c r="E146" s="160"/>
      <c r="F146" s="160"/>
      <c r="G146" s="160"/>
      <c r="H146" s="144"/>
      <c r="I146" s="144"/>
    </row>
    <row r="147" spans="1:9" x14ac:dyDescent="0.25">
      <c r="A147" s="152"/>
      <c r="B147" s="144"/>
      <c r="C147" s="144"/>
      <c r="D147" s="160"/>
      <c r="E147" s="160"/>
      <c r="F147" s="145"/>
      <c r="G147" s="160"/>
      <c r="H147" s="144"/>
      <c r="I147" s="144"/>
    </row>
    <row r="149" spans="1:9" x14ac:dyDescent="0.25">
      <c r="A149" s="332" t="s">
        <v>224</v>
      </c>
      <c r="B149" s="332"/>
      <c r="C149" s="332"/>
      <c r="D149" s="332"/>
      <c r="E149" s="332"/>
      <c r="F149" s="332"/>
      <c r="G149" s="332"/>
      <c r="H149" s="332"/>
      <c r="I149" s="146"/>
    </row>
    <row r="150" spans="1:9" x14ac:dyDescent="0.25">
      <c r="A150" s="332" t="s">
        <v>214</v>
      </c>
      <c r="B150" s="332"/>
      <c r="C150" s="332"/>
      <c r="D150" s="332"/>
      <c r="E150" s="332"/>
      <c r="F150" s="332"/>
      <c r="G150" s="332"/>
      <c r="H150" s="332"/>
      <c r="I150" s="146"/>
    </row>
    <row r="151" spans="1:9" x14ac:dyDescent="0.25">
      <c r="A151" s="332" t="s">
        <v>113</v>
      </c>
      <c r="B151" s="332"/>
      <c r="C151" s="332"/>
      <c r="D151" s="332"/>
      <c r="E151" s="332"/>
      <c r="F151" s="332"/>
      <c r="G151" s="332"/>
      <c r="H151" s="332"/>
      <c r="I151" s="146"/>
    </row>
    <row r="152" spans="1:9" x14ac:dyDescent="0.25">
      <c r="A152" s="332" t="str">
        <f>+A117</f>
        <v>Summary of Adjustments for Operating Revenues for Forecast Year at Proposed Rates</v>
      </c>
      <c r="B152" s="332"/>
      <c r="C152" s="332"/>
      <c r="D152" s="332"/>
      <c r="E152" s="332"/>
      <c r="F152" s="332"/>
      <c r="G152" s="332"/>
      <c r="H152" s="332"/>
      <c r="I152" s="146"/>
    </row>
    <row r="153" spans="1:9" x14ac:dyDescent="0.25">
      <c r="A153" s="145"/>
      <c r="B153" s="145"/>
      <c r="C153" s="145"/>
      <c r="D153" s="145"/>
      <c r="E153" s="145"/>
      <c r="F153" s="145"/>
      <c r="G153" s="145"/>
      <c r="H153" s="145"/>
      <c r="I153" s="145"/>
    </row>
    <row r="154" spans="1:9" x14ac:dyDescent="0.25">
      <c r="A154" s="147"/>
      <c r="B154" s="145"/>
      <c r="C154" s="145"/>
      <c r="D154" s="145"/>
      <c r="E154" s="145"/>
      <c r="F154" s="145"/>
      <c r="G154" s="145"/>
      <c r="H154" s="148" t="str">
        <f>+H$6</f>
        <v>Exhibit 37, Schedule M-1</v>
      </c>
    </row>
    <row r="155" spans="1:9" x14ac:dyDescent="0.25">
      <c r="A155" s="147"/>
      <c r="B155" s="145"/>
      <c r="C155" s="145"/>
      <c r="D155" s="145"/>
      <c r="E155" s="145"/>
      <c r="F155" s="145"/>
      <c r="G155" s="145"/>
      <c r="H155" s="148" t="str">
        <f>+H$7</f>
        <v>Witness Responsible:  Chuck Rea</v>
      </c>
    </row>
    <row r="156" spans="1:9" x14ac:dyDescent="0.25">
      <c r="A156" s="147"/>
      <c r="B156" s="145"/>
      <c r="C156" s="145"/>
      <c r="D156" s="145"/>
      <c r="E156" s="145"/>
      <c r="F156" s="145"/>
      <c r="G156" s="145"/>
      <c r="H156" s="148" t="str">
        <f>+H$8</f>
        <v>Revenues\[KAWC 2023 Rate Case - Exhibit 37 (M,N) Revenue Present &amp; Proposed.xlsx]Sch M1</v>
      </c>
    </row>
    <row r="157" spans="1:9" x14ac:dyDescent="0.25">
      <c r="A157" s="145"/>
      <c r="B157" s="145"/>
      <c r="C157" s="145"/>
      <c r="D157" s="145"/>
      <c r="E157" s="145"/>
      <c r="F157" s="145"/>
      <c r="G157" s="145"/>
      <c r="H157" s="145"/>
      <c r="I157" s="145"/>
    </row>
    <row r="158" spans="1:9" x14ac:dyDescent="0.25">
      <c r="A158" s="149" t="s">
        <v>153</v>
      </c>
      <c r="B158" s="150"/>
      <c r="C158" s="149" t="s">
        <v>120</v>
      </c>
      <c r="D158" s="149" t="s">
        <v>170</v>
      </c>
      <c r="E158" s="150"/>
      <c r="F158" s="149"/>
      <c r="G158" s="149" t="s">
        <v>171</v>
      </c>
      <c r="H158" s="149" t="s">
        <v>172</v>
      </c>
    </row>
    <row r="159" spans="1:9" x14ac:dyDescent="0.25">
      <c r="A159" s="151" t="s">
        <v>20</v>
      </c>
      <c r="B159" s="151" t="s">
        <v>118</v>
      </c>
      <c r="C159" s="151" t="s">
        <v>58</v>
      </c>
      <c r="D159" s="151" t="s">
        <v>173</v>
      </c>
      <c r="E159" s="151" t="s">
        <v>143</v>
      </c>
      <c r="F159" s="151" t="s">
        <v>144</v>
      </c>
      <c r="G159" s="151" t="s">
        <v>174</v>
      </c>
      <c r="H159" s="151" t="s">
        <v>175</v>
      </c>
    </row>
    <row r="160" spans="1:9" x14ac:dyDescent="0.25">
      <c r="A160" s="145"/>
      <c r="B160" s="145"/>
      <c r="C160" s="145"/>
      <c r="D160" s="145"/>
      <c r="E160" s="145"/>
      <c r="F160" s="145"/>
      <c r="G160" s="145"/>
      <c r="H160" s="145"/>
    </row>
    <row r="161" spans="1:9" x14ac:dyDescent="0.25">
      <c r="A161" s="152">
        <v>1</v>
      </c>
      <c r="B161" s="145"/>
      <c r="C161" s="145"/>
      <c r="D161" s="145"/>
      <c r="E161" s="145"/>
      <c r="F161" s="145"/>
      <c r="G161" s="145"/>
      <c r="H161" s="145"/>
    </row>
    <row r="162" spans="1:9" x14ac:dyDescent="0.25">
      <c r="A162" s="152">
        <v>2</v>
      </c>
      <c r="B162" s="145" t="s">
        <v>185</v>
      </c>
      <c r="C162" s="156" t="str">
        <f>+C140</f>
        <v>Schedule M2-M3</v>
      </c>
      <c r="D162" s="155">
        <v>188820.63718135667</v>
      </c>
      <c r="E162" s="155"/>
      <c r="F162" s="155"/>
      <c r="G162" s="155"/>
      <c r="H162" s="155"/>
    </row>
    <row r="163" spans="1:9" x14ac:dyDescent="0.25">
      <c r="A163" s="152">
        <v>3</v>
      </c>
      <c r="B163" s="145"/>
      <c r="C163" s="145"/>
      <c r="D163" s="161"/>
      <c r="E163" s="161"/>
      <c r="F163" s="161"/>
      <c r="G163" s="161"/>
      <c r="H163" s="161"/>
    </row>
    <row r="164" spans="1:9" x14ac:dyDescent="0.25">
      <c r="A164" s="152">
        <v>4</v>
      </c>
      <c r="B164" s="145"/>
      <c r="C164" s="145"/>
      <c r="D164" s="145"/>
      <c r="E164" s="145"/>
      <c r="F164" s="145"/>
      <c r="G164" s="160"/>
      <c r="H164" s="145"/>
    </row>
    <row r="165" spans="1:9" x14ac:dyDescent="0.25">
      <c r="A165" s="152">
        <v>5</v>
      </c>
      <c r="B165" s="145"/>
      <c r="C165" s="145"/>
      <c r="D165" s="160"/>
      <c r="E165" s="160"/>
      <c r="F165" s="160"/>
      <c r="G165" s="160"/>
      <c r="H165" s="160"/>
    </row>
    <row r="166" spans="1:9" x14ac:dyDescent="0.25">
      <c r="A166" s="152">
        <v>6</v>
      </c>
      <c r="B166" s="145"/>
      <c r="C166" s="145"/>
      <c r="D166" s="160"/>
      <c r="E166" s="160"/>
      <c r="F166" s="160"/>
      <c r="G166" s="160"/>
      <c r="H166" s="160"/>
    </row>
    <row r="167" spans="1:9" ht="15.75" thickBot="1" x14ac:dyDescent="0.3">
      <c r="A167" s="152">
        <v>7</v>
      </c>
      <c r="B167" s="145" t="s">
        <v>19</v>
      </c>
      <c r="C167" s="145"/>
      <c r="D167" s="158">
        <f>SUM(D162:D166)</f>
        <v>188820.63718135667</v>
      </c>
      <c r="E167" s="158">
        <f>SUM(E162:E166)</f>
        <v>0</v>
      </c>
      <c r="F167" s="158">
        <f>SUM(F162:F166)</f>
        <v>0</v>
      </c>
      <c r="G167" s="158">
        <f>SUM(G162:G166)</f>
        <v>0</v>
      </c>
      <c r="H167" s="158">
        <f>SUM(H162:H166)</f>
        <v>0</v>
      </c>
    </row>
    <row r="168" spans="1:9" ht="15.75" thickTop="1" x14ac:dyDescent="0.25">
      <c r="A168" s="152">
        <v>8</v>
      </c>
      <c r="B168" s="145"/>
      <c r="C168" s="145"/>
      <c r="D168" s="160"/>
      <c r="E168" s="160"/>
      <c r="F168" s="160"/>
      <c r="G168" s="160"/>
      <c r="H168" s="160"/>
      <c r="I168" s="160"/>
    </row>
    <row r="169" spans="1:9" x14ac:dyDescent="0.25">
      <c r="A169" s="152">
        <v>9</v>
      </c>
      <c r="B169" s="145"/>
      <c r="C169" s="145"/>
      <c r="D169" s="145"/>
      <c r="E169" s="145"/>
      <c r="F169" s="145"/>
      <c r="G169" s="145"/>
      <c r="H169" s="145"/>
      <c r="I169" s="145"/>
    </row>
    <row r="170" spans="1:9" x14ac:dyDescent="0.25">
      <c r="A170" s="152">
        <v>10</v>
      </c>
      <c r="B170" s="145"/>
      <c r="C170" s="145"/>
      <c r="D170" s="145"/>
      <c r="E170" s="145"/>
      <c r="F170" s="145"/>
      <c r="G170" s="145"/>
      <c r="H170" s="145"/>
      <c r="I170" s="145"/>
    </row>
    <row r="171" spans="1:9" x14ac:dyDescent="0.25">
      <c r="A171" s="152">
        <v>11</v>
      </c>
      <c r="B171" s="145"/>
      <c r="C171" s="145"/>
      <c r="D171" s="149" t="s">
        <v>177</v>
      </c>
      <c r="E171" s="149" t="s">
        <v>178</v>
      </c>
      <c r="F171" s="149" t="s">
        <v>179</v>
      </c>
      <c r="G171" s="149"/>
      <c r="H171" s="145"/>
    </row>
    <row r="172" spans="1:9" x14ac:dyDescent="0.25">
      <c r="A172" s="152">
        <v>12</v>
      </c>
      <c r="B172" s="145"/>
      <c r="C172" s="145"/>
      <c r="D172" s="151" t="s">
        <v>180</v>
      </c>
      <c r="E172" s="151" t="s">
        <v>181</v>
      </c>
      <c r="F172" s="151" t="s">
        <v>182</v>
      </c>
      <c r="G172" s="151"/>
      <c r="H172" s="151" t="s">
        <v>19</v>
      </c>
    </row>
    <row r="173" spans="1:9" x14ac:dyDescent="0.25">
      <c r="A173" s="152">
        <v>13</v>
      </c>
      <c r="B173" s="145"/>
      <c r="C173" s="145"/>
      <c r="D173" s="145"/>
      <c r="E173" s="145"/>
      <c r="F173" s="145"/>
      <c r="G173" s="145"/>
      <c r="H173" s="145"/>
    </row>
    <row r="174" spans="1:9" x14ac:dyDescent="0.25">
      <c r="A174" s="152">
        <v>14</v>
      </c>
      <c r="B174" s="145"/>
      <c r="C174" s="145"/>
      <c r="D174" s="145"/>
      <c r="E174" s="145"/>
      <c r="F174" s="145"/>
      <c r="G174" s="145"/>
      <c r="H174" s="145"/>
    </row>
    <row r="175" spans="1:9" x14ac:dyDescent="0.25">
      <c r="A175" s="152">
        <v>15</v>
      </c>
      <c r="B175" s="145" t="str">
        <f>+B162</f>
        <v>To Adjust Revenues at Proposed Rates</v>
      </c>
      <c r="C175" s="156" t="str">
        <f>C162</f>
        <v>Schedule M2-M3</v>
      </c>
      <c r="D175" s="155"/>
      <c r="E175" s="155"/>
      <c r="F175" s="155"/>
      <c r="G175" s="155"/>
      <c r="H175" s="155">
        <f>SUM(D175:G175,D162:H162)</f>
        <v>188820.63718135667</v>
      </c>
    </row>
    <row r="176" spans="1:9" x14ac:dyDescent="0.25">
      <c r="A176" s="152">
        <v>16</v>
      </c>
      <c r="B176" s="145"/>
      <c r="C176" s="145"/>
      <c r="D176" s="155"/>
      <c r="E176" s="155"/>
      <c r="F176" s="155"/>
      <c r="G176" s="155"/>
      <c r="H176" s="155"/>
    </row>
    <row r="177" spans="1:8" x14ac:dyDescent="0.25">
      <c r="A177" s="152">
        <v>17</v>
      </c>
      <c r="B177" s="145"/>
      <c r="C177" s="145"/>
      <c r="D177" s="145"/>
      <c r="E177" s="145"/>
      <c r="F177" s="145"/>
      <c r="G177" s="145"/>
      <c r="H177" s="161"/>
    </row>
    <row r="178" spans="1:8" x14ac:dyDescent="0.25">
      <c r="A178" s="152">
        <v>18</v>
      </c>
      <c r="B178" s="145"/>
      <c r="C178" s="145"/>
      <c r="D178" s="161"/>
      <c r="E178" s="161"/>
      <c r="F178" s="161"/>
      <c r="G178" s="161"/>
      <c r="H178" s="161"/>
    </row>
    <row r="179" spans="1:8" x14ac:dyDescent="0.25">
      <c r="A179" s="152">
        <v>19</v>
      </c>
      <c r="B179" s="145"/>
      <c r="C179" s="145"/>
      <c r="D179" s="145"/>
      <c r="E179" s="145"/>
      <c r="F179" s="145"/>
      <c r="G179" s="145"/>
      <c r="H179" s="145"/>
    </row>
    <row r="180" spans="1:8" ht="15.75" thickBot="1" x14ac:dyDescent="0.3">
      <c r="A180" s="152">
        <v>20</v>
      </c>
      <c r="B180" s="145" t="s">
        <v>19</v>
      </c>
      <c r="C180" s="145"/>
      <c r="D180" s="158">
        <f t="shared" ref="D180:F180" si="8">SUM(D175:D178)</f>
        <v>0</v>
      </c>
      <c r="E180" s="158">
        <f t="shared" si="8"/>
        <v>0</v>
      </c>
      <c r="F180" s="158">
        <f t="shared" si="8"/>
        <v>0</v>
      </c>
      <c r="G180" s="158"/>
      <c r="H180" s="158">
        <f t="shared" ref="H180" si="9">SUM(H175:H178)</f>
        <v>188820.63718135667</v>
      </c>
    </row>
    <row r="181" spans="1:8" ht="15.75" thickTop="1" x14ac:dyDescent="0.25"/>
  </sheetData>
  <mergeCells count="22">
    <mergeCell ref="A149:H149"/>
    <mergeCell ref="A150:H150"/>
    <mergeCell ref="A151:H151"/>
    <mergeCell ref="A152:H152"/>
    <mergeCell ref="A83:H83"/>
    <mergeCell ref="A114:H114"/>
    <mergeCell ref="A115:H115"/>
    <mergeCell ref="A116:H116"/>
    <mergeCell ref="A117:H117"/>
    <mergeCell ref="B133:I133"/>
    <mergeCell ref="A82:H82"/>
    <mergeCell ref="A1:H1"/>
    <mergeCell ref="A2:H2"/>
    <mergeCell ref="A3:H3"/>
    <mergeCell ref="A4:H4"/>
    <mergeCell ref="A45:H45"/>
    <mergeCell ref="A46:H46"/>
    <mergeCell ref="A47:H47"/>
    <mergeCell ref="A48:H48"/>
    <mergeCell ref="B64:I64"/>
    <mergeCell ref="A80:H80"/>
    <mergeCell ref="A81:H81"/>
  </mergeCells>
  <pageMargins left="0.7" right="0.7" top="0.75" bottom="0.75" header="0.3" footer="0.3"/>
  <pageSetup scale="63" orientation="portrait" horizontalDpi="1200" verticalDpi="1200" r:id="rId1"/>
  <rowBreaks count="4" manualBreakCount="4">
    <brk id="44" max="7" man="1"/>
    <brk id="79" max="7" man="1"/>
    <brk id="113" max="7" man="1"/>
    <brk id="14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GRC - 2023-00191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4QVSNHSJP2QR-262969112-5298</_dlc_DocId>
    <_dlc_DocIdUrl xmlns="00c1cf47-8665-4c73-8994-ff3a5e26da0f">
      <Url>https://amwater.sharepoint.com/sites/sers/KY/_layouts/15/DocIdRedir.aspx?ID=4QVSNHSJP2QR-262969112-5298</Url>
      <Description>4QVSNHSJP2QR-262969112-5298</Description>
    </_dlc_DocIdUrl>
    <SharedWithUsers xmlns="7312d0bd-5bb3-4d44-9c84-f993550bda7e">
      <UserInfo>
        <DisplayName>Cheryl L Smithson</DisplayName>
        <AccountId>2219</AccountId>
        <AccountType/>
      </UserInfo>
      <UserInfo>
        <DisplayName>Shelley Porter</DisplayName>
        <AccountId>1543</AccountId>
        <AccountType/>
      </UserInfo>
      <UserInfo>
        <DisplayName>Robert J Prendergast</DisplayName>
        <AccountId>5679</AccountId>
        <AccountType/>
      </UserInfo>
      <UserInfo>
        <DisplayName>Jeffrey Newcomb</DisplayName>
        <AccountId>4460</AccountId>
        <AccountType/>
      </UserInfo>
      <UserInfo>
        <DisplayName>Krista E Citron</DisplayName>
        <AccountId>737</AccountId>
        <AccountType/>
      </UserInfo>
      <UserInfo>
        <DisplayName>John M Watkins</DisplayName>
        <AccountId>162</AccountId>
        <AccountType/>
      </UserInfo>
      <UserInfo>
        <DisplayName>David L Pippen</DisplayName>
        <AccountId>123</AccountId>
        <AccountType/>
      </UserInfo>
      <UserInfo>
        <DisplayName>Debbie Albrecht</DisplayName>
        <AccountId>13</AccountId>
        <AccountType/>
      </UserInfo>
      <UserInfo>
        <DisplayName>Charisse L Cephas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6" ma:contentTypeDescription="Create a new document." ma:contentTypeScope="" ma:versionID="80b22b2e6efc1f9437873181a239db22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57f6b5888668914187800847b2c332f1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02CD22F-9D83-42E2-8DE3-B79C7E21D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CBEF9-04CA-404B-83E0-C1336BB2AF6C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00c1cf47-8665-4c73-8994-ff3a5e26da0f"/>
    <ds:schemaRef ds:uri="7312d0bd-5bb3-4d44-9c84-f993550bda7e"/>
    <ds:schemaRef ds:uri="http://schemas.openxmlformats.org/package/2006/metadata/core-properties"/>
    <ds:schemaRef ds:uri="3527BF6F-27A6-47D3-AAFB-DBF13EBA6BBE"/>
    <ds:schemaRef ds:uri="3527bf6f-27a6-47d3-aafb-dbf13eba6bb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072972-C509-4724-A70F-906D48821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A90D8E-9A5E-4C2A-B6A9-D55A3E1744C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PSC 3-1, part a</vt:lpstr>
      <vt:lpstr>PSC RR 1-1, Sch M2-M3</vt:lpstr>
      <vt:lpstr>PSC 3-1, part b</vt:lpstr>
      <vt:lpstr>PSC 3-1, part b ADIT</vt:lpstr>
      <vt:lpstr>Rev Requirement - SCH A</vt:lpstr>
      <vt:lpstr>Rev Conversion Factor - SCH H</vt:lpstr>
      <vt:lpstr>Proposed Rate Adjustments</vt:lpstr>
      <vt:lpstr>Sch J-1</vt:lpstr>
      <vt:lpstr>Sch M1</vt:lpstr>
      <vt:lpstr>'PSC RR 1-1, Sch M2-M3'!Print_Area</vt:lpstr>
      <vt:lpstr>'Rev Conversion Factor - SCH H'!Print_Area</vt:lpstr>
      <vt:lpstr>'Rev Requirement - SCH A'!Print_Area</vt:lpstr>
      <vt:lpstr>'Sch J-1'!Print_Area</vt:lpstr>
      <vt:lpstr>'Sch M1'!Print_Area</vt:lpstr>
      <vt:lpstr>'PSC 3-1, part b'!Print_Titles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Tomacjs</dc:creator>
  <cp:lastModifiedBy>Cas Swiz</cp:lastModifiedBy>
  <cp:lastPrinted>2024-06-06T21:10:05Z</cp:lastPrinted>
  <dcterms:created xsi:type="dcterms:W3CDTF">2015-05-19T16:26:59Z</dcterms:created>
  <dcterms:modified xsi:type="dcterms:W3CDTF">2024-06-14T13:58:23Z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2022-12-07T22:01:21Z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c8d5e60d-5aa5-4d4c-9eb0-6e1ba4bb0b74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0x01010004E0505336475743B548BB3731556CC4</vt:lpwstr>
  </property>
  <property fmtid="{D5CDD505-2E9C-101B-9397-08002B2CF9AE}" pid="10" name="_dlc_DocIdItemGuid">
    <vt:lpwstr>56ef0d20-f36c-4696-be66-064d90c59de3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</Properties>
</file>