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18595\Desktop\KRWA\North Mercer\N Mercer RFI 2\"/>
    </mc:Choice>
  </mc:AlternateContent>
  <xr:revisionPtr revIDLastSave="0" documentId="13_ncr:1_{6E3F8DE9-C1EB-4580-9169-BEBA345FB19F}" xr6:coauthVersionLast="47" xr6:coauthVersionMax="47" xr10:uidLastSave="{00000000-0000-0000-0000-000000000000}"/>
  <bookViews>
    <workbookView xWindow="28680" yWindow="270" windowWidth="25440" windowHeight="15270" activeTab="4" xr2:uid="{00000000-000D-0000-FFFF-FFFF00000000}"/>
  </bookViews>
  <sheets>
    <sheet name="SAO" sheetId="6" r:id="rId1"/>
    <sheet name="Revenue Requirements" sheetId="56" r:id="rId2"/>
    <sheet name="References" sheetId="57" r:id="rId3"/>
    <sheet name="Water Loss" sheetId="55" r:id="rId4"/>
    <sheet name="Medical" sheetId="40" r:id="rId5"/>
    <sheet name="Wages" sheetId="49" r:id="rId6"/>
    <sheet name="Debt Service" sheetId="53" r:id="rId7"/>
    <sheet name="Depreciation" sheetId="52" r:id="rId8"/>
    <sheet name="Rates" sheetId="2" r:id="rId9"/>
    <sheet name="Bills" sheetId="42" r:id="rId10"/>
    <sheet name="ExBA" sheetId="51" r:id="rId11"/>
    <sheet name="PrBA" sheetId="43" r:id="rId12"/>
  </sheets>
  <definedNames>
    <definedName name="AHV">#REF!</definedName>
    <definedName name="_xlnm.Print_Area" localSheetId="9">Bills!$A$1:$J$30</definedName>
    <definedName name="_xlnm.Print_Area" localSheetId="6">'Debt Service'!$A$1:$O$26</definedName>
    <definedName name="_xlnm.Print_Area" localSheetId="10">ExBA!$A$1:$I$63</definedName>
    <definedName name="_xlnm.Print_Area" localSheetId="11">PrBA!$A$1:$N$211</definedName>
    <definedName name="_xlnm.Print_Area" localSheetId="8">Rates!$A$1:$L$25</definedName>
    <definedName name="_xlnm.Print_Area" localSheetId="1">'Revenue Requirements'!$A$1:$G$29</definedName>
    <definedName name="_xlnm.Print_Area" localSheetId="0">SAO!$A$1:$H$50</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40" l="1"/>
  <c r="F35" i="40"/>
  <c r="H34" i="40" l="1"/>
  <c r="D34" i="40"/>
  <c r="E34" i="40" s="1"/>
  <c r="F34" i="40" s="1"/>
  <c r="H15" i="40"/>
  <c r="D15" i="40"/>
  <c r="E15" i="40" s="1"/>
  <c r="F15" i="40" s="1"/>
  <c r="J23" i="49"/>
  <c r="I17" i="49"/>
  <c r="H17" i="49"/>
  <c r="C17" i="49"/>
  <c r="G17" i="49" s="1"/>
  <c r="J17" i="49" s="1"/>
  <c r="P14" i="42"/>
  <c r="P12" i="42"/>
  <c r="P10" i="42"/>
  <c r="P8" i="42"/>
  <c r="F18" i="2" l="1"/>
  <c r="E59" i="6"/>
  <c r="G59" i="6" s="1"/>
  <c r="G8" i="56"/>
  <c r="C48" i="43" l="1"/>
  <c r="C47" i="43"/>
  <c r="C35" i="43"/>
  <c r="C20" i="43"/>
  <c r="C19" i="43"/>
  <c r="G8" i="51"/>
  <c r="C7" i="49"/>
  <c r="R44" i="49" l="1"/>
  <c r="C39" i="40"/>
  <c r="I10" i="49"/>
  <c r="I11" i="49"/>
  <c r="I12" i="49"/>
  <c r="I13" i="49"/>
  <c r="I16" i="49"/>
  <c r="I15" i="49"/>
  <c r="I14" i="49"/>
  <c r="I9" i="49"/>
  <c r="I8" i="49"/>
  <c r="I7" i="49"/>
  <c r="I6" i="49"/>
  <c r="I5" i="49"/>
  <c r="J16" i="49"/>
  <c r="J14" i="49"/>
  <c r="J8" i="49"/>
  <c r="J6" i="49"/>
  <c r="D65" i="43" l="1"/>
  <c r="D48" i="43"/>
  <c r="D47" i="43"/>
  <c r="D35" i="43"/>
  <c r="D34" i="43"/>
  <c r="C34" i="43"/>
  <c r="D20" i="43"/>
  <c r="D19" i="43"/>
  <c r="G24" i="56" l="1"/>
  <c r="E45" i="6"/>
  <c r="F14" i="2"/>
  <c r="F30" i="2"/>
  <c r="G30" i="2"/>
  <c r="G62" i="6"/>
  <c r="G58" i="6"/>
  <c r="J39" i="49" l="1"/>
  <c r="O45" i="49"/>
  <c r="J35" i="49"/>
  <c r="O37" i="49"/>
  <c r="J30" i="52" l="1"/>
  <c r="L19" i="53"/>
  <c r="K19" i="53"/>
  <c r="J19" i="53"/>
  <c r="I19" i="53"/>
  <c r="H19" i="53"/>
  <c r="G19" i="53"/>
  <c r="F19" i="53"/>
  <c r="E19" i="53"/>
  <c r="D19" i="53"/>
  <c r="C19" i="53"/>
  <c r="H28" i="40"/>
  <c r="D28" i="40"/>
  <c r="E28" i="40" s="1"/>
  <c r="F28" i="40" s="1"/>
  <c r="M27" i="53" l="1"/>
  <c r="B54" i="43"/>
  <c r="B53" i="43"/>
  <c r="D49" i="43"/>
  <c r="C49" i="43"/>
  <c r="C53" i="43" s="1"/>
  <c r="B48" i="43"/>
  <c r="G46" i="43" s="1"/>
  <c r="E47" i="43"/>
  <c r="H47" i="43" s="1"/>
  <c r="B47" i="43"/>
  <c r="E46" i="43"/>
  <c r="E48" i="43" s="1"/>
  <c r="B41" i="43"/>
  <c r="B40" i="43"/>
  <c r="D36" i="43"/>
  <c r="C36" i="43"/>
  <c r="C40" i="43" s="1"/>
  <c r="B35" i="43"/>
  <c r="G33" i="43" s="1"/>
  <c r="E34" i="43"/>
  <c r="H34" i="43" s="1"/>
  <c r="B34" i="43"/>
  <c r="E33" i="43" s="1"/>
  <c r="E35" i="43" s="1"/>
  <c r="B27" i="43"/>
  <c r="B26" i="43"/>
  <c r="D21" i="43"/>
  <c r="C21" i="43"/>
  <c r="C26" i="43" s="1"/>
  <c r="B20" i="43"/>
  <c r="H18" i="43" s="1"/>
  <c r="E19" i="43"/>
  <c r="I19" i="43" s="1"/>
  <c r="B19" i="43"/>
  <c r="E18" i="43" s="1"/>
  <c r="E20" i="43" s="1"/>
  <c r="H20" i="43" s="1"/>
  <c r="H21" i="43" s="1"/>
  <c r="D27" i="43" s="1"/>
  <c r="G8" i="43"/>
  <c r="E7" i="43" l="1"/>
  <c r="D7" i="43"/>
  <c r="E21" i="43"/>
  <c r="D26" i="43" s="1"/>
  <c r="D28" i="43" s="1"/>
  <c r="E36" i="43"/>
  <c r="D40" i="43" s="1"/>
  <c r="G48" i="43"/>
  <c r="G49" i="43" s="1"/>
  <c r="D54" i="43" s="1"/>
  <c r="E49" i="43"/>
  <c r="I20" i="43"/>
  <c r="I21" i="43" s="1"/>
  <c r="G35" i="43"/>
  <c r="G36" i="43" s="1"/>
  <c r="D41" i="43" s="1"/>
  <c r="H35" i="43" l="1"/>
  <c r="H36" i="43"/>
  <c r="D42" i="43"/>
  <c r="D53" i="43"/>
  <c r="D55" i="43" s="1"/>
  <c r="H49" i="43"/>
  <c r="H48" i="43"/>
  <c r="C33" i="40" l="1"/>
  <c r="C32" i="40"/>
  <c r="C31" i="40"/>
  <c r="D31" i="40" s="1"/>
  <c r="E31" i="40" s="1"/>
  <c r="F31" i="40" s="1"/>
  <c r="C30" i="40"/>
  <c r="C29" i="40"/>
  <c r="H31" i="40"/>
  <c r="D21" i="49"/>
  <c r="J56" i="49"/>
  <c r="C21" i="49" l="1"/>
  <c r="G8" i="49"/>
  <c r="H14" i="40"/>
  <c r="D14" i="40"/>
  <c r="E14" i="40" s="1"/>
  <c r="F14" i="40" s="1"/>
  <c r="G54" i="49"/>
  <c r="J54" i="49" s="1"/>
  <c r="G53" i="49"/>
  <c r="J53" i="49" s="1"/>
  <c r="G52" i="49"/>
  <c r="J52" i="49" s="1"/>
  <c r="G51" i="49"/>
  <c r="J51" i="49" s="1"/>
  <c r="G14" i="49"/>
  <c r="H14" i="49"/>
  <c r="E61" i="51"/>
  <c r="E23" i="42"/>
  <c r="E22" i="42"/>
  <c r="E21" i="42"/>
  <c r="E20" i="42"/>
  <c r="E19" i="42"/>
  <c r="E18" i="42"/>
  <c r="E17" i="42"/>
  <c r="E16" i="42"/>
  <c r="E15" i="42"/>
  <c r="E14" i="42"/>
  <c r="E13" i="42"/>
  <c r="E10" i="42"/>
  <c r="E12" i="42" l="1"/>
  <c r="E11" i="42"/>
  <c r="A2" i="51" l="1"/>
  <c r="C5" i="52"/>
  <c r="B5" i="53"/>
  <c r="H13" i="49" l="1"/>
  <c r="J13" i="49" s="1"/>
  <c r="G13" i="49"/>
  <c r="H12" i="49"/>
  <c r="J12" i="49" s="1"/>
  <c r="G12" i="49"/>
  <c r="H11" i="49" l="1"/>
  <c r="J11" i="49" s="1"/>
  <c r="G11" i="49"/>
  <c r="M18" i="51"/>
  <c r="G36" i="6" l="1"/>
  <c r="G33" i="6"/>
  <c r="B47" i="51"/>
  <c r="E46" i="51" s="1"/>
  <c r="E48" i="51" s="1"/>
  <c r="B48" i="51"/>
  <c r="G46" i="51" s="1"/>
  <c r="B53" i="51"/>
  <c r="B54" i="51"/>
  <c r="C49" i="51"/>
  <c r="C53" i="51" s="1"/>
  <c r="E53" i="51"/>
  <c r="E54" i="51"/>
  <c r="G7" i="49"/>
  <c r="J7" i="49" s="1"/>
  <c r="H7" i="49"/>
  <c r="G15" i="49"/>
  <c r="H15" i="49"/>
  <c r="J15" i="49" s="1"/>
  <c r="G10" i="51"/>
  <c r="J32" i="52"/>
  <c r="K32" i="52" s="1"/>
  <c r="M29" i="53"/>
  <c r="G21" i="56" s="1"/>
  <c r="D49" i="51" l="1"/>
  <c r="G53" i="51"/>
  <c r="B21" i="55"/>
  <c r="B20" i="55"/>
  <c r="B19" i="55"/>
  <c r="E19" i="51"/>
  <c r="I19" i="51" s="1"/>
  <c r="A2" i="43"/>
  <c r="G61" i="51"/>
  <c r="F40" i="52"/>
  <c r="G11" i="6"/>
  <c r="G48" i="51"/>
  <c r="B35" i="51"/>
  <c r="G33" i="51" s="1"/>
  <c r="B34" i="51"/>
  <c r="E33" i="51" s="1"/>
  <c r="B20" i="51"/>
  <c r="H18" i="51" s="1"/>
  <c r="B19" i="51"/>
  <c r="B35" i="40"/>
  <c r="B18" i="40"/>
  <c r="H33" i="40"/>
  <c r="D33" i="40"/>
  <c r="E33" i="40" s="1"/>
  <c r="F33" i="40" s="1"/>
  <c r="H32" i="40"/>
  <c r="D32" i="40"/>
  <c r="E32" i="40" s="1"/>
  <c r="F32" i="40" s="1"/>
  <c r="H30" i="40"/>
  <c r="D30" i="40"/>
  <c r="E30" i="40" s="1"/>
  <c r="F30" i="40" s="1"/>
  <c r="H29" i="40"/>
  <c r="D29" i="40"/>
  <c r="E29" i="40" s="1"/>
  <c r="F29" i="40" s="1"/>
  <c r="H27" i="40"/>
  <c r="D27" i="40"/>
  <c r="E27" i="40" s="1"/>
  <c r="F27" i="40" s="1"/>
  <c r="H26" i="40"/>
  <c r="D26" i="40"/>
  <c r="E26" i="40" s="1"/>
  <c r="F26" i="40" s="1"/>
  <c r="H25" i="40"/>
  <c r="D25" i="40"/>
  <c r="E25" i="40" s="1"/>
  <c r="F25" i="40" s="1"/>
  <c r="H24" i="40"/>
  <c r="D24" i="40"/>
  <c r="E24" i="40" s="1"/>
  <c r="F24" i="40" s="1"/>
  <c r="H23" i="40"/>
  <c r="D23" i="40"/>
  <c r="E23" i="40" s="1"/>
  <c r="F23" i="40" s="1"/>
  <c r="H13" i="40"/>
  <c r="H12" i="40"/>
  <c r="H11" i="40"/>
  <c r="H10" i="40"/>
  <c r="H9" i="40"/>
  <c r="H8" i="40"/>
  <c r="H7" i="40"/>
  <c r="H6" i="40"/>
  <c r="D13" i="40"/>
  <c r="E13" i="40" s="1"/>
  <c r="F13" i="40" s="1"/>
  <c r="D12" i="40"/>
  <c r="E12" i="40" s="1"/>
  <c r="F12" i="40" s="1"/>
  <c r="D11" i="40"/>
  <c r="E11" i="40" s="1"/>
  <c r="F11" i="40" s="1"/>
  <c r="D10" i="40"/>
  <c r="E10" i="40" s="1"/>
  <c r="F10" i="40" s="1"/>
  <c r="D9" i="40"/>
  <c r="E9" i="40" s="1"/>
  <c r="F9" i="40" s="1"/>
  <c r="D8" i="40"/>
  <c r="E8" i="40" s="1"/>
  <c r="F8" i="40" s="1"/>
  <c r="D7" i="40"/>
  <c r="E7" i="40" s="1"/>
  <c r="F7" i="40" s="1"/>
  <c r="D6" i="40"/>
  <c r="E6" i="40" s="1"/>
  <c r="F6" i="40" s="1"/>
  <c r="E41" i="51"/>
  <c r="E40" i="51"/>
  <c r="B41" i="51"/>
  <c r="B40" i="51"/>
  <c r="B27" i="51"/>
  <c r="B26" i="51"/>
  <c r="E27" i="51"/>
  <c r="E26" i="51"/>
  <c r="E9" i="42"/>
  <c r="C14" i="55"/>
  <c r="D13" i="6"/>
  <c r="G12" i="6"/>
  <c r="G10" i="6"/>
  <c r="G23" i="56" s="1"/>
  <c r="E18" i="51" l="1"/>
  <c r="G49" i="51"/>
  <c r="D54" i="51" s="1"/>
  <c r="H48" i="51"/>
  <c r="G6" i="56"/>
  <c r="G57" i="6" s="1"/>
  <c r="B22" i="55"/>
  <c r="D21" i="51"/>
  <c r="C21" i="51"/>
  <c r="C26" i="51" s="1"/>
  <c r="D36" i="51"/>
  <c r="E34" i="51"/>
  <c r="H34" i="51" s="1"/>
  <c r="E47" i="51"/>
  <c r="E35" i="51"/>
  <c r="E20" i="51"/>
  <c r="E7" i="51" l="1"/>
  <c r="M20" i="51" s="1"/>
  <c r="M21" i="51" s="1"/>
  <c r="G54" i="51"/>
  <c r="H47" i="51"/>
  <c r="E49" i="51"/>
  <c r="H20" i="51"/>
  <c r="H21" i="51" s="1"/>
  <c r="D27" i="51" s="1"/>
  <c r="G27" i="51" s="1"/>
  <c r="G35" i="51"/>
  <c r="G36" i="51" s="1"/>
  <c r="G26" i="51"/>
  <c r="C36" i="51"/>
  <c r="E21" i="51"/>
  <c r="D26" i="51" s="1"/>
  <c r="D14" i="55"/>
  <c r="D16" i="55" s="1"/>
  <c r="C9" i="55"/>
  <c r="H5" i="49"/>
  <c r="G5" i="49"/>
  <c r="C40" i="51" l="1"/>
  <c r="G40" i="51" s="1"/>
  <c r="D7" i="51"/>
  <c r="G55" i="51"/>
  <c r="D19" i="55"/>
  <c r="E25" i="6" s="1"/>
  <c r="D20" i="55"/>
  <c r="E27" i="6" s="1"/>
  <c r="G31" i="6"/>
  <c r="J5" i="49"/>
  <c r="D21" i="55"/>
  <c r="D53" i="51"/>
  <c r="D55" i="51" s="1"/>
  <c r="H49" i="51"/>
  <c r="H35" i="51"/>
  <c r="D41" i="51"/>
  <c r="G41" i="51" s="1"/>
  <c r="E36" i="51"/>
  <c r="I20" i="51"/>
  <c r="G42" i="51" l="1"/>
  <c r="G26" i="6"/>
  <c r="D22" i="55"/>
  <c r="D40" i="51"/>
  <c r="D42" i="51" s="1"/>
  <c r="H36" i="51"/>
  <c r="J27" i="49"/>
  <c r="M16" i="53" l="1"/>
  <c r="M15" i="53"/>
  <c r="M14" i="53"/>
  <c r="M13" i="53"/>
  <c r="M12" i="53"/>
  <c r="H40" i="52"/>
  <c r="J38" i="52"/>
  <c r="K38" i="52" s="1"/>
  <c r="J35" i="52"/>
  <c r="K35" i="52" s="1"/>
  <c r="J31" i="52"/>
  <c r="K31" i="52" s="1"/>
  <c r="K30" i="52"/>
  <c r="J29" i="52"/>
  <c r="K29" i="52" s="1"/>
  <c r="J28" i="52"/>
  <c r="K28" i="52" s="1"/>
  <c r="J27" i="52"/>
  <c r="K27" i="52" s="1"/>
  <c r="J26" i="52"/>
  <c r="K26" i="52" s="1"/>
  <c r="J25" i="52"/>
  <c r="K25" i="52" s="1"/>
  <c r="J24" i="52"/>
  <c r="K24" i="52" s="1"/>
  <c r="J21" i="52"/>
  <c r="K21" i="52" s="1"/>
  <c r="J20" i="52"/>
  <c r="K20" i="52" s="1"/>
  <c r="J19" i="52"/>
  <c r="K19" i="52" s="1"/>
  <c r="J16" i="52"/>
  <c r="K16" i="52" s="1"/>
  <c r="J15" i="52"/>
  <c r="K15" i="52" s="1"/>
  <c r="J14" i="52"/>
  <c r="K14" i="52" s="1"/>
  <c r="J13" i="52"/>
  <c r="K13" i="52" s="1"/>
  <c r="J12" i="52"/>
  <c r="K12" i="52" s="1"/>
  <c r="J11" i="52"/>
  <c r="K11" i="52" s="1"/>
  <c r="M19" i="53" l="1"/>
  <c r="M22" i="53" s="1"/>
  <c r="M24" i="53" s="1"/>
  <c r="G4" i="56" s="1"/>
  <c r="G55" i="6" s="1"/>
  <c r="P19" i="53"/>
  <c r="K40" i="52"/>
  <c r="J40" i="52"/>
  <c r="G3" i="56" l="1"/>
  <c r="G54" i="6" s="1"/>
  <c r="P24" i="53"/>
  <c r="C4" i="42"/>
  <c r="C6" i="2"/>
  <c r="G50" i="49" l="1"/>
  <c r="G10" i="49"/>
  <c r="G9" i="49"/>
  <c r="G34" i="6"/>
  <c r="H10" i="49" l="1"/>
  <c r="J10" i="49" s="1"/>
  <c r="H9" i="49"/>
  <c r="J9" i="49" s="1"/>
  <c r="H6" i="49"/>
  <c r="G6" i="49"/>
  <c r="G21" i="49" s="1"/>
  <c r="H21" i="49" l="1"/>
  <c r="J50" i="49"/>
  <c r="J55" i="49" s="1"/>
  <c r="G42" i="6"/>
  <c r="G41" i="6"/>
  <c r="G39" i="6"/>
  <c r="G37" i="6"/>
  <c r="G35" i="6"/>
  <c r="G27" i="6"/>
  <c r="G7" i="6"/>
  <c r="J57" i="49" l="1"/>
  <c r="E20" i="6" s="1"/>
  <c r="G20" i="6" s="1"/>
  <c r="J31" i="49"/>
  <c r="J21" i="49"/>
  <c r="K23" i="49" l="1"/>
  <c r="J38" i="49" s="1"/>
  <c r="J40" i="49" s="1"/>
  <c r="E23" i="6" s="1"/>
  <c r="F18" i="40" l="1"/>
  <c r="F37" i="40" s="1"/>
  <c r="H18" i="40"/>
  <c r="H37" i="40" s="1"/>
  <c r="C40" i="40" s="1"/>
  <c r="C42" i="40" s="1"/>
  <c r="E22" i="6" s="1"/>
  <c r="G24" i="6" l="1"/>
  <c r="G40" i="6"/>
  <c r="G45" i="6" l="1"/>
  <c r="D43" i="6" l="1"/>
  <c r="D47" i="6" l="1"/>
  <c r="D49" i="6" s="1"/>
  <c r="I21" i="51" l="1"/>
  <c r="G28" i="51" l="1"/>
  <c r="G7" i="51" s="1"/>
  <c r="D28" i="51"/>
  <c r="G9" i="51" l="1"/>
  <c r="G11" i="51" s="1"/>
  <c r="E6" i="6" s="1"/>
  <c r="G11" i="56" l="1"/>
  <c r="G27" i="56"/>
  <c r="G6" i="6" l="1"/>
  <c r="G10" i="56" s="1"/>
  <c r="G61" i="6" s="1"/>
  <c r="E13" i="6"/>
  <c r="G26" i="56" l="1"/>
  <c r="G13" i="6"/>
  <c r="J26" i="49" l="1"/>
  <c r="J28" i="49" s="1"/>
  <c r="E18" i="6" s="1"/>
  <c r="J30" i="49"/>
  <c r="J32" i="49" l="1"/>
  <c r="J34" i="49" s="1"/>
  <c r="J36" i="49" s="1"/>
  <c r="E46" i="6" s="1"/>
  <c r="G46" i="6" s="1"/>
  <c r="E43" i="6"/>
  <c r="G19" i="6"/>
  <c r="G43" i="6" s="1"/>
  <c r="E47" i="6" l="1"/>
  <c r="E49" i="6" s="1"/>
  <c r="G47" i="6"/>
  <c r="G49" i="6" s="1"/>
  <c r="G18" i="56" l="1"/>
  <c r="G20" i="56" s="1"/>
  <c r="G22" i="56" s="1"/>
  <c r="G25" i="56" s="1"/>
  <c r="G28" i="56" s="1"/>
  <c r="G29" i="56" s="1"/>
  <c r="G2" i="56"/>
  <c r="G5" i="56" l="1"/>
  <c r="G56" i="6" s="1"/>
  <c r="G53" i="6"/>
  <c r="G9" i="56" l="1"/>
  <c r="G60" i="6" s="1"/>
  <c r="G12" i="56" l="1"/>
  <c r="G63" i="6" s="1"/>
  <c r="G10" i="43"/>
  <c r="G13" i="56" l="1"/>
  <c r="H9" i="2" l="1"/>
  <c r="E26" i="43" s="1"/>
  <c r="G26" i="43" s="1"/>
  <c r="H13" i="2"/>
  <c r="E40" i="43" s="1"/>
  <c r="G40" i="43" s="1"/>
  <c r="H21" i="2"/>
  <c r="Q14" i="42" s="1"/>
  <c r="H10" i="2"/>
  <c r="E27" i="43" s="1"/>
  <c r="G27" i="43" s="1"/>
  <c r="H18" i="2"/>
  <c r="J18" i="2" s="1"/>
  <c r="K18" i="2" s="1"/>
  <c r="H17" i="2"/>
  <c r="H14" i="2"/>
  <c r="J14" i="2" s="1"/>
  <c r="K14" i="2" s="1"/>
  <c r="G64" i="6"/>
  <c r="Q12" i="42" l="1"/>
  <c r="R14" i="42"/>
  <c r="S14" i="42"/>
  <c r="J17" i="2"/>
  <c r="K17" i="2" s="1"/>
  <c r="Q8" i="42"/>
  <c r="Q10" i="42"/>
  <c r="J21" i="2"/>
  <c r="K21" i="2" s="1"/>
  <c r="J13" i="2"/>
  <c r="K13" i="2" s="1"/>
  <c r="F19" i="42"/>
  <c r="G19" i="42" s="1"/>
  <c r="H19" i="42" s="1"/>
  <c r="F20" i="42"/>
  <c r="G20" i="42" s="1"/>
  <c r="H20" i="42" s="1"/>
  <c r="F15" i="42"/>
  <c r="G15" i="42" s="1"/>
  <c r="H15" i="42" s="1"/>
  <c r="F16" i="42"/>
  <c r="G16" i="42" s="1"/>
  <c r="H16" i="42" s="1"/>
  <c r="F23" i="42"/>
  <c r="G23" i="42" s="1"/>
  <c r="H23" i="42" s="1"/>
  <c r="E54" i="43"/>
  <c r="G54" i="43" s="1"/>
  <c r="F17" i="42"/>
  <c r="G17" i="42" s="1"/>
  <c r="H17" i="42" s="1"/>
  <c r="G28" i="43"/>
  <c r="J10" i="2"/>
  <c r="K10" i="2" s="1"/>
  <c r="F12" i="42"/>
  <c r="G12" i="42" s="1"/>
  <c r="H12" i="42" s="1"/>
  <c r="F22" i="42"/>
  <c r="G22" i="42" s="1"/>
  <c r="H22" i="42" s="1"/>
  <c r="F13" i="42"/>
  <c r="G13" i="42" s="1"/>
  <c r="H13" i="42" s="1"/>
  <c r="F21" i="42"/>
  <c r="G21" i="42" s="1"/>
  <c r="H21" i="42" s="1"/>
  <c r="F14" i="42"/>
  <c r="G14" i="42" s="1"/>
  <c r="H14" i="42" s="1"/>
  <c r="F18" i="42"/>
  <c r="G18" i="42" s="1"/>
  <c r="H18" i="42" s="1"/>
  <c r="E65" i="43"/>
  <c r="G65" i="43" s="1"/>
  <c r="F9" i="42"/>
  <c r="G9" i="42" s="1"/>
  <c r="H9" i="42" s="1"/>
  <c r="E41" i="43"/>
  <c r="G41" i="43" s="1"/>
  <c r="G42" i="43" s="1"/>
  <c r="F10" i="42"/>
  <c r="G10" i="42" s="1"/>
  <c r="H10" i="42" s="1"/>
  <c r="E53" i="43"/>
  <c r="G53" i="43" s="1"/>
  <c r="J9" i="2"/>
  <c r="K9" i="2" s="1"/>
  <c r="F11" i="42"/>
  <c r="G11" i="42" s="1"/>
  <c r="H11" i="42" s="1"/>
  <c r="S8" i="42" l="1"/>
  <c r="R8" i="42"/>
  <c r="S10" i="42"/>
  <c r="R10" i="42"/>
  <c r="S12" i="42"/>
  <c r="R12" i="42"/>
  <c r="G55" i="43"/>
  <c r="G7" i="43" s="1"/>
  <c r="G9" i="43" l="1"/>
  <c r="G11" i="43" s="1"/>
  <c r="O7" i="43"/>
</calcChain>
</file>

<file path=xl/sharedStrings.xml><?xml version="1.0" encoding="utf-8"?>
<sst xmlns="http://schemas.openxmlformats.org/spreadsheetml/2006/main" count="731" uniqueCount="377">
  <si>
    <t>Total Operating Expenses</t>
  </si>
  <si>
    <t>Taxes Other Than Income</t>
  </si>
  <si>
    <t>Salaries and Wages - Employees</t>
  </si>
  <si>
    <t>Salaries and Wages - Officers</t>
  </si>
  <si>
    <t>Employee Pensions and Benefits</t>
  </si>
  <si>
    <t>Purchased Water</t>
  </si>
  <si>
    <t>Purchased Power</t>
  </si>
  <si>
    <t>Materials and Supplies</t>
  </si>
  <si>
    <t>Contractual Services</t>
  </si>
  <si>
    <t>Miscellaneous Expenses</t>
  </si>
  <si>
    <t>Transportation Expenses</t>
  </si>
  <si>
    <t>Proposed</t>
  </si>
  <si>
    <t>Total</t>
  </si>
  <si>
    <t>Gallons</t>
  </si>
  <si>
    <t>Operating Revenues</t>
  </si>
  <si>
    <t>Sales for Resale</t>
  </si>
  <si>
    <t>Other Water Revenues:</t>
  </si>
  <si>
    <t>Total Operating Revenues</t>
  </si>
  <si>
    <t>Operating Expenses</t>
  </si>
  <si>
    <t>Depreciation Expense</t>
  </si>
  <si>
    <t>Plus:</t>
  </si>
  <si>
    <t>Less:</t>
  </si>
  <si>
    <t>Other Operating Revenue</t>
  </si>
  <si>
    <t>Existing</t>
  </si>
  <si>
    <t>Change</t>
  </si>
  <si>
    <t>1"</t>
  </si>
  <si>
    <t>2"</t>
  </si>
  <si>
    <t>Table A</t>
  </si>
  <si>
    <t>SCHEDULE OF ADJUSTED OPERATIONS</t>
  </si>
  <si>
    <t>Test Year</t>
  </si>
  <si>
    <t>Adjustments</t>
  </si>
  <si>
    <t>Ref.</t>
  </si>
  <si>
    <t>Proforma</t>
  </si>
  <si>
    <t>Operation and Maintenance</t>
  </si>
  <si>
    <t>Insurance - Gen. Liab. &amp; Workers Comp.</t>
  </si>
  <si>
    <t>Total Operation and Mnt. Expenses</t>
  </si>
  <si>
    <t>Total Utility Operating Income</t>
  </si>
  <si>
    <t>Pro Forma Operating Expenses</t>
  </si>
  <si>
    <t>Adjustment</t>
  </si>
  <si>
    <t>Forfeited Discounts</t>
  </si>
  <si>
    <t>Total Metered Retail Sales</t>
  </si>
  <si>
    <t>DEPRECIATION EXPENSE ADJUSTMENTS</t>
  </si>
  <si>
    <t>Depreciation</t>
  </si>
  <si>
    <t>Date in</t>
  </si>
  <si>
    <t>Original</t>
  </si>
  <si>
    <t>Expense</t>
  </si>
  <si>
    <t>Service</t>
  </si>
  <si>
    <t>Life</t>
  </si>
  <si>
    <t>Depr. Exp.</t>
  </si>
  <si>
    <t>SUMMARY</t>
  </si>
  <si>
    <t>USAGE</t>
  </si>
  <si>
    <t>BILLS</t>
  </si>
  <si>
    <t>GALLONS</t>
  </si>
  <si>
    <t>TOTAL</t>
  </si>
  <si>
    <t>RATE</t>
  </si>
  <si>
    <t>REVENUE</t>
  </si>
  <si>
    <t>CURRENT AND PROPOSED RATES</t>
  </si>
  <si>
    <t>Private Fire Protection</t>
  </si>
  <si>
    <t>Insurance - Other</t>
  </si>
  <si>
    <t>Bad Debt</t>
  </si>
  <si>
    <t>Revenue Required From Sales of Water</t>
  </si>
  <si>
    <t>Revenue from Sales with Present Rates</t>
  </si>
  <si>
    <t>Total Revenue Requirement</t>
  </si>
  <si>
    <t>Required Revenue Increase</t>
  </si>
  <si>
    <t>Percent Increase</t>
  </si>
  <si>
    <t>various</t>
  </si>
  <si>
    <t>Meter</t>
  </si>
  <si>
    <t>Difference</t>
  </si>
  <si>
    <t>Bill</t>
  </si>
  <si>
    <t>Percentage</t>
  </si>
  <si>
    <t>Size</t>
  </si>
  <si>
    <t>EXISTING AND PROPOSED BILLS</t>
  </si>
  <si>
    <t>MONTHLY</t>
  </si>
  <si>
    <t>EMPLOYEE</t>
  </si>
  <si>
    <t xml:space="preserve">WATER DIST </t>
  </si>
  <si>
    <t>PREMIUM</t>
  </si>
  <si>
    <t>ANNUAL</t>
  </si>
  <si>
    <t>Employer</t>
  </si>
  <si>
    <t>Share</t>
  </si>
  <si>
    <t>Premium</t>
  </si>
  <si>
    <t>Medical Insurance Adjustment</t>
  </si>
  <si>
    <t>CONTRIB</t>
  </si>
  <si>
    <t>CONTRIB %</t>
  </si>
  <si>
    <t>TOTALS</t>
  </si>
  <si>
    <t>TABLE C</t>
  </si>
  <si>
    <t>per Month*</t>
  </si>
  <si>
    <t>* Highlighted usage represents the average residential bill.</t>
  </si>
  <si>
    <t>Chemicals</t>
  </si>
  <si>
    <t>Salaries &amp; Wages and Associated Adjustments</t>
  </si>
  <si>
    <t>Pro Forma</t>
  </si>
  <si>
    <t xml:space="preserve">Pro Forma </t>
  </si>
  <si>
    <t>Employee</t>
  </si>
  <si>
    <t>Reg. Hrs</t>
  </si>
  <si>
    <t>O. T. Hours</t>
  </si>
  <si>
    <t>Wage Rate</t>
  </si>
  <si>
    <t>Reg. Wages</t>
  </si>
  <si>
    <t>O. T. Wages</t>
  </si>
  <si>
    <t>Wages</t>
  </si>
  <si>
    <t>Pro Forma Salaries &amp; Wages Expense</t>
  </si>
  <si>
    <t>Less: Test Year Salaries &amp; Wages Exp</t>
  </si>
  <si>
    <t>Pro Forma Salaries &amp; Wages Adj'mt</t>
  </si>
  <si>
    <t xml:space="preserve"> </t>
  </si>
  <si>
    <t>Pro Forma Salaries and Wages Expense</t>
  </si>
  <si>
    <t>Times: 7.65 Percent FICA Rate</t>
  </si>
  <si>
    <t>Pro Forma Payroll Taxes</t>
  </si>
  <si>
    <t>Less: Test Year Payroll Taxes</t>
  </si>
  <si>
    <t>Payroll Tax Adjustment</t>
  </si>
  <si>
    <t>Total Pro Forma Pension Contribution</t>
  </si>
  <si>
    <t>Less: Test Year Pension Contribution</t>
  </si>
  <si>
    <t>Pension &amp; Benefits Adjustment</t>
  </si>
  <si>
    <t>per month</t>
  </si>
  <si>
    <t>1 Inch Meter</t>
  </si>
  <si>
    <t>2 Inch Meter</t>
  </si>
  <si>
    <t>COMPONENT</t>
  </si>
  <si>
    <t>1 INCH METER</t>
  </si>
  <si>
    <t>2 INCH METER</t>
  </si>
  <si>
    <t>Less Adjustments</t>
  </si>
  <si>
    <t xml:space="preserve">Total  </t>
  </si>
  <si>
    <t>Medical Adjustment</t>
  </si>
  <si>
    <t>Reported</t>
  </si>
  <si>
    <t>Asset</t>
  </si>
  <si>
    <t>Cost *</t>
  </si>
  <si>
    <t>General Plant</t>
  </si>
  <si>
    <t>Structures &amp; Improvements</t>
  </si>
  <si>
    <t>varies</t>
  </si>
  <si>
    <t>Communication &amp; Computer Eqmt.</t>
  </si>
  <si>
    <t>Office Furniture &amp; Equipment</t>
  </si>
  <si>
    <t>Power Operated Equipment</t>
  </si>
  <si>
    <t>Tools, Shop, &amp; Garage Equipment</t>
  </si>
  <si>
    <t>Tank Repairs &amp; Painting</t>
  </si>
  <si>
    <t>Pumping Plant</t>
  </si>
  <si>
    <t>Telemetry</t>
  </si>
  <si>
    <t>Pumping Equipment</t>
  </si>
  <si>
    <t>Transmission &amp; Distribution Plant</t>
  </si>
  <si>
    <t>Hydrants</t>
  </si>
  <si>
    <t>Transmission &amp; Distribution Mains</t>
  </si>
  <si>
    <t>Meter Installations</t>
  </si>
  <si>
    <t>Meter Change-outs</t>
  </si>
  <si>
    <t>Pump Equipment</t>
  </si>
  <si>
    <t>Tank Fence</t>
  </si>
  <si>
    <t>Services</t>
  </si>
  <si>
    <t>Reservoirs &amp; Tanks</t>
  </si>
  <si>
    <t>Transportation Equipment</t>
  </si>
  <si>
    <t>Entire Group</t>
  </si>
  <si>
    <t>Water Treatment Plant</t>
  </si>
  <si>
    <t xml:space="preserve">              *  Includes only costs associated with assets that contributed to depreciation expense in the test year.</t>
  </si>
  <si>
    <t>Table B</t>
  </si>
  <si>
    <t>DEBT SERVICE SCHDULE</t>
  </si>
  <si>
    <t>CY 2024</t>
  </si>
  <si>
    <t>CY 2025</t>
  </si>
  <si>
    <t>CY 2026</t>
  </si>
  <si>
    <t>Interest</t>
  </si>
  <si>
    <t>Principal</t>
  </si>
  <si>
    <t>&amp; Fees</t>
  </si>
  <si>
    <t>Average Annual Principal &amp; Interest</t>
  </si>
  <si>
    <t>Average Annual Coverage</t>
  </si>
  <si>
    <t>Average Annual Principal and Interest Payments</t>
  </si>
  <si>
    <t>Additional Working Capital</t>
  </si>
  <si>
    <t>DISTRICT'S</t>
  </si>
  <si>
    <t>Allowable</t>
  </si>
  <si>
    <t>TOTAL MEDICAL AND DENTAL INSURANCE</t>
  </si>
  <si>
    <t>Total Gross Wages</t>
  </si>
  <si>
    <t>Gross Wages for Full Time Employees CERS Eligible</t>
  </si>
  <si>
    <t>Produced &amp; Purchased</t>
  </si>
  <si>
    <t>Sold</t>
  </si>
  <si>
    <t>Uses:</t>
  </si>
  <si>
    <t xml:space="preserve">  WTP</t>
  </si>
  <si>
    <t xml:space="preserve">  Flushing</t>
  </si>
  <si>
    <t xml:space="preserve">  Fire</t>
  </si>
  <si>
    <t>Tank O.F.</t>
  </si>
  <si>
    <t>Line Brks.</t>
  </si>
  <si>
    <t>Line Leaks</t>
  </si>
  <si>
    <t xml:space="preserve">  water loss percentage</t>
  </si>
  <si>
    <t xml:space="preserve">  allowable in rates</t>
  </si>
  <si>
    <t xml:space="preserve">  adjustment percentage</t>
  </si>
  <si>
    <t>Other</t>
  </si>
  <si>
    <t>TABLE D</t>
  </si>
  <si>
    <t>Miscellaneous Service Revenues</t>
  </si>
  <si>
    <t>Current</t>
  </si>
  <si>
    <t>Location</t>
  </si>
  <si>
    <t>Non-Utility Income</t>
  </si>
  <si>
    <t>5/8 Inch Meter</t>
  </si>
  <si>
    <t>per gallon</t>
  </si>
  <si>
    <t>First</t>
  </si>
  <si>
    <t>Over</t>
  </si>
  <si>
    <t>5/8"</t>
  </si>
  <si>
    <t>5/8 INCH METER</t>
  </si>
  <si>
    <t>MEDICAL</t>
  </si>
  <si>
    <t>DENTAL</t>
  </si>
  <si>
    <t>REVENUE BY RATE INCREMENT</t>
  </si>
  <si>
    <t>CONSUMPTION BY RATE INCREMENT</t>
  </si>
  <si>
    <t>Debt service on promissory note.</t>
  </si>
  <si>
    <t>Total Retail Sales</t>
  </si>
  <si>
    <t>Sheet ExBA Cell G11</t>
  </si>
  <si>
    <t>Sheet Debt Service Cell M22</t>
  </si>
  <si>
    <t>Sheet Debt Service Cell M24</t>
  </si>
  <si>
    <t>A</t>
  </si>
  <si>
    <t>Costs Subject to Water Loss Adjustment</t>
  </si>
  <si>
    <t>REVENUE REQUIREMENTS USING DEBT SERVICE COVERAGE METHOD</t>
  </si>
  <si>
    <t>REVENUE REQUIREMENTS USING OPERATING RATIO METHOD</t>
  </si>
  <si>
    <t>Divided by:  Operating Ratio</t>
  </si>
  <si>
    <t xml:space="preserve">  Subtotal</t>
  </si>
  <si>
    <t>Interest Expense</t>
  </si>
  <si>
    <t>Interest Only</t>
  </si>
  <si>
    <t>Sheet Debt Service Cell M29</t>
  </si>
  <si>
    <t>Interest on promissory note.</t>
  </si>
  <si>
    <t>Sheet Wages Cell H27</t>
  </si>
  <si>
    <t>Other Water Revenues</t>
  </si>
  <si>
    <t xml:space="preserve">     Legal</t>
  </si>
  <si>
    <t xml:space="preserve">     Water Testing</t>
  </si>
  <si>
    <t>Insurance - Worker's Compensation</t>
  </si>
  <si>
    <t xml:space="preserve">     Accounting</t>
  </si>
  <si>
    <t xml:space="preserve">     Other</t>
  </si>
  <si>
    <t>Gains(Losses) from disposition of property</t>
  </si>
  <si>
    <t>Decrease expense due to greater than 15 % water loss</t>
  </si>
  <si>
    <t>References</t>
  </si>
  <si>
    <t>Adjustment to revenues to match billing analysis with current rates.</t>
  </si>
  <si>
    <t>Various</t>
  </si>
  <si>
    <t>Tank Painting &amp; Repairs</t>
  </si>
  <si>
    <t>1/1/2022 - 12/31/22</t>
  </si>
  <si>
    <t>2022 Depreciation adjusted to allowed lives</t>
  </si>
  <si>
    <t xml:space="preserve">TOTALS for Depreciation Expense 2022  </t>
  </si>
  <si>
    <t>Decrease Medical insurance premiums to allowed amount.</t>
  </si>
  <si>
    <t>Sheet Depreciation Cell K42</t>
  </si>
  <si>
    <t>North Mercer Water District</t>
  </si>
  <si>
    <t>Bulk Rate</t>
  </si>
  <si>
    <t>per Gallon</t>
  </si>
  <si>
    <t>Bulk loading station</t>
  </si>
  <si>
    <t>Bulk</t>
  </si>
  <si>
    <t>Delta Dental</t>
  </si>
  <si>
    <t>Monthly</t>
  </si>
  <si>
    <t>Bi-monthly</t>
  </si>
  <si>
    <t>COMMISIONERS</t>
  </si>
  <si>
    <t>Five current Commissioners</t>
  </si>
  <si>
    <t>Sheet Wages Cell I57</t>
  </si>
  <si>
    <t>Residential</t>
  </si>
  <si>
    <t>Commercial</t>
  </si>
  <si>
    <t>Bulk Loading Stations</t>
  </si>
  <si>
    <t>Public Authorities</t>
  </si>
  <si>
    <t>Water</t>
  </si>
  <si>
    <t>Pro forma Revenue Requirement from water rates</t>
  </si>
  <si>
    <t>CY 2027</t>
  </si>
  <si>
    <t>Case 2010-154</t>
  </si>
  <si>
    <t>Case 2011-171</t>
  </si>
  <si>
    <t>Case 2011-170</t>
  </si>
  <si>
    <t>Case 2016-0355</t>
  </si>
  <si>
    <t>Case 2021-317</t>
  </si>
  <si>
    <t>Sheet Wages Cell I40</t>
  </si>
  <si>
    <t xml:space="preserve">2010C </t>
  </si>
  <si>
    <t>Series D (91-10)</t>
  </si>
  <si>
    <t>Series A (91-11)</t>
  </si>
  <si>
    <t>2016 D</t>
  </si>
  <si>
    <t>2022</t>
  </si>
  <si>
    <t>5 yr Average Interest Only</t>
  </si>
  <si>
    <t xml:space="preserve">Approved </t>
  </si>
  <si>
    <t>B</t>
  </si>
  <si>
    <t>C</t>
  </si>
  <si>
    <t>CERS</t>
  </si>
  <si>
    <t>Pension Rates</t>
  </si>
  <si>
    <t>%</t>
  </si>
  <si>
    <t xml:space="preserve">Pension </t>
  </si>
  <si>
    <t>Contribution</t>
  </si>
  <si>
    <t>July - Dec 2023</t>
  </si>
  <si>
    <t>Jan - June 2023</t>
  </si>
  <si>
    <t>Commissioners Salaries</t>
  </si>
  <si>
    <t>TOTAL WAGES</t>
  </si>
  <si>
    <t>2023 Commissioners</t>
  </si>
  <si>
    <t>Payroll &amp; Other Taxes</t>
  </si>
  <si>
    <t>604.1</t>
  </si>
  <si>
    <t>Payroll Taxes - Fica</t>
  </si>
  <si>
    <t>604.5</t>
  </si>
  <si>
    <t>PSC Assessment</t>
  </si>
  <si>
    <t>Total [7610]</t>
  </si>
  <si>
    <t>Income from Leased utility plant</t>
  </si>
  <si>
    <t>Interest and Dividend Income</t>
  </si>
  <si>
    <t>Less Allowable Employer Premium</t>
  </si>
  <si>
    <t>Sheet Medical Cell C41</t>
  </si>
  <si>
    <t>Pension &amp; Benefits</t>
  </si>
  <si>
    <t>604</t>
  </si>
  <si>
    <t>Health Insurance</t>
  </si>
  <si>
    <t>604.21</t>
  </si>
  <si>
    <t>Ky Retirement System Pension</t>
  </si>
  <si>
    <t>604.3</t>
  </si>
  <si>
    <t>Amounts related to GASB 68 Pension liability</t>
  </si>
  <si>
    <t>604.4</t>
  </si>
  <si>
    <t>Life Insurance</t>
  </si>
  <si>
    <t>Amounts related to GASB 75 OPEB liability</t>
  </si>
  <si>
    <t>604.6</t>
  </si>
  <si>
    <t>S/T Disability Insurance</t>
  </si>
  <si>
    <t>Subtotal [7330]</t>
  </si>
  <si>
    <t>2021 Pension &amp; Benefits</t>
  </si>
  <si>
    <t>Sheet Wages Cell I28</t>
  </si>
  <si>
    <t>D</t>
  </si>
  <si>
    <t>E</t>
  </si>
  <si>
    <t>Decrease allowable Health and Dental insurance reflecting PSC policy.</t>
  </si>
  <si>
    <t>F</t>
  </si>
  <si>
    <t>G</t>
  </si>
  <si>
    <t>H</t>
  </si>
  <si>
    <t>I</t>
  </si>
  <si>
    <t>J</t>
  </si>
  <si>
    <t>BA</t>
  </si>
  <si>
    <t>Additions to KY Retirement System Pension related to Change in Pension &amp; OPEB Liabilities included in $257,636</t>
  </si>
  <si>
    <t>Eligible wages times July - Dec 2023 CERS pension Rate</t>
  </si>
  <si>
    <t>** FYI O.R. method not used **</t>
  </si>
  <si>
    <t>Bulk machine</t>
  </si>
  <si>
    <t>80 gallons</t>
  </si>
  <si>
    <t>70 gallons</t>
  </si>
  <si>
    <t>Adjust wages to current wage rates and additional employee.</t>
  </si>
  <si>
    <t>Increase taxes to 2023 wage rates.</t>
  </si>
  <si>
    <t>2022 PSC annual report</t>
  </si>
  <si>
    <t>The PSC requires adjustments to a water utility's depreciation expense when asset lives fall outside the ranges recommended by NARUC in its publication titled "Depreciation Practices for small utilities".  Therefore, adjustments are included to bring asset lives to the midpoint of the recommended ranges, depreciation expense was reduced by $65,049. See Table A.</t>
  </si>
  <si>
    <t>2022 officers wages</t>
  </si>
  <si>
    <t>2022 Water Loss Adjustment</t>
  </si>
  <si>
    <t xml:space="preserve">  Other - test Bench</t>
  </si>
  <si>
    <t>TOTAL USES</t>
  </si>
  <si>
    <t>The utility's test year water loss was 18.91 percent. The PSC's maximum allowable loss for rate-making purposes in 15.0 percent. Therefore, the expenses for purchased water and purchased power above the 15 percent limit is not allowed in the rate base and must be deducted. Purchased water  expense was decreased by $36,400 and Purchased power expense was decreased by $1,386.</t>
  </si>
  <si>
    <t>2022 Annual report</t>
  </si>
  <si>
    <t>CY 2028</t>
  </si>
  <si>
    <t>CY 2024 - 2028</t>
  </si>
  <si>
    <t>BILLING ANALYSIS WITH 2022 USAGE &amp; EXISTING RATES</t>
  </si>
  <si>
    <t>CUSTOMER ACTIVITY REPORT 2022</t>
  </si>
  <si>
    <t>2022 AR</t>
  </si>
  <si>
    <t>From PSC 2022 Annual Report</t>
  </si>
  <si>
    <t>AR 2022 gallons</t>
  </si>
  <si>
    <t>Jan</t>
  </si>
  <si>
    <t>Feb</t>
  </si>
  <si>
    <t>Mar</t>
  </si>
  <si>
    <t>Apr</t>
  </si>
  <si>
    <t>May</t>
  </si>
  <si>
    <t>Jun</t>
  </si>
  <si>
    <t>Jul</t>
  </si>
  <si>
    <t>Aug</t>
  </si>
  <si>
    <t>Sep</t>
  </si>
  <si>
    <t>Oct</t>
  </si>
  <si>
    <t>Nov</t>
  </si>
  <si>
    <t>Dec</t>
  </si>
  <si>
    <t>Double time</t>
  </si>
  <si>
    <t>Double Time</t>
  </si>
  <si>
    <t>Hours</t>
  </si>
  <si>
    <t>2022 Health &amp; Dental expense</t>
  </si>
  <si>
    <t>2022 AR taxes other than income</t>
  </si>
  <si>
    <t>2022 GALLONS</t>
  </si>
  <si>
    <t>PROPOSED BILLING ANALYSIS WITH 2022 USAGE &amp; PROPOSED RATES</t>
  </si>
  <si>
    <t>Since 2022, there have been increase in wage rates, employee turnover and an additional employee, resulting in an annual wage increase of $72,452.</t>
  </si>
  <si>
    <t>Officers salaries increase by $398 to reflect five current Commissioners. There was a vacancy on the Board for part of 2022.</t>
  </si>
  <si>
    <t>Decrease in pension benefits to reflect change in salaries and current contribution rates.</t>
  </si>
  <si>
    <t>Decrease in retirement contribution rate.</t>
  </si>
  <si>
    <t>Increased wages results in an increase to payroll taxes of $3,454.</t>
  </si>
  <si>
    <t>Revenue requirements were computed using the Debt Service Coverage Method.  Annual debt service payments for the utility's debt are shown in Table B. the five-year average of these payments $457,552 is added in the revenue requirement calculation.</t>
  </si>
  <si>
    <t>The amount of $91,510 is included in the revenue requirement as additional working capital.  The amount shown in Table B for coverage on long term debt is required by the utility's loan documents.</t>
  </si>
  <si>
    <t>K</t>
  </si>
  <si>
    <t>Adjustment to SAO Billed Revenues</t>
  </si>
  <si>
    <t>Customer activity report 2022 (water adjustments) Cell D81</t>
  </si>
  <si>
    <t>one-time interest earnings recognized on interim financing payoff</t>
  </si>
  <si>
    <t>Decrease due to $7,876 one-time interest earnings recognized on interim financing payoff</t>
  </si>
  <si>
    <t>Increase due to supplier increase calculated by PSC in case No. 2023-00268</t>
  </si>
  <si>
    <t>L</t>
  </si>
  <si>
    <t xml:space="preserve">Increase in purchased water expense due to supplieirs rate increase. $121,118 calculated by PSC in case 2023-00268. </t>
  </si>
  <si>
    <t>Rates effective 9/8/23 case 23-268</t>
  </si>
  <si>
    <t>Effect of proposed increase on average bill for each customer classification</t>
  </si>
  <si>
    <t>Average Gallons</t>
  </si>
  <si>
    <t xml:space="preserve">Proposed </t>
  </si>
  <si>
    <t>$</t>
  </si>
  <si>
    <t>per Month</t>
  </si>
  <si>
    <t>Water Bill</t>
  </si>
  <si>
    <t>Increase</t>
  </si>
  <si>
    <t>Bulk loading</t>
  </si>
  <si>
    <t>(quarters only)</t>
  </si>
  <si>
    <t>Adjust sales to test year BA rates effective 9/8/23 2023-268.</t>
  </si>
  <si>
    <t>Customer activity report 2022 (water adjustments)</t>
  </si>
  <si>
    <t>3 (part time 20 hrs/month)</t>
  </si>
  <si>
    <t xml:space="preserve">Employee </t>
  </si>
  <si>
    <t>Date</t>
  </si>
  <si>
    <t>Hired</t>
  </si>
  <si>
    <t>Commisioner</t>
  </si>
  <si>
    <t>Commissioner(appointed in 2022)</t>
  </si>
  <si>
    <t>13 (hired 1/8/24)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</si>
</sst>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
    <numFmt numFmtId="168" formatCode="_(* #,##0.0_);_(* \(#,##0.0\);_(* &quot;-&quot;??_);_(@_)"/>
    <numFmt numFmtId="169" formatCode="mm/dd/yy;@"/>
    <numFmt numFmtId="170" formatCode="_([$$-409]* #,##0_);_([$$-409]* \(#,##0\);_([$$-409]* &quot;-&quot;??_);_(@_)"/>
    <numFmt numFmtId="171" formatCode="[$$-409]#,##0"/>
    <numFmt numFmtId="172" formatCode="_(* #,##0.0000_);_(* \(#,##0.0000\);_(* &quot;-&quot;??_);_(@_)"/>
    <numFmt numFmtId="173" formatCode="&quot;$&quot;#,##0.00000"/>
  </numFmts>
  <fonts count="37" x14ac:knownFonts="1">
    <font>
      <sz val="12"/>
      <name val="Arial"/>
    </font>
    <font>
      <sz val="12"/>
      <name val="Arial"/>
      <family val="2"/>
    </font>
    <font>
      <sz val="12"/>
      <name val="Arial"/>
      <family val="2"/>
    </font>
    <font>
      <sz val="11"/>
      <name val="Calibri"/>
      <family val="2"/>
      <scheme val="minor"/>
    </font>
    <font>
      <b/>
      <sz val="14"/>
      <name val="Calibri"/>
      <family val="2"/>
      <scheme val="minor"/>
    </font>
    <font>
      <b/>
      <u/>
      <sz val="14"/>
      <name val="Calibri"/>
      <family val="2"/>
      <scheme val="minor"/>
    </font>
    <font>
      <u/>
      <sz val="11"/>
      <name val="Calibri"/>
      <family val="2"/>
      <scheme val="minor"/>
    </font>
    <font>
      <b/>
      <sz val="11"/>
      <name val="Calibri"/>
      <family val="2"/>
      <scheme val="minor"/>
    </font>
    <font>
      <b/>
      <u/>
      <sz val="11"/>
      <name val="Calibri"/>
      <family val="2"/>
      <scheme val="minor"/>
    </font>
    <font>
      <u val="singleAccounting"/>
      <sz val="11"/>
      <name val="Calibri"/>
      <family val="2"/>
      <scheme val="minor"/>
    </font>
    <font>
      <b/>
      <u val="singleAccounting"/>
      <sz val="11"/>
      <name val="Calibri"/>
      <family val="2"/>
      <scheme val="minor"/>
    </font>
    <font>
      <b/>
      <sz val="12"/>
      <name val="Calibri"/>
      <family val="2"/>
      <scheme val="minor"/>
    </font>
    <font>
      <sz val="8"/>
      <color rgb="FFFF0000"/>
      <name val="Calibri"/>
      <family val="2"/>
      <scheme val="minor"/>
    </font>
    <font>
      <b/>
      <sz val="11"/>
      <color rgb="FFFF0000"/>
      <name val="Calibri"/>
      <family val="2"/>
      <scheme val="minor"/>
    </font>
    <font>
      <b/>
      <sz val="8"/>
      <color rgb="FF00B050"/>
      <name val="Calibri"/>
      <family val="2"/>
      <scheme val="minor"/>
    </font>
    <font>
      <sz val="11"/>
      <color theme="1"/>
      <name val="Calibri"/>
      <family val="2"/>
      <scheme val="minor"/>
    </font>
    <font>
      <b/>
      <sz val="11"/>
      <color theme="1"/>
      <name val="Calibri"/>
      <family val="2"/>
      <scheme val="minor"/>
    </font>
    <font>
      <b/>
      <sz val="11"/>
      <color rgb="FF00B050"/>
      <name val="Calibri"/>
      <family val="2"/>
      <scheme val="minor"/>
    </font>
    <font>
      <sz val="8"/>
      <name val="Calibri"/>
      <family val="2"/>
      <scheme val="minor"/>
    </font>
    <font>
      <u/>
      <sz val="11"/>
      <color theme="1"/>
      <name val="Calibri"/>
      <family val="2"/>
      <scheme val="minor"/>
    </font>
    <font>
      <b/>
      <sz val="16"/>
      <name val="Calibri"/>
      <family val="2"/>
      <scheme val="minor"/>
    </font>
    <font>
      <sz val="11"/>
      <color rgb="FFFF0000"/>
      <name val="Calibri"/>
      <family val="2"/>
      <scheme val="minor"/>
    </font>
    <font>
      <b/>
      <u/>
      <sz val="11"/>
      <color theme="1"/>
      <name val="Calibri"/>
      <family val="2"/>
      <scheme val="minor"/>
    </font>
    <font>
      <sz val="12"/>
      <name val="Calibri"/>
      <family val="2"/>
      <scheme val="minor"/>
    </font>
    <font>
      <u/>
      <sz val="12"/>
      <color theme="10"/>
      <name val="Arial"/>
      <family val="2"/>
    </font>
    <font>
      <sz val="11"/>
      <name val="Calibri"/>
      <family val="2"/>
    </font>
    <font>
      <sz val="8"/>
      <name val="Arial"/>
      <family val="2"/>
    </font>
    <font>
      <sz val="11"/>
      <color theme="0"/>
      <name val="Calibri"/>
      <family val="2"/>
      <scheme val="minor"/>
    </font>
    <font>
      <b/>
      <sz val="11"/>
      <name val="Calibri"/>
      <family val="2"/>
    </font>
    <font>
      <sz val="11"/>
      <name val="Arial"/>
      <family val="2"/>
    </font>
    <font>
      <u val="singleAccounting"/>
      <sz val="11"/>
      <name val="Calibri"/>
      <family val="2"/>
    </font>
    <font>
      <b/>
      <sz val="10"/>
      <color indexed="8"/>
      <name val="Arial"/>
      <family val="2"/>
    </font>
    <font>
      <sz val="10"/>
      <name val="Arial"/>
      <family val="2"/>
    </font>
    <font>
      <b/>
      <sz val="10"/>
      <name val="Arial"/>
      <family val="2"/>
    </font>
    <font>
      <u val="singleAccounting"/>
      <sz val="11"/>
      <color theme="1"/>
      <name val="Times New Roman"/>
      <family val="2"/>
    </font>
    <font>
      <sz val="8"/>
      <name val="Arial"/>
    </font>
    <font>
      <u val="singleAccounting"/>
      <sz val="12"/>
      <name val="Arial"/>
      <family val="2"/>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indexed="22"/>
        <bgColor indexed="64"/>
      </patternFill>
    </fill>
    <fill>
      <patternFill patternType="solid">
        <fgColor theme="8" tint="0.59999389629810485"/>
        <bgColor indexed="64"/>
      </patternFill>
    </fill>
  </fills>
  <borders count="3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2">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43" fontId="15" fillId="0" borderId="0" applyFont="0" applyFill="0" applyBorder="0" applyAlignment="0" applyProtection="0"/>
    <xf numFmtId="44" fontId="15" fillId="0" borderId="0" applyFont="0" applyFill="0" applyBorder="0" applyAlignment="0" applyProtection="0"/>
    <xf numFmtId="0" fontId="24" fillId="0" borderId="0" applyNumberFormat="0" applyFill="0" applyBorder="0" applyAlignment="0" applyProtection="0"/>
    <xf numFmtId="40" fontId="31" fillId="6" borderId="0">
      <alignment horizontal="left"/>
    </xf>
    <xf numFmtId="0" fontId="32" fillId="0" borderId="0">
      <alignment horizontal="left"/>
    </xf>
    <xf numFmtId="0" fontId="32" fillId="0" borderId="0">
      <alignment horizontal="left"/>
    </xf>
    <xf numFmtId="40" fontId="32" fillId="0" borderId="0">
      <alignment horizontal="right"/>
    </xf>
    <xf numFmtId="40" fontId="33" fillId="0" borderId="0">
      <alignment horizontal="left"/>
    </xf>
    <xf numFmtId="40" fontId="33" fillId="0" borderId="0">
      <alignment horizontal="left"/>
    </xf>
    <xf numFmtId="40" fontId="33" fillId="0" borderId="22">
      <alignment horizontal="right"/>
    </xf>
    <xf numFmtId="40" fontId="33" fillId="0" borderId="0">
      <alignment horizontal="left"/>
    </xf>
    <xf numFmtId="40" fontId="33" fillId="0" borderId="0">
      <alignment horizontal="left"/>
    </xf>
    <xf numFmtId="40" fontId="33" fillId="0" borderId="23">
      <alignment horizontal="right"/>
    </xf>
  </cellStyleXfs>
  <cellXfs count="535">
    <xf numFmtId="0" fontId="0" fillId="0" borderId="0" xfId="0"/>
    <xf numFmtId="0" fontId="3" fillId="0" borderId="0" xfId="0" applyFont="1"/>
    <xf numFmtId="165" fontId="3" fillId="0" borderId="1" xfId="1" applyNumberFormat="1" applyFont="1" applyBorder="1"/>
    <xf numFmtId="165" fontId="3" fillId="0" borderId="0" xfId="1" applyNumberFormat="1" applyFont="1" applyBorder="1"/>
    <xf numFmtId="165" fontId="3" fillId="0" borderId="0" xfId="1" applyNumberFormat="1" applyFont="1"/>
    <xf numFmtId="165" fontId="3" fillId="0" borderId="2" xfId="1" applyNumberFormat="1" applyFont="1" applyBorder="1"/>
    <xf numFmtId="165" fontId="3" fillId="0" borderId="8" xfId="1" applyNumberFormat="1" applyFont="1" applyBorder="1"/>
    <xf numFmtId="43" fontId="3" fillId="0" borderId="0" xfId="1" applyFont="1"/>
    <xf numFmtId="165" fontId="9" fillId="0" borderId="0" xfId="1" applyNumberFormat="1" applyFont="1" applyBorder="1" applyAlignment="1">
      <alignment horizontal="center"/>
    </xf>
    <xf numFmtId="43" fontId="3" fillId="0" borderId="0" xfId="1" applyFont="1" applyBorder="1"/>
    <xf numFmtId="165" fontId="3" fillId="0" borderId="0" xfId="5" applyNumberFormat="1" applyFont="1"/>
    <xf numFmtId="165" fontId="3" fillId="0" borderId="7" xfId="5" applyNumberFormat="1" applyFont="1" applyBorder="1"/>
    <xf numFmtId="0" fontId="3" fillId="0" borderId="0" xfId="0" applyFont="1" applyAlignment="1">
      <alignment horizontal="center"/>
    </xf>
    <xf numFmtId="0" fontId="3" fillId="0" borderId="1" xfId="0" applyFont="1" applyBorder="1" applyAlignment="1">
      <alignment horizontal="center"/>
    </xf>
    <xf numFmtId="165" fontId="3" fillId="0" borderId="0" xfId="5" applyNumberFormat="1" applyFont="1" applyBorder="1"/>
    <xf numFmtId="164" fontId="3" fillId="0" borderId="0" xfId="0" applyNumberFormat="1" applyFont="1"/>
    <xf numFmtId="168" fontId="3" fillId="0" borderId="0" xfId="5" applyNumberFormat="1" applyFont="1" applyBorder="1"/>
    <xf numFmtId="168" fontId="8" fillId="0" borderId="0" xfId="5" applyNumberFormat="1" applyFont="1" applyBorder="1" applyAlignment="1">
      <alignment horizontal="center"/>
    </xf>
    <xf numFmtId="43" fontId="3" fillId="0" borderId="0" xfId="1" applyFont="1" applyBorder="1" applyAlignment="1"/>
    <xf numFmtId="165" fontId="9" fillId="0" borderId="0" xfId="5" applyNumberFormat="1" applyFont="1"/>
    <xf numFmtId="164" fontId="3" fillId="0" borderId="0" xfId="6" applyNumberFormat="1" applyFont="1"/>
    <xf numFmtId="165" fontId="6" fillId="0" borderId="0" xfId="1" applyNumberFormat="1" applyFont="1"/>
    <xf numFmtId="165" fontId="9" fillId="0" borderId="8" xfId="1" applyNumberFormat="1" applyFont="1" applyBorder="1" applyAlignment="1">
      <alignment horizontal="center"/>
    </xf>
    <xf numFmtId="3" fontId="4" fillId="0" borderId="0" xfId="0" applyNumberFormat="1" applyFont="1" applyAlignment="1">
      <alignment horizontal="center" vertical="center"/>
    </xf>
    <xf numFmtId="43" fontId="3" fillId="0" borderId="8" xfId="1" quotePrefix="1" applyFont="1" applyBorder="1" applyAlignment="1">
      <alignment horizontal="center"/>
    </xf>
    <xf numFmtId="0" fontId="3" fillId="0" borderId="8" xfId="0" applyFont="1" applyBorder="1" applyAlignment="1">
      <alignment horizontal="center"/>
    </xf>
    <xf numFmtId="165" fontId="3" fillId="2" borderId="0" xfId="1" applyNumberFormat="1" applyFont="1" applyFill="1" applyBorder="1"/>
    <xf numFmtId="43" fontId="3" fillId="2" borderId="8" xfId="1" quotePrefix="1" applyFont="1" applyFill="1" applyBorder="1" applyAlignment="1">
      <alignment horizontal="center"/>
    </xf>
    <xf numFmtId="164" fontId="3" fillId="0" borderId="0" xfId="6" applyNumberFormat="1" applyFont="1" applyBorder="1"/>
    <xf numFmtId="165" fontId="13" fillId="0" borderId="0" xfId="1" applyNumberFormat="1" applyFont="1"/>
    <xf numFmtId="44" fontId="3" fillId="0" borderId="0" xfId="10" applyFont="1"/>
    <xf numFmtId="165" fontId="9" fillId="0" borderId="0" xfId="1" applyNumberFormat="1" applyFont="1" applyBorder="1"/>
    <xf numFmtId="0" fontId="16" fillId="0" borderId="0" xfId="0" applyFont="1"/>
    <xf numFmtId="0" fontId="19" fillId="0" borderId="0" xfId="0" applyFont="1" applyAlignment="1">
      <alignment horizontal="center"/>
    </xf>
    <xf numFmtId="10" fontId="3" fillId="0" borderId="0" xfId="3" applyNumberFormat="1" applyFont="1" applyAlignment="1">
      <alignment horizontal="center"/>
    </xf>
    <xf numFmtId="44" fontId="3" fillId="0" borderId="0" xfId="0" applyNumberFormat="1" applyFont="1"/>
    <xf numFmtId="165" fontId="3" fillId="0" borderId="0" xfId="5" quotePrefix="1" applyNumberFormat="1" applyFont="1"/>
    <xf numFmtId="166" fontId="3" fillId="0" borderId="0" xfId="1" applyNumberFormat="1" applyFont="1" applyBorder="1" applyAlignment="1"/>
    <xf numFmtId="0" fontId="3" fillId="0" borderId="7" xfId="0" applyFont="1" applyBorder="1"/>
    <xf numFmtId="165" fontId="17" fillId="0" borderId="0" xfId="1" applyNumberFormat="1" applyFont="1"/>
    <xf numFmtId="165" fontId="3" fillId="0" borderId="0" xfId="1" applyNumberFormat="1" applyFont="1" applyAlignment="1">
      <alignment horizontal="centerContinuous" vertical="center"/>
    </xf>
    <xf numFmtId="165" fontId="3" fillId="0" borderId="0" xfId="1" applyNumberFormat="1" applyFont="1" applyAlignment="1">
      <alignment vertical="center"/>
    </xf>
    <xf numFmtId="165" fontId="8" fillId="0" borderId="0" xfId="1" applyNumberFormat="1" applyFont="1" applyAlignment="1">
      <alignment horizontal="center" vertical="center"/>
    </xf>
    <xf numFmtId="165" fontId="6" fillId="0" borderId="0" xfId="1" applyNumberFormat="1" applyFont="1" applyAlignment="1">
      <alignment vertical="center"/>
    </xf>
    <xf numFmtId="165" fontId="3" fillId="0" borderId="0" xfId="1" applyNumberFormat="1" applyFont="1" applyAlignment="1">
      <alignment horizontal="center" vertical="center"/>
    </xf>
    <xf numFmtId="165" fontId="12" fillId="0" borderId="0" xfId="1" applyNumberFormat="1" applyFont="1" applyAlignment="1">
      <alignment vertical="center"/>
    </xf>
    <xf numFmtId="165" fontId="14" fillId="0" borderId="0" xfId="1" applyNumberFormat="1" applyFont="1" applyAlignment="1">
      <alignment vertical="center"/>
    </xf>
    <xf numFmtId="165" fontId="18" fillId="0" borderId="0" xfId="1" applyNumberFormat="1" applyFont="1" applyAlignment="1">
      <alignment vertical="center"/>
    </xf>
    <xf numFmtId="165" fontId="7" fillId="0" borderId="0" xfId="1" applyNumberFormat="1" applyFont="1" applyAlignment="1">
      <alignment vertical="center"/>
    </xf>
    <xf numFmtId="165" fontId="3" fillId="0" borderId="0" xfId="1" applyNumberFormat="1" applyFont="1" applyAlignment="1">
      <alignment horizontal="center"/>
    </xf>
    <xf numFmtId="165" fontId="12" fillId="0" borderId="0" xfId="1" applyNumberFormat="1" applyFont="1" applyAlignment="1">
      <alignment horizontal="left"/>
    </xf>
    <xf numFmtId="165" fontId="12" fillId="0" borderId="0" xfId="1" applyNumberFormat="1" applyFont="1" applyAlignment="1">
      <alignment horizontal="center"/>
    </xf>
    <xf numFmtId="165" fontId="10" fillId="0" borderId="0" xfId="1" quotePrefix="1" applyNumberFormat="1" applyFont="1" applyAlignment="1">
      <alignment horizontal="center" vertical="center"/>
    </xf>
    <xf numFmtId="165" fontId="10" fillId="0" borderId="0" xfId="1" applyNumberFormat="1" applyFont="1" applyAlignment="1">
      <alignment horizontal="center" vertical="center"/>
    </xf>
    <xf numFmtId="165" fontId="3" fillId="0" borderId="0" xfId="1" applyNumberFormat="1" applyFont="1" applyAlignment="1"/>
    <xf numFmtId="10" fontId="3" fillId="0" borderId="0" xfId="3" applyNumberFormat="1" applyFont="1" applyAlignment="1">
      <alignment vertical="center"/>
    </xf>
    <xf numFmtId="165" fontId="3" fillId="0" borderId="0" xfId="5" applyNumberFormat="1" applyFont="1" applyBorder="1" applyAlignment="1">
      <alignment horizontal="center"/>
    </xf>
    <xf numFmtId="10" fontId="3" fillId="0" borderId="0" xfId="3" applyNumberFormat="1" applyFont="1" applyBorder="1" applyAlignment="1">
      <alignment vertical="center"/>
    </xf>
    <xf numFmtId="10" fontId="3" fillId="0" borderId="0" xfId="3" applyNumberFormat="1" applyFont="1" applyBorder="1"/>
    <xf numFmtId="43" fontId="3" fillId="0" borderId="0" xfId="5" applyFont="1"/>
    <xf numFmtId="165" fontId="3" fillId="0" borderId="8" xfId="5" applyNumberFormat="1" applyFont="1" applyBorder="1"/>
    <xf numFmtId="0" fontId="22" fillId="0" borderId="0" xfId="0" applyFont="1" applyAlignment="1">
      <alignment horizontal="center"/>
    </xf>
    <xf numFmtId="165" fontId="21" fillId="0" borderId="0" xfId="5" applyNumberFormat="1" applyFont="1"/>
    <xf numFmtId="170" fontId="3" fillId="0" borderId="0" xfId="0" applyNumberFormat="1" applyFont="1"/>
    <xf numFmtId="164" fontId="16" fillId="0" borderId="9" xfId="6" applyNumberFormat="1" applyFont="1" applyBorder="1"/>
    <xf numFmtId="43" fontId="3" fillId="0" borderId="0" xfId="1" applyFont="1" applyBorder="1" applyAlignment="1">
      <alignment horizontal="center"/>
    </xf>
    <xf numFmtId="166" fontId="3" fillId="0" borderId="0" xfId="1" applyNumberFormat="1" applyFont="1" applyBorder="1" applyAlignment="1">
      <alignment horizontal="center"/>
    </xf>
    <xf numFmtId="166" fontId="3" fillId="0" borderId="0" xfId="2" applyNumberFormat="1" applyFont="1" applyBorder="1"/>
    <xf numFmtId="0" fontId="6" fillId="0" borderId="0" xfId="0" applyFont="1"/>
    <xf numFmtId="0" fontId="3" fillId="0" borderId="3" xfId="0" applyFont="1" applyBorder="1"/>
    <xf numFmtId="0" fontId="3" fillId="0" borderId="5" xfId="0" applyFont="1" applyBorder="1"/>
    <xf numFmtId="0" fontId="3" fillId="0" borderId="0" xfId="1" applyNumberFormat="1" applyFont="1" applyBorder="1" applyAlignment="1"/>
    <xf numFmtId="0" fontId="3" fillId="0" borderId="0" xfId="1" applyNumberFormat="1" applyFont="1" applyBorder="1" applyAlignment="1">
      <alignment horizontal="center"/>
    </xf>
    <xf numFmtId="43" fontId="3" fillId="0" borderId="0" xfId="5" applyFont="1" applyFill="1"/>
    <xf numFmtId="37" fontId="3" fillId="0" borderId="0" xfId="0" applyNumberFormat="1" applyFont="1" applyAlignment="1">
      <alignment horizontal="center"/>
    </xf>
    <xf numFmtId="165" fontId="3" fillId="0" borderId="0" xfId="0" applyNumberFormat="1" applyFont="1"/>
    <xf numFmtId="165" fontId="9" fillId="0" borderId="0" xfId="5" applyNumberFormat="1" applyFont="1" applyBorder="1"/>
    <xf numFmtId="165" fontId="9" fillId="0" borderId="0" xfId="0" applyNumberFormat="1" applyFont="1"/>
    <xf numFmtId="3" fontId="3" fillId="0" borderId="0" xfId="0" applyNumberFormat="1" applyFont="1" applyAlignment="1">
      <alignment horizontal="right"/>
    </xf>
    <xf numFmtId="0" fontId="3" fillId="0" borderId="0" xfId="0" quotePrefix="1" applyFont="1"/>
    <xf numFmtId="0" fontId="3" fillId="0" borderId="0" xfId="0" applyFont="1" applyAlignment="1">
      <alignment horizontal="right"/>
    </xf>
    <xf numFmtId="0" fontId="3" fillId="0" borderId="0" xfId="0" applyFont="1" applyAlignment="1">
      <alignment horizontal="left"/>
    </xf>
    <xf numFmtId="165" fontId="3" fillId="0" borderId="0" xfId="1" applyNumberFormat="1" applyFont="1" applyBorder="1" applyAlignment="1"/>
    <xf numFmtId="165" fontId="4" fillId="0" borderId="0" xfId="1" applyNumberFormat="1" applyFont="1" applyBorder="1" applyAlignment="1">
      <alignment horizontal="center" vertical="center"/>
    </xf>
    <xf numFmtId="165" fontId="3" fillId="0" borderId="0" xfId="1" applyNumberFormat="1" applyFont="1" applyBorder="1" applyAlignment="1">
      <alignment horizontal="centerContinuous"/>
    </xf>
    <xf numFmtId="165" fontId="3" fillId="0" borderId="0" xfId="1" applyNumberFormat="1" applyFont="1" applyBorder="1" applyAlignment="1">
      <alignment horizontal="center"/>
    </xf>
    <xf numFmtId="165" fontId="0" fillId="0" borderId="0" xfId="1" applyNumberFormat="1" applyFont="1" applyBorder="1"/>
    <xf numFmtId="164" fontId="9" fillId="0" borderId="0" xfId="6" applyNumberFormat="1" applyFont="1" applyBorder="1"/>
    <xf numFmtId="44" fontId="3" fillId="0" borderId="0" xfId="0" applyNumberFormat="1" applyFont="1" applyAlignment="1">
      <alignment horizontal="center"/>
    </xf>
    <xf numFmtId="44" fontId="3" fillId="0" borderId="0" xfId="5" applyNumberFormat="1" applyFont="1" applyBorder="1"/>
    <xf numFmtId="44" fontId="9" fillId="0" borderId="0" xfId="5" applyNumberFormat="1" applyFont="1" applyBorder="1"/>
    <xf numFmtId="44" fontId="0" fillId="0" borderId="0" xfId="0" applyNumberFormat="1"/>
    <xf numFmtId="44" fontId="3" fillId="0" borderId="1" xfId="1" applyNumberFormat="1" applyFont="1" applyBorder="1"/>
    <xf numFmtId="44" fontId="11" fillId="0" borderId="7" xfId="0" applyNumberFormat="1" applyFont="1" applyBorder="1" applyAlignment="1">
      <alignment horizontal="center" vertical="center"/>
    </xf>
    <xf numFmtId="44" fontId="9" fillId="0" borderId="7" xfId="1" applyNumberFormat="1" applyFont="1" applyBorder="1" applyAlignment="1">
      <alignment horizontal="center"/>
    </xf>
    <xf numFmtId="44" fontId="3" fillId="0" borderId="7" xfId="1" applyNumberFormat="1" applyFont="1" applyBorder="1"/>
    <xf numFmtId="44" fontId="3" fillId="0" borderId="0" xfId="1" applyNumberFormat="1" applyFont="1"/>
    <xf numFmtId="44" fontId="9" fillId="0" borderId="0" xfId="1" applyNumberFormat="1" applyFont="1" applyBorder="1" applyAlignment="1">
      <alignment horizontal="center"/>
    </xf>
    <xf numFmtId="44" fontId="3" fillId="0" borderId="0" xfId="1" applyNumberFormat="1" applyFont="1" applyBorder="1"/>
    <xf numFmtId="44" fontId="3" fillId="0" borderId="0" xfId="2" applyFont="1" applyBorder="1"/>
    <xf numFmtId="0" fontId="7" fillId="0" borderId="0" xfId="0" applyFont="1"/>
    <xf numFmtId="165" fontId="3" fillId="0" borderId="0" xfId="9" applyNumberFormat="1" applyFont="1" applyFill="1" applyBorder="1"/>
    <xf numFmtId="165" fontId="9" fillId="0" borderId="0" xfId="9" applyNumberFormat="1" applyFont="1" applyFill="1" applyBorder="1"/>
    <xf numFmtId="0" fontId="1" fillId="0" borderId="0" xfId="4"/>
    <xf numFmtId="0" fontId="19" fillId="0" borderId="0" xfId="4" applyFont="1" applyAlignment="1">
      <alignment horizontal="center"/>
    </xf>
    <xf numFmtId="167" fontId="3" fillId="0" borderId="0" xfId="3" applyNumberFormat="1" applyFont="1" applyFill="1" applyBorder="1"/>
    <xf numFmtId="165" fontId="3" fillId="0" borderId="0" xfId="9" applyNumberFormat="1" applyFont="1" applyFill="1" applyBorder="1" applyAlignment="1">
      <alignment horizontal="center"/>
    </xf>
    <xf numFmtId="165" fontId="7" fillId="0" borderId="7" xfId="5" applyNumberFormat="1" applyFont="1" applyBorder="1" applyAlignment="1">
      <alignment horizontal="center"/>
    </xf>
    <xf numFmtId="3" fontId="3" fillId="0" borderId="0" xfId="0" applyNumberFormat="1" applyFont="1"/>
    <xf numFmtId="168" fontId="3" fillId="0" borderId="0" xfId="5" applyNumberFormat="1" applyFont="1" applyAlignment="1"/>
    <xf numFmtId="3" fontId="3" fillId="0" borderId="2" xfId="0" applyNumberFormat="1" applyFont="1" applyBorder="1"/>
    <xf numFmtId="168" fontId="3" fillId="0" borderId="2" xfId="5" applyNumberFormat="1" applyFont="1" applyBorder="1"/>
    <xf numFmtId="3" fontId="3" fillId="0" borderId="4" xfId="0" applyNumberFormat="1" applyFont="1" applyBorder="1"/>
    <xf numFmtId="3" fontId="3" fillId="0" borderId="7" xfId="0" applyNumberFormat="1" applyFont="1" applyBorder="1"/>
    <xf numFmtId="3" fontId="3" fillId="0" borderId="8" xfId="0" applyNumberFormat="1" applyFont="1" applyBorder="1"/>
    <xf numFmtId="168" fontId="3" fillId="0" borderId="0" xfId="5" applyNumberFormat="1" applyFont="1" applyBorder="1" applyAlignment="1"/>
    <xf numFmtId="3" fontId="8" fillId="0" borderId="0" xfId="0" applyNumberFormat="1" applyFont="1" applyAlignment="1">
      <alignment horizontal="center"/>
    </xf>
    <xf numFmtId="3" fontId="7" fillId="0" borderId="0" xfId="0" applyNumberFormat="1" applyFont="1" applyAlignment="1">
      <alignment horizontal="center"/>
    </xf>
    <xf numFmtId="168" fontId="8" fillId="0" borderId="0" xfId="5" applyNumberFormat="1" applyFont="1" applyBorder="1" applyAlignment="1">
      <alignment horizontal="centerContinuous"/>
    </xf>
    <xf numFmtId="3" fontId="8" fillId="0" borderId="0" xfId="0" applyNumberFormat="1" applyFont="1" applyAlignment="1">
      <alignment horizontal="centerContinuous"/>
    </xf>
    <xf numFmtId="44" fontId="10" fillId="0" borderId="0" xfId="0" applyNumberFormat="1" applyFont="1" applyAlignment="1">
      <alignment horizontal="center"/>
    </xf>
    <xf numFmtId="3" fontId="8" fillId="0" borderId="0" xfId="0" applyNumberFormat="1" applyFont="1"/>
    <xf numFmtId="169" fontId="3" fillId="0" borderId="0" xfId="0" applyNumberFormat="1" applyFont="1" applyAlignment="1">
      <alignment horizontal="center"/>
    </xf>
    <xf numFmtId="168" fontId="3" fillId="0" borderId="0" xfId="5" applyNumberFormat="1" applyFont="1" applyBorder="1" applyAlignment="1">
      <alignment horizontal="center"/>
    </xf>
    <xf numFmtId="168" fontId="3" fillId="0" borderId="0" xfId="5" quotePrefix="1" applyNumberFormat="1" applyFont="1" applyBorder="1" applyAlignment="1">
      <alignment horizontal="center"/>
    </xf>
    <xf numFmtId="168" fontId="13" fillId="0" borderId="0" xfId="5" applyNumberFormat="1" applyFont="1" applyBorder="1" applyAlignment="1"/>
    <xf numFmtId="165" fontId="3" fillId="0" borderId="0" xfId="5" applyNumberFormat="1" applyFont="1" applyBorder="1" applyAlignment="1"/>
    <xf numFmtId="3" fontId="7" fillId="0" borderId="0" xfId="0" applyNumberFormat="1" applyFont="1"/>
    <xf numFmtId="171" fontId="3" fillId="0" borderId="0" xfId="0" applyNumberFormat="1" applyFont="1"/>
    <xf numFmtId="170" fontId="7" fillId="0" borderId="0" xfId="0" applyNumberFormat="1" applyFont="1"/>
    <xf numFmtId="3" fontId="3" fillId="0" borderId="1" xfId="0" applyNumberFormat="1" applyFont="1" applyBorder="1"/>
    <xf numFmtId="168" fontId="3" fillId="0" borderId="1" xfId="5" applyNumberFormat="1" applyFont="1" applyBorder="1" applyAlignment="1"/>
    <xf numFmtId="3" fontId="3" fillId="0" borderId="6" xfId="0" applyNumberFormat="1" applyFont="1" applyBorder="1"/>
    <xf numFmtId="4" fontId="3" fillId="0" borderId="7" xfId="0" applyNumberFormat="1" applyFont="1" applyBorder="1"/>
    <xf numFmtId="165" fontId="3" fillId="0" borderId="3" xfId="5" applyNumberFormat="1" applyFont="1" applyBorder="1"/>
    <xf numFmtId="165" fontId="3" fillId="0" borderId="2" xfId="5" applyNumberFormat="1" applyFont="1" applyBorder="1"/>
    <xf numFmtId="165" fontId="3" fillId="0" borderId="4" xfId="5" applyNumberFormat="1" applyFont="1" applyBorder="1"/>
    <xf numFmtId="165" fontId="4" fillId="0" borderId="7" xfId="5" applyNumberFormat="1" applyFont="1" applyBorder="1" applyAlignment="1">
      <alignment horizontal="centerContinuous"/>
    </xf>
    <xf numFmtId="165" fontId="5" fillId="0" borderId="7" xfId="5" applyNumberFormat="1" applyFont="1" applyBorder="1" applyAlignment="1">
      <alignment horizontal="centerContinuous"/>
    </xf>
    <xf numFmtId="3" fontId="11" fillId="0" borderId="7" xfId="0" applyNumberFormat="1" applyFont="1" applyBorder="1" applyAlignment="1">
      <alignment horizontal="centerContinuous" vertical="center"/>
    </xf>
    <xf numFmtId="165" fontId="23" fillId="0" borderId="7" xfId="5" applyNumberFormat="1" applyFont="1" applyBorder="1" applyAlignment="1">
      <alignment horizontal="centerContinuous"/>
    </xf>
    <xf numFmtId="165" fontId="3" fillId="0" borderId="7" xfId="5" applyNumberFormat="1" applyFont="1" applyBorder="1" applyAlignment="1">
      <alignment horizontal="centerContinuous"/>
    </xf>
    <xf numFmtId="165" fontId="3" fillId="0" borderId="10" xfId="5" applyNumberFormat="1" applyFont="1" applyBorder="1" applyAlignment="1">
      <alignment horizontal="left"/>
    </xf>
    <xf numFmtId="165" fontId="3" fillId="0" borderId="3" xfId="5" applyNumberFormat="1" applyFont="1" applyBorder="1" applyAlignment="1">
      <alignment horizontal="left"/>
    </xf>
    <xf numFmtId="165" fontId="3" fillId="0" borderId="2" xfId="5" applyNumberFormat="1" applyFont="1" applyBorder="1" applyAlignment="1">
      <alignment horizontal="left"/>
    </xf>
    <xf numFmtId="165" fontId="3" fillId="0" borderId="4" xfId="5" applyNumberFormat="1" applyFont="1" applyBorder="1" applyAlignment="1">
      <alignment horizontal="left"/>
    </xf>
    <xf numFmtId="165" fontId="3" fillId="0" borderId="11" xfId="5" applyNumberFormat="1" applyFont="1" applyBorder="1"/>
    <xf numFmtId="165" fontId="10" fillId="0" borderId="0" xfId="5" applyNumberFormat="1" applyFont="1" applyAlignment="1">
      <alignment horizontal="center" vertical="center"/>
    </xf>
    <xf numFmtId="165" fontId="7" fillId="0" borderId="8" xfId="5" applyNumberFormat="1" applyFont="1" applyBorder="1" applyAlignment="1">
      <alignment horizontal="center" vertical="center"/>
    </xf>
    <xf numFmtId="165" fontId="7" fillId="0" borderId="0" xfId="5" applyNumberFormat="1" applyFont="1" applyAlignment="1">
      <alignment horizontal="center" vertical="center"/>
    </xf>
    <xf numFmtId="165" fontId="10" fillId="0" borderId="8" xfId="5" applyNumberFormat="1" applyFont="1" applyBorder="1" applyAlignment="1">
      <alignment horizontal="center" vertical="center"/>
    </xf>
    <xf numFmtId="165" fontId="10" fillId="0" borderId="0" xfId="5" applyNumberFormat="1" applyFont="1" applyBorder="1" applyAlignment="1">
      <alignment horizontal="center" vertical="center"/>
    </xf>
    <xf numFmtId="165" fontId="3" fillId="0" borderId="11" xfId="5" quotePrefix="1" applyNumberFormat="1" applyFont="1" applyBorder="1" applyAlignment="1">
      <alignment horizontal="center"/>
    </xf>
    <xf numFmtId="165" fontId="3" fillId="0" borderId="7" xfId="5" quotePrefix="1" applyNumberFormat="1" applyFont="1" applyBorder="1" applyAlignment="1">
      <alignment horizontal="left"/>
    </xf>
    <xf numFmtId="165" fontId="7" fillId="0" borderId="7" xfId="5" quotePrefix="1" applyNumberFormat="1" applyFont="1" applyBorder="1" applyAlignment="1">
      <alignment horizontal="left"/>
    </xf>
    <xf numFmtId="165" fontId="7" fillId="0" borderId="12" xfId="5" applyNumberFormat="1" applyFont="1" applyBorder="1" applyAlignment="1">
      <alignment horizontal="right"/>
    </xf>
    <xf numFmtId="165" fontId="7" fillId="0" borderId="5" xfId="5" applyNumberFormat="1" applyFont="1" applyBorder="1" applyAlignment="1">
      <alignment horizontal="right"/>
    </xf>
    <xf numFmtId="165" fontId="7" fillId="0" borderId="1" xfId="5" applyNumberFormat="1" applyFont="1" applyBorder="1" applyAlignment="1">
      <alignment horizontal="right"/>
    </xf>
    <xf numFmtId="165" fontId="7" fillId="0" borderId="6" xfId="5" applyNumberFormat="1" applyFont="1" applyBorder="1" applyAlignment="1">
      <alignment horizontal="right"/>
    </xf>
    <xf numFmtId="165" fontId="7" fillId="0" borderId="8" xfId="5" applyNumberFormat="1" applyFont="1" applyBorder="1" applyAlignment="1">
      <alignment horizontal="right"/>
    </xf>
    <xf numFmtId="165" fontId="7" fillId="0" borderId="7" xfId="5" applyNumberFormat="1" applyFont="1" applyBorder="1" applyAlignment="1">
      <alignment horizontal="right"/>
    </xf>
    <xf numFmtId="165" fontId="7" fillId="0" borderId="2" xfId="5" applyNumberFormat="1" applyFont="1" applyBorder="1" applyAlignment="1">
      <alignment horizontal="right"/>
    </xf>
    <xf numFmtId="165" fontId="7" fillId="0" borderId="7" xfId="5" applyNumberFormat="1" applyFont="1" applyBorder="1"/>
    <xf numFmtId="165" fontId="7" fillId="0" borderId="0" xfId="5" applyNumberFormat="1" applyFont="1" applyBorder="1"/>
    <xf numFmtId="164" fontId="7" fillId="0" borderId="0" xfId="6" applyNumberFormat="1" applyFont="1" applyBorder="1"/>
    <xf numFmtId="165" fontId="3" fillId="0" borderId="5" xfId="5" applyNumberFormat="1" applyFont="1" applyBorder="1" applyAlignment="1">
      <alignment horizontal="center"/>
    </xf>
    <xf numFmtId="165" fontId="3" fillId="0" borderId="1" xfId="5" applyNumberFormat="1" applyFont="1" applyBorder="1" applyAlignment="1">
      <alignment horizontal="center"/>
    </xf>
    <xf numFmtId="0" fontId="21" fillId="0" borderId="0" xfId="0" applyFont="1" applyAlignment="1">
      <alignment horizontal="left"/>
    </xf>
    <xf numFmtId="165" fontId="21" fillId="0" borderId="0" xfId="1" applyNumberFormat="1" applyFont="1" applyAlignment="1">
      <alignment vertical="center"/>
    </xf>
    <xf numFmtId="9" fontId="3" fillId="0" borderId="0" xfId="0" applyNumberFormat="1" applyFont="1" applyAlignment="1">
      <alignment horizontal="center"/>
    </xf>
    <xf numFmtId="9" fontId="19" fillId="0" borderId="0" xfId="0" applyNumberFormat="1" applyFont="1" applyAlignment="1">
      <alignment horizontal="center"/>
    </xf>
    <xf numFmtId="9" fontId="3" fillId="0" borderId="0" xfId="3" applyFont="1" applyAlignment="1">
      <alignment horizontal="center"/>
    </xf>
    <xf numFmtId="164" fontId="3" fillId="0" borderId="0" xfId="5" applyNumberFormat="1" applyFont="1" applyBorder="1"/>
    <xf numFmtId="164" fontId="3" fillId="0" borderId="0" xfId="2" applyNumberFormat="1" applyFont="1" applyBorder="1"/>
    <xf numFmtId="9" fontId="3" fillId="0" borderId="0" xfId="3" applyFont="1"/>
    <xf numFmtId="10" fontId="3" fillId="0" borderId="0" xfId="0" applyNumberFormat="1" applyFont="1"/>
    <xf numFmtId="164" fontId="7" fillId="0" borderId="9" xfId="6" applyNumberFormat="1" applyFont="1" applyBorder="1"/>
    <xf numFmtId="9" fontId="3" fillId="0" borderId="0" xfId="9" applyNumberFormat="1" applyFont="1" applyFill="1" applyBorder="1" applyAlignment="1">
      <alignment horizontal="center"/>
    </xf>
    <xf numFmtId="9" fontId="9" fillId="0" borderId="0" xfId="9" applyNumberFormat="1" applyFont="1" applyFill="1" applyBorder="1" applyAlignment="1">
      <alignment horizontal="center"/>
    </xf>
    <xf numFmtId="164" fontId="3" fillId="0" borderId="0" xfId="0" applyNumberFormat="1" applyFont="1" applyAlignment="1">
      <alignment horizontal="left" indent="1"/>
    </xf>
    <xf numFmtId="164" fontId="7" fillId="0" borderId="0" xfId="4" applyNumberFormat="1" applyFont="1" applyAlignment="1">
      <alignment horizontal="left" indent="1"/>
    </xf>
    <xf numFmtId="10" fontId="7" fillId="0" borderId="0" xfId="0" applyNumberFormat="1" applyFont="1"/>
    <xf numFmtId="165" fontId="3" fillId="0" borderId="0" xfId="1" applyNumberFormat="1" applyFont="1" applyBorder="1" applyAlignment="1">
      <alignment vertical="center"/>
    </xf>
    <xf numFmtId="165" fontId="9" fillId="0" borderId="0" xfId="1" applyNumberFormat="1" applyFont="1" applyBorder="1" applyAlignment="1">
      <alignment vertical="center"/>
    </xf>
    <xf numFmtId="165" fontId="3" fillId="0" borderId="0" xfId="1" applyNumberFormat="1" applyFont="1" applyBorder="1" applyAlignment="1">
      <alignment horizontal="center" vertical="center"/>
    </xf>
    <xf numFmtId="165" fontId="9" fillId="0" borderId="0" xfId="1" applyNumberFormat="1" applyFont="1" applyBorder="1" applyAlignment="1">
      <alignment horizontal="center" vertical="center"/>
    </xf>
    <xf numFmtId="172" fontId="3" fillId="0" borderId="0" xfId="1" applyNumberFormat="1" applyFont="1" applyBorder="1"/>
    <xf numFmtId="172" fontId="0" fillId="0" borderId="0" xfId="1" applyNumberFormat="1" applyFont="1" applyBorder="1"/>
    <xf numFmtId="43" fontId="0" fillId="0" borderId="0" xfId="1" applyFont="1" applyBorder="1"/>
    <xf numFmtId="165" fontId="9" fillId="0" borderId="0" xfId="1" applyNumberFormat="1" applyFont="1"/>
    <xf numFmtId="44" fontId="3" fillId="2" borderId="0" xfId="1" applyNumberFormat="1" applyFont="1" applyFill="1" applyBorder="1"/>
    <xf numFmtId="10" fontId="3" fillId="2" borderId="0" xfId="3" applyNumberFormat="1" applyFont="1" applyFill="1" applyBorder="1"/>
    <xf numFmtId="10" fontId="3" fillId="0" borderId="0" xfId="3" applyNumberFormat="1" applyFont="1" applyBorder="1" applyAlignment="1"/>
    <xf numFmtId="172" fontId="3" fillId="0" borderId="0" xfId="1" applyNumberFormat="1" applyFont="1" applyBorder="1" applyAlignment="1">
      <alignment horizontal="center"/>
    </xf>
    <xf numFmtId="165" fontId="25" fillId="0" borderId="0" xfId="11" applyNumberFormat="1" applyFont="1" applyAlignment="1">
      <alignment vertical="center"/>
    </xf>
    <xf numFmtId="165" fontId="10" fillId="0" borderId="0" xfId="1" applyNumberFormat="1" applyFont="1" applyAlignment="1">
      <alignment vertical="center"/>
    </xf>
    <xf numFmtId="173" fontId="3" fillId="0" borderId="0" xfId="1" applyNumberFormat="1" applyFont="1" applyBorder="1" applyAlignment="1"/>
    <xf numFmtId="165" fontId="6" fillId="0" borderId="0" xfId="1" applyNumberFormat="1" applyFont="1" applyBorder="1"/>
    <xf numFmtId="0" fontId="3" fillId="0" borderId="0" xfId="1" applyNumberFormat="1" applyFont="1" applyBorder="1" applyAlignment="1">
      <alignment horizontal="left"/>
    </xf>
    <xf numFmtId="0" fontId="3" fillId="0" borderId="0" xfId="1" applyNumberFormat="1" applyFont="1" applyBorder="1" applyAlignment="1">
      <alignment horizontal="right"/>
    </xf>
    <xf numFmtId="166" fontId="3" fillId="0" borderId="0" xfId="1" applyNumberFormat="1" applyFont="1" applyBorder="1" applyAlignment="1">
      <alignment horizontal="right"/>
    </xf>
    <xf numFmtId="173" fontId="3" fillId="0" borderId="0" xfId="1" applyNumberFormat="1" applyFont="1" applyBorder="1" applyAlignment="1">
      <alignment horizontal="right"/>
    </xf>
    <xf numFmtId="0" fontId="3" fillId="0" borderId="16" xfId="0" applyFont="1" applyBorder="1"/>
    <xf numFmtId="173" fontId="3" fillId="0" borderId="0" xfId="0" applyNumberFormat="1" applyFont="1"/>
    <xf numFmtId="173" fontId="3" fillId="0" borderId="0" xfId="2" applyNumberFormat="1" applyFont="1" applyBorder="1"/>
    <xf numFmtId="3" fontId="3" fillId="0" borderId="0" xfId="1" applyNumberFormat="1" applyFont="1" applyBorder="1"/>
    <xf numFmtId="37" fontId="3" fillId="0" borderId="0" xfId="2" applyNumberFormat="1" applyFont="1" applyBorder="1"/>
    <xf numFmtId="44" fontId="3" fillId="0" borderId="1" xfId="0" applyNumberFormat="1" applyFont="1" applyBorder="1"/>
    <xf numFmtId="0" fontId="16" fillId="0" borderId="1" xfId="0" applyFont="1" applyBorder="1"/>
    <xf numFmtId="44" fontId="3" fillId="0" borderId="1" xfId="10" applyFont="1" applyBorder="1"/>
    <xf numFmtId="0" fontId="7" fillId="0" borderId="0" xfId="0" applyFont="1" applyAlignment="1">
      <alignment horizontal="center"/>
    </xf>
    <xf numFmtId="165" fontId="3" fillId="0" borderId="0" xfId="0" applyNumberFormat="1" applyFont="1" applyAlignment="1">
      <alignment horizontal="right"/>
    </xf>
    <xf numFmtId="165" fontId="3" fillId="0" borderId="0" xfId="1" applyNumberFormat="1" applyFont="1" applyBorder="1" applyAlignment="1">
      <alignment horizontal="right"/>
    </xf>
    <xf numFmtId="165" fontId="3" fillId="0" borderId="0" xfId="1" quotePrefix="1" applyNumberFormat="1" applyFont="1" applyBorder="1"/>
    <xf numFmtId="165" fontId="9" fillId="0" borderId="0" xfId="1" quotePrefix="1" applyNumberFormat="1" applyFont="1" applyBorder="1"/>
    <xf numFmtId="165" fontId="9" fillId="0" borderId="0" xfId="1" applyNumberFormat="1" applyFont="1" applyBorder="1" applyAlignment="1">
      <alignment horizontal="right"/>
    </xf>
    <xf numFmtId="165" fontId="6" fillId="0" borderId="0" xfId="0" applyNumberFormat="1" applyFont="1"/>
    <xf numFmtId="0" fontId="7" fillId="0" borderId="13" xfId="0" applyFont="1" applyBorder="1"/>
    <xf numFmtId="165" fontId="3" fillId="0" borderId="14" xfId="1" applyNumberFormat="1" applyFont="1" applyBorder="1"/>
    <xf numFmtId="3" fontId="3" fillId="0" borderId="14" xfId="0" applyNumberFormat="1" applyFont="1" applyBorder="1" applyAlignment="1">
      <alignment horizontal="right"/>
    </xf>
    <xf numFmtId="165" fontId="3" fillId="0" borderId="14" xfId="0" applyNumberFormat="1" applyFont="1" applyBorder="1"/>
    <xf numFmtId="0" fontId="7" fillId="0" borderId="16" xfId="0" applyFont="1" applyBorder="1"/>
    <xf numFmtId="0" fontId="3" fillId="0" borderId="17" xfId="0" applyFont="1" applyBorder="1"/>
    <xf numFmtId="0" fontId="3" fillId="0" borderId="17" xfId="0" applyFont="1" applyBorder="1" applyAlignment="1">
      <alignment horizontal="right"/>
    </xf>
    <xf numFmtId="0" fontId="3" fillId="0" borderId="16" xfId="0" applyFont="1" applyBorder="1" applyAlignment="1">
      <alignment horizontal="right"/>
    </xf>
    <xf numFmtId="165" fontId="3" fillId="0" borderId="17" xfId="1" applyNumberFormat="1" applyFont="1" applyBorder="1"/>
    <xf numFmtId="165" fontId="9" fillId="0" borderId="17" xfId="1" applyNumberFormat="1" applyFont="1" applyBorder="1"/>
    <xf numFmtId="0" fontId="3" fillId="0" borderId="16" xfId="1" applyNumberFormat="1" applyFont="1" applyBorder="1" applyAlignment="1">
      <alignment horizontal="right"/>
    </xf>
    <xf numFmtId="0" fontId="3" fillId="0" borderId="18" xfId="0" applyFont="1" applyBorder="1"/>
    <xf numFmtId="165" fontId="3" fillId="0" borderId="19" xfId="1" applyNumberFormat="1" applyFont="1" applyBorder="1"/>
    <xf numFmtId="164" fontId="3" fillId="0" borderId="19" xfId="2" applyNumberFormat="1" applyFont="1" applyBorder="1"/>
    <xf numFmtId="0" fontId="3" fillId="0" borderId="19" xfId="0" applyFont="1" applyBorder="1"/>
    <xf numFmtId="44" fontId="3" fillId="0" borderId="14" xfId="0" applyNumberFormat="1" applyFont="1" applyBorder="1"/>
    <xf numFmtId="0" fontId="3" fillId="0" borderId="15" xfId="0" applyFont="1" applyBorder="1"/>
    <xf numFmtId="0" fontId="3" fillId="0" borderId="20" xfId="0" applyFont="1" applyBorder="1"/>
    <xf numFmtId="0" fontId="3" fillId="0" borderId="14" xfId="0" applyFont="1" applyBorder="1"/>
    <xf numFmtId="43" fontId="3" fillId="0" borderId="19" xfId="1" applyFont="1" applyBorder="1"/>
    <xf numFmtId="44" fontId="3" fillId="0" borderId="19" xfId="5" applyNumberFormat="1" applyFont="1" applyBorder="1"/>
    <xf numFmtId="0" fontId="3" fillId="0" borderId="18" xfId="0" applyFont="1" applyBorder="1" applyAlignment="1">
      <alignment horizontal="right"/>
    </xf>
    <xf numFmtId="165" fontId="3" fillId="0" borderId="19" xfId="5" applyNumberFormat="1" applyFont="1" applyBorder="1"/>
    <xf numFmtId="0" fontId="3" fillId="0" borderId="17" xfId="0" quotePrefix="1" applyFont="1" applyBorder="1"/>
    <xf numFmtId="3" fontId="3" fillId="0" borderId="19" xfId="1" applyNumberFormat="1" applyFont="1" applyBorder="1"/>
    <xf numFmtId="165" fontId="9" fillId="0" borderId="0" xfId="1" applyNumberFormat="1" applyFont="1" applyAlignment="1">
      <alignment vertical="center"/>
    </xf>
    <xf numFmtId="164" fontId="9" fillId="0" borderId="0" xfId="5" applyNumberFormat="1" applyFont="1" applyBorder="1"/>
    <xf numFmtId="165" fontId="3" fillId="0" borderId="0" xfId="1" quotePrefix="1" applyNumberFormat="1" applyFont="1" applyAlignment="1">
      <alignment horizontal="left" vertical="center"/>
    </xf>
    <xf numFmtId="9" fontId="3" fillId="0" borderId="0" xfId="3" applyFont="1" applyBorder="1"/>
    <xf numFmtId="42" fontId="3" fillId="0" borderId="0" xfId="2" applyNumberFormat="1" applyFont="1"/>
    <xf numFmtId="164" fontId="3" fillId="0" borderId="0" xfId="2" applyNumberFormat="1" applyFont="1"/>
    <xf numFmtId="164" fontId="3" fillId="0" borderId="1" xfId="2" applyNumberFormat="1" applyFont="1" applyBorder="1"/>
    <xf numFmtId="0" fontId="3" fillId="0" borderId="1" xfId="0" applyFont="1" applyBorder="1"/>
    <xf numFmtId="42" fontId="3" fillId="0" borderId="1" xfId="2" applyNumberFormat="1" applyFont="1" applyBorder="1"/>
    <xf numFmtId="3" fontId="7" fillId="0" borderId="0" xfId="0" applyNumberFormat="1" applyFont="1" applyAlignment="1">
      <alignment vertical="center"/>
    </xf>
    <xf numFmtId="3" fontId="3" fillId="0" borderId="0" xfId="0" applyNumberFormat="1" applyFont="1" applyAlignment="1">
      <alignment vertical="center"/>
    </xf>
    <xf numFmtId="0" fontId="25" fillId="0" borderId="0" xfId="0" applyFont="1"/>
    <xf numFmtId="165" fontId="25" fillId="0" borderId="0" xfId="0" applyNumberFormat="1" applyFont="1"/>
    <xf numFmtId="0" fontId="3" fillId="0" borderId="0" xfId="0" applyFont="1" applyAlignment="1">
      <alignment horizontal="left" vertical="center"/>
    </xf>
    <xf numFmtId="0" fontId="3" fillId="0" borderId="0" xfId="1" applyNumberFormat="1" applyFont="1" applyAlignment="1">
      <alignment horizontal="left" vertical="center"/>
    </xf>
    <xf numFmtId="0" fontId="3" fillId="0" borderId="0" xfId="0" applyFont="1" applyAlignment="1">
      <alignment vertical="center"/>
    </xf>
    <xf numFmtId="0" fontId="3" fillId="0" borderId="0" xfId="1" applyNumberFormat="1" applyFont="1" applyAlignment="1">
      <alignment vertical="center"/>
    </xf>
    <xf numFmtId="165" fontId="3" fillId="0" borderId="0" xfId="5" applyNumberFormat="1" applyFont="1" applyFill="1"/>
    <xf numFmtId="43" fontId="3" fillId="0" borderId="0" xfId="1" applyFont="1" applyFill="1"/>
    <xf numFmtId="0" fontId="7" fillId="0" borderId="3" xfId="0" applyFont="1" applyBorder="1"/>
    <xf numFmtId="3" fontId="3" fillId="0" borderId="2" xfId="0" applyNumberFormat="1" applyFont="1" applyBorder="1" applyAlignment="1">
      <alignment horizontal="right"/>
    </xf>
    <xf numFmtId="165" fontId="3" fillId="0" borderId="2" xfId="0" applyNumberFormat="1" applyFont="1" applyBorder="1"/>
    <xf numFmtId="44" fontId="3" fillId="0" borderId="2" xfId="0" applyNumberFormat="1" applyFont="1" applyBorder="1"/>
    <xf numFmtId="0" fontId="3" fillId="0" borderId="2" xfId="0" applyFont="1" applyBorder="1"/>
    <xf numFmtId="0" fontId="3" fillId="0" borderId="4" xfId="0" applyFont="1" applyBorder="1"/>
    <xf numFmtId="0" fontId="7" fillId="0" borderId="7" xfId="0" applyFont="1" applyBorder="1"/>
    <xf numFmtId="0" fontId="3" fillId="0" borderId="8" xfId="0" applyFont="1" applyBorder="1"/>
    <xf numFmtId="0" fontId="3" fillId="0" borderId="7" xfId="0" applyFont="1" applyBorder="1" applyAlignment="1">
      <alignment horizontal="right"/>
    </xf>
    <xf numFmtId="0" fontId="3" fillId="0" borderId="7" xfId="1" applyNumberFormat="1" applyFont="1" applyBorder="1" applyAlignment="1">
      <alignment horizontal="right"/>
    </xf>
    <xf numFmtId="44" fontId="3" fillId="0" borderId="1" xfId="5" applyNumberFormat="1" applyFont="1" applyBorder="1"/>
    <xf numFmtId="0" fontId="3" fillId="0" borderId="6" xfId="0" applyFont="1" applyBorder="1"/>
    <xf numFmtId="43" fontId="3" fillId="0" borderId="1" xfId="1" applyFont="1" applyBorder="1"/>
    <xf numFmtId="43" fontId="3" fillId="0" borderId="0" xfId="0" applyNumberFormat="1" applyFont="1"/>
    <xf numFmtId="44" fontId="3" fillId="0" borderId="7" xfId="1" quotePrefix="1" applyNumberFormat="1" applyFont="1" applyBorder="1"/>
    <xf numFmtId="165" fontId="3" fillId="4" borderId="0" xfId="1" applyNumberFormat="1" applyFont="1" applyFill="1" applyAlignment="1">
      <alignment horizontal="righ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wrapText="1"/>
    </xf>
    <xf numFmtId="0" fontId="1" fillId="0" borderId="0" xfId="0" applyFont="1"/>
    <xf numFmtId="0" fontId="0" fillId="0" borderId="0" xfId="0" applyAlignment="1">
      <alignment wrapText="1"/>
    </xf>
    <xf numFmtId="0" fontId="3" fillId="5" borderId="0" xfId="0" applyFont="1" applyFill="1"/>
    <xf numFmtId="0" fontId="3" fillId="5" borderId="1" xfId="0" applyFont="1" applyFill="1" applyBorder="1" applyAlignment="1">
      <alignment horizontal="center"/>
    </xf>
    <xf numFmtId="165" fontId="3" fillId="4" borderId="0" xfId="1" applyNumberFormat="1" applyFont="1" applyFill="1" applyAlignment="1">
      <alignment vertical="center"/>
    </xf>
    <xf numFmtId="165" fontId="3" fillId="4" borderId="0" xfId="1" applyNumberFormat="1" applyFont="1" applyFill="1" applyBorder="1"/>
    <xf numFmtId="164" fontId="3" fillId="4" borderId="0" xfId="6" applyNumberFormat="1" applyFont="1" applyFill="1" applyBorder="1"/>
    <xf numFmtId="10" fontId="3" fillId="4" borderId="0" xfId="3" applyNumberFormat="1" applyFont="1" applyFill="1" applyBorder="1"/>
    <xf numFmtId="0" fontId="3" fillId="4" borderId="0" xfId="0" applyFont="1" applyFill="1"/>
    <xf numFmtId="43" fontId="3" fillId="0" borderId="0" xfId="1" applyFont="1" applyFill="1" applyBorder="1"/>
    <xf numFmtId="10" fontId="3" fillId="4" borderId="1" xfId="0" applyNumberFormat="1" applyFont="1" applyFill="1" applyBorder="1"/>
    <xf numFmtId="3" fontId="3" fillId="0" borderId="0" xfId="5" applyNumberFormat="1" applyFont="1" applyBorder="1"/>
    <xf numFmtId="3" fontId="3" fillId="0" borderId="0" xfId="0" applyNumberFormat="1" applyFont="1" applyAlignment="1">
      <alignment horizontal="center"/>
    </xf>
    <xf numFmtId="3" fontId="0" fillId="0" borderId="0" xfId="0" applyNumberFormat="1"/>
    <xf numFmtId="0" fontId="6" fillId="0" borderId="0" xfId="0" applyFont="1" applyAlignment="1">
      <alignment horizontal="center"/>
    </xf>
    <xf numFmtId="165" fontId="9" fillId="4" borderId="0" xfId="1" applyNumberFormat="1" applyFont="1" applyFill="1" applyAlignment="1">
      <alignment vertical="center"/>
    </xf>
    <xf numFmtId="165" fontId="21" fillId="4" borderId="0" xfId="1" applyNumberFormat="1" applyFont="1" applyFill="1" applyAlignment="1">
      <alignment vertical="center"/>
    </xf>
    <xf numFmtId="165" fontId="3" fillId="4" borderId="0" xfId="1" applyNumberFormat="1" applyFont="1" applyFill="1"/>
    <xf numFmtId="165" fontId="27" fillId="4" borderId="0" xfId="1" applyNumberFormat="1" applyFont="1" applyFill="1" applyAlignment="1">
      <alignment horizontal="right" vertical="center"/>
    </xf>
    <xf numFmtId="165" fontId="27" fillId="4" borderId="0" xfId="1" applyNumberFormat="1" applyFont="1" applyFill="1" applyAlignment="1">
      <alignment vertical="center"/>
    </xf>
    <xf numFmtId="165" fontId="3" fillId="0" borderId="0" xfId="1" applyNumberFormat="1" applyFont="1" applyFill="1"/>
    <xf numFmtId="44" fontId="3" fillId="2" borderId="7" xfId="1" quotePrefix="1" applyNumberFormat="1" applyFont="1" applyFill="1" applyBorder="1"/>
    <xf numFmtId="43" fontId="3" fillId="0" borderId="8" xfId="1" quotePrefix="1" applyFont="1" applyFill="1" applyBorder="1" applyAlignment="1">
      <alignment horizontal="center"/>
    </xf>
    <xf numFmtId="44" fontId="3" fillId="0" borderId="7" xfId="1" quotePrefix="1" applyNumberFormat="1" applyFont="1" applyFill="1" applyBorder="1"/>
    <xf numFmtId="14" fontId="3" fillId="0" borderId="0" xfId="0" applyNumberFormat="1" applyFont="1"/>
    <xf numFmtId="165" fontId="3" fillId="0" borderId="0" xfId="5" applyNumberFormat="1" applyFont="1" applyFill="1" applyBorder="1"/>
    <xf numFmtId="164" fontId="7" fillId="0" borderId="0" xfId="0" applyNumberFormat="1" applyFont="1"/>
    <xf numFmtId="165" fontId="3" fillId="0" borderId="1" xfId="5" applyNumberFormat="1" applyFont="1" applyBorder="1"/>
    <xf numFmtId="165" fontId="3" fillId="0" borderId="0" xfId="1" applyNumberFormat="1" applyFont="1" applyFill="1" applyAlignment="1">
      <alignment vertical="center"/>
    </xf>
    <xf numFmtId="165" fontId="3" fillId="0" borderId="0" xfId="1" applyNumberFormat="1" applyFont="1" applyFill="1" applyBorder="1"/>
    <xf numFmtId="164" fontId="3" fillId="0" borderId="0" xfId="3" applyNumberFormat="1" applyFont="1" applyFill="1" applyBorder="1"/>
    <xf numFmtId="0" fontId="3" fillId="5" borderId="1" xfId="0" applyFont="1" applyFill="1" applyBorder="1"/>
    <xf numFmtId="0" fontId="9" fillId="0" borderId="17" xfId="0" applyFont="1" applyBorder="1" applyAlignment="1">
      <alignment horizontal="right"/>
    </xf>
    <xf numFmtId="165" fontId="6" fillId="0" borderId="0" xfId="1" applyNumberFormat="1" applyFont="1" applyBorder="1" applyAlignment="1">
      <alignment horizontal="center"/>
    </xf>
    <xf numFmtId="0" fontId="0" fillId="0" borderId="0" xfId="0" applyAlignment="1">
      <alignment horizontal="center"/>
    </xf>
    <xf numFmtId="0" fontId="0" fillId="0" borderId="1" xfId="0" applyBorder="1" applyAlignment="1">
      <alignment horizontal="center"/>
    </xf>
    <xf numFmtId="14" fontId="0" fillId="0" borderId="0" xfId="0" applyNumberFormat="1"/>
    <xf numFmtId="44" fontId="0" fillId="0" borderId="0" xfId="2" applyFont="1"/>
    <xf numFmtId="43" fontId="0" fillId="0" borderId="0" xfId="1" applyFont="1"/>
    <xf numFmtId="43" fontId="0" fillId="0" borderId="1" xfId="1" applyFont="1" applyBorder="1"/>
    <xf numFmtId="164" fontId="3" fillId="0" borderId="0" xfId="2" applyNumberFormat="1" applyFont="1" applyFill="1"/>
    <xf numFmtId="0" fontId="29" fillId="0" borderId="0" xfId="0" applyFont="1"/>
    <xf numFmtId="164" fontId="29" fillId="0" borderId="0" xfId="2" applyNumberFormat="1" applyFont="1"/>
    <xf numFmtId="165" fontId="29" fillId="0" borderId="0" xfId="1" applyNumberFormat="1" applyFont="1"/>
    <xf numFmtId="164" fontId="29" fillId="0" borderId="0" xfId="0" applyNumberFormat="1" applyFont="1"/>
    <xf numFmtId="44" fontId="29" fillId="0" borderId="0" xfId="0" applyNumberFormat="1" applyFont="1"/>
    <xf numFmtId="164" fontId="0" fillId="0" borderId="0" xfId="0" applyNumberFormat="1"/>
    <xf numFmtId="0" fontId="0" fillId="0" borderId="0" xfId="0" quotePrefix="1"/>
    <xf numFmtId="165" fontId="25" fillId="0" borderId="0" xfId="5" applyNumberFormat="1" applyFont="1"/>
    <xf numFmtId="165" fontId="3" fillId="0" borderId="11" xfId="5" applyNumberFormat="1" applyFont="1" applyFill="1" applyBorder="1" applyAlignment="1">
      <alignment horizontal="left"/>
    </xf>
    <xf numFmtId="165" fontId="3" fillId="0" borderId="7" xfId="5" applyNumberFormat="1" applyFont="1" applyFill="1" applyBorder="1" applyAlignment="1">
      <alignment horizontal="center"/>
    </xf>
    <xf numFmtId="165" fontId="3" fillId="0" borderId="8" xfId="5" applyNumberFormat="1" applyFont="1" applyFill="1" applyBorder="1" applyAlignment="1">
      <alignment horizontal="center"/>
    </xf>
    <xf numFmtId="165" fontId="7" fillId="0" borderId="0" xfId="5" applyNumberFormat="1" applyFont="1" applyBorder="1" applyAlignment="1">
      <alignment horizontal="center" vertical="center"/>
    </xf>
    <xf numFmtId="165" fontId="25" fillId="0" borderId="0" xfId="5" applyNumberFormat="1" applyFont="1" applyFill="1"/>
    <xf numFmtId="165" fontId="29" fillId="0" borderId="0" xfId="0" applyNumberFormat="1" applyFont="1"/>
    <xf numFmtId="0" fontId="28" fillId="0" borderId="0" xfId="0" applyFont="1" applyAlignment="1">
      <alignment horizontal="center"/>
    </xf>
    <xf numFmtId="165" fontId="30" fillId="0" borderId="0" xfId="5" applyNumberFormat="1" applyFont="1"/>
    <xf numFmtId="9" fontId="3" fillId="0" borderId="0" xfId="3" applyFont="1" applyFill="1" applyAlignment="1">
      <alignment horizontal="center"/>
    </xf>
    <xf numFmtId="165" fontId="9" fillId="0" borderId="0" xfId="1" applyNumberFormat="1" applyFont="1" applyFill="1" applyBorder="1" applyAlignment="1">
      <alignment vertical="center"/>
    </xf>
    <xf numFmtId="43" fontId="3" fillId="0" borderId="0" xfId="0" applyNumberFormat="1" applyFont="1" applyAlignment="1">
      <alignment horizontal="left"/>
    </xf>
    <xf numFmtId="4" fontId="3" fillId="0" borderId="0" xfId="0" applyNumberFormat="1" applyFont="1" applyAlignment="1">
      <alignment horizontal="right"/>
    </xf>
    <xf numFmtId="44" fontId="3" fillId="0" borderId="0" xfId="0" applyNumberFormat="1" applyFont="1" applyAlignment="1">
      <alignment horizontal="left"/>
    </xf>
    <xf numFmtId="164" fontId="3" fillId="0" borderId="0" xfId="6" applyNumberFormat="1" applyFont="1" applyFill="1" applyBorder="1"/>
    <xf numFmtId="164" fontId="3" fillId="0" borderId="1" xfId="6" applyNumberFormat="1" applyFont="1" applyFill="1" applyBorder="1"/>
    <xf numFmtId="165" fontId="9" fillId="0" borderId="0" xfId="1" applyNumberFormat="1" applyFont="1" applyFill="1" applyBorder="1"/>
    <xf numFmtId="165" fontId="3" fillId="4" borderId="21" xfId="1" applyNumberFormat="1" applyFont="1" applyFill="1" applyBorder="1"/>
    <xf numFmtId="165" fontId="3" fillId="0" borderId="0" xfId="1" applyNumberFormat="1" applyFont="1" applyFill="1" applyAlignment="1">
      <alignment horizontal="right" vertical="center"/>
    </xf>
    <xf numFmtId="3" fontId="20" fillId="0" borderId="0" xfId="0" applyNumberFormat="1" applyFont="1" applyAlignment="1">
      <alignment horizontal="center" vertical="center"/>
    </xf>
    <xf numFmtId="0" fontId="7" fillId="0" borderId="1" xfId="0" applyFont="1" applyBorder="1"/>
    <xf numFmtId="165" fontId="7" fillId="0" borderId="1" xfId="1" applyNumberFormat="1" applyFont="1" applyBorder="1"/>
    <xf numFmtId="164" fontId="3" fillId="0" borderId="0" xfId="4" applyNumberFormat="1" applyFont="1" applyAlignment="1">
      <alignment horizontal="left" indent="1"/>
    </xf>
    <xf numFmtId="43" fontId="34" fillId="0" borderId="0" xfId="1" applyFont="1" applyBorder="1"/>
    <xf numFmtId="3" fontId="11" fillId="0" borderId="0" xfId="0" applyNumberFormat="1" applyFont="1" applyAlignment="1">
      <alignment horizontal="center" vertical="center"/>
    </xf>
    <xf numFmtId="165" fontId="3" fillId="0" borderId="1" xfId="5" applyNumberFormat="1" applyFont="1" applyFill="1" applyBorder="1"/>
    <xf numFmtId="165" fontId="25" fillId="0" borderId="0" xfId="5" applyNumberFormat="1" applyFont="1" applyAlignment="1">
      <alignment horizontal="center"/>
    </xf>
    <xf numFmtId="172" fontId="3" fillId="0" borderId="0" xfId="1" applyNumberFormat="1" applyFont="1" applyBorder="1" applyAlignment="1"/>
    <xf numFmtId="44" fontId="3" fillId="0" borderId="0" xfId="2" applyFont="1" applyBorder="1" applyAlignment="1"/>
    <xf numFmtId="43" fontId="9" fillId="0" borderId="0" xfId="1" applyFont="1" applyBorder="1" applyAlignment="1">
      <alignment horizontal="center"/>
    </xf>
    <xf numFmtId="165" fontId="7" fillId="0" borderId="0" xfId="1" applyNumberFormat="1" applyFont="1" applyBorder="1" applyAlignment="1">
      <alignment vertical="center"/>
    </xf>
    <xf numFmtId="10" fontId="3" fillId="0" borderId="0" xfId="3" applyNumberFormat="1" applyFont="1"/>
    <xf numFmtId="164" fontId="3" fillId="0" borderId="0" xfId="2" applyNumberFormat="1" applyFont="1" applyAlignment="1">
      <alignment vertical="center"/>
    </xf>
    <xf numFmtId="164" fontId="3" fillId="4" borderId="0" xfId="2" applyNumberFormat="1" applyFont="1" applyFill="1" applyAlignment="1">
      <alignment vertical="center"/>
    </xf>
    <xf numFmtId="164" fontId="3" fillId="0" borderId="0" xfId="2" applyNumberFormat="1" applyFont="1" applyFill="1" applyAlignment="1">
      <alignment vertical="center"/>
    </xf>
    <xf numFmtId="164" fontId="3" fillId="0" borderId="0" xfId="2" applyNumberFormat="1" applyFont="1" applyAlignment="1">
      <alignment horizontal="center" vertical="center"/>
    </xf>
    <xf numFmtId="165" fontId="7" fillId="0" borderId="0" xfId="5" applyNumberFormat="1" applyFont="1" applyBorder="1" applyAlignment="1">
      <alignment horizontal="centerContinuous"/>
    </xf>
    <xf numFmtId="165" fontId="8" fillId="0" borderId="0" xfId="5" applyNumberFormat="1" applyFont="1" applyBorder="1" applyAlignment="1">
      <alignment horizontal="centerContinuous"/>
    </xf>
    <xf numFmtId="165" fontId="3" fillId="0" borderId="0" xfId="5" applyNumberFormat="1" applyFont="1" applyBorder="1" applyAlignment="1">
      <alignment horizontal="centerContinuous"/>
    </xf>
    <xf numFmtId="165" fontId="3" fillId="0" borderId="0" xfId="5" applyNumberFormat="1" applyFont="1" applyFill="1" applyBorder="1" applyAlignment="1">
      <alignment horizontal="center"/>
    </xf>
    <xf numFmtId="165" fontId="3" fillId="0" borderId="0" xfId="5" quotePrefix="1" applyNumberFormat="1" applyFont="1" applyBorder="1" applyAlignment="1">
      <alignment horizontal="left"/>
    </xf>
    <xf numFmtId="165" fontId="7" fillId="0" borderId="0" xfId="5" applyNumberFormat="1" applyFont="1" applyBorder="1" applyAlignment="1">
      <alignment horizontal="right"/>
    </xf>
    <xf numFmtId="165" fontId="7" fillId="0" borderId="8" xfId="5" applyNumberFormat="1" applyFont="1" applyBorder="1" applyAlignment="1">
      <alignment horizontal="centerContinuous"/>
    </xf>
    <xf numFmtId="165" fontId="8" fillId="0" borderId="8" xfId="5" applyNumberFormat="1" applyFont="1" applyBorder="1" applyAlignment="1">
      <alignment horizontal="centerContinuous"/>
    </xf>
    <xf numFmtId="165" fontId="3" fillId="0" borderId="8" xfId="5" applyNumberFormat="1" applyFont="1" applyBorder="1" applyAlignment="1">
      <alignment horizontal="centerContinuous"/>
    </xf>
    <xf numFmtId="164" fontId="3" fillId="0" borderId="8" xfId="6" quotePrefix="1" applyNumberFormat="1" applyFont="1" applyFill="1" applyBorder="1" applyAlignment="1">
      <alignment horizontal="center"/>
    </xf>
    <xf numFmtId="165" fontId="3" fillId="0" borderId="8" xfId="5" quotePrefix="1" applyNumberFormat="1" applyFont="1" applyFill="1" applyBorder="1" applyAlignment="1">
      <alignment horizontal="center"/>
    </xf>
    <xf numFmtId="165" fontId="3" fillId="0" borderId="8" xfId="5" quotePrefix="1" applyNumberFormat="1" applyFont="1" applyBorder="1" applyAlignment="1">
      <alignment horizontal="left"/>
    </xf>
    <xf numFmtId="165" fontId="7" fillId="0" borderId="11" xfId="5" quotePrefix="1" applyNumberFormat="1" applyFont="1" applyBorder="1" applyAlignment="1">
      <alignment horizontal="left"/>
    </xf>
    <xf numFmtId="164" fontId="7" fillId="0" borderId="8" xfId="6" applyNumberFormat="1" applyFont="1" applyBorder="1"/>
    <xf numFmtId="164" fontId="3" fillId="0" borderId="8" xfId="6" applyNumberFormat="1" applyFont="1" applyBorder="1"/>
    <xf numFmtId="165" fontId="3" fillId="0" borderId="6" xfId="5" applyNumberFormat="1" applyFont="1" applyBorder="1" applyAlignment="1">
      <alignment horizontal="center"/>
    </xf>
    <xf numFmtId="165" fontId="3" fillId="0" borderId="13" xfId="1" applyNumberFormat="1" applyFont="1" applyBorder="1"/>
    <xf numFmtId="165" fontId="3" fillId="0" borderId="16" xfId="1" applyNumberFormat="1" applyFont="1" applyBorder="1"/>
    <xf numFmtId="3" fontId="11" fillId="0" borderId="17" xfId="0" applyNumberFormat="1" applyFont="1" applyBorder="1" applyAlignment="1">
      <alignment horizontal="center" vertical="center"/>
    </xf>
    <xf numFmtId="165" fontId="3" fillId="0" borderId="25" xfId="1" applyNumberFormat="1" applyFont="1" applyBorder="1"/>
    <xf numFmtId="165" fontId="3" fillId="0" borderId="26" xfId="1" applyNumberFormat="1" applyFont="1" applyBorder="1"/>
    <xf numFmtId="44" fontId="11" fillId="0" borderId="0" xfId="0" applyNumberFormat="1" applyFont="1" applyAlignment="1">
      <alignment horizontal="center" vertical="center"/>
    </xf>
    <xf numFmtId="165" fontId="9" fillId="0" borderId="17" xfId="1" applyNumberFormat="1" applyFont="1" applyBorder="1" applyAlignment="1">
      <alignment horizontal="center"/>
    </xf>
    <xf numFmtId="167" fontId="3" fillId="0" borderId="17" xfId="3" applyNumberFormat="1" applyFont="1" applyBorder="1"/>
    <xf numFmtId="167" fontId="3" fillId="2" borderId="17" xfId="3" applyNumberFormat="1" applyFont="1" applyFill="1" applyBorder="1"/>
    <xf numFmtId="165" fontId="3" fillId="0" borderId="18" xfId="1" applyNumberFormat="1" applyFont="1" applyBorder="1"/>
    <xf numFmtId="0" fontId="0" fillId="0" borderId="27" xfId="0" applyBorder="1"/>
    <xf numFmtId="44" fontId="3" fillId="0" borderId="28" xfId="1" applyNumberFormat="1" applyFont="1" applyBorder="1"/>
    <xf numFmtId="44" fontId="3" fillId="0" borderId="19" xfId="1" applyNumberFormat="1" applyFont="1" applyBorder="1"/>
    <xf numFmtId="165" fontId="3" fillId="0" borderId="20" xfId="1" applyNumberFormat="1" applyFont="1" applyBorder="1"/>
    <xf numFmtId="165" fontId="7" fillId="0" borderId="0" xfId="1" quotePrefix="1" applyNumberFormat="1" applyFont="1" applyAlignment="1">
      <alignment horizontal="center" vertical="center"/>
    </xf>
    <xf numFmtId="165" fontId="3" fillId="0" borderId="11" xfId="5" quotePrefix="1" applyNumberFormat="1" applyFont="1" applyFill="1" applyBorder="1" applyAlignment="1">
      <alignment horizontal="left"/>
    </xf>
    <xf numFmtId="44" fontId="3" fillId="0" borderId="0" xfId="2" applyFont="1" applyFill="1"/>
    <xf numFmtId="40" fontId="3" fillId="0" borderId="0" xfId="0" applyNumberFormat="1" applyFont="1"/>
    <xf numFmtId="40" fontId="31" fillId="0" borderId="13" xfId="12" quotePrefix="1" applyFill="1" applyBorder="1">
      <alignment horizontal="left"/>
    </xf>
    <xf numFmtId="0" fontId="0" fillId="0" borderId="14" xfId="0" applyBorder="1"/>
    <xf numFmtId="0" fontId="32" fillId="0" borderId="16" xfId="13" quotePrefix="1" applyBorder="1">
      <alignment horizontal="left"/>
    </xf>
    <xf numFmtId="0" fontId="32" fillId="0" borderId="0" xfId="14" quotePrefix="1">
      <alignment horizontal="left"/>
    </xf>
    <xf numFmtId="40" fontId="32" fillId="0" borderId="0" xfId="15">
      <alignment horizontal="right"/>
    </xf>
    <xf numFmtId="40" fontId="33" fillId="0" borderId="16" xfId="16" quotePrefix="1" applyBorder="1">
      <alignment horizontal="left"/>
    </xf>
    <xf numFmtId="40" fontId="33" fillId="0" borderId="0" xfId="17" quotePrefix="1">
      <alignment horizontal="left"/>
    </xf>
    <xf numFmtId="40" fontId="33" fillId="0" borderId="22" xfId="18">
      <alignment horizontal="right"/>
    </xf>
    <xf numFmtId="40" fontId="31" fillId="0" borderId="16" xfId="12" quotePrefix="1" applyFill="1" applyBorder="1">
      <alignment horizontal="left"/>
    </xf>
    <xf numFmtId="40" fontId="33" fillId="0" borderId="18" xfId="19" quotePrefix="1" applyBorder="1">
      <alignment horizontal="left"/>
    </xf>
    <xf numFmtId="40" fontId="33" fillId="0" borderId="19" xfId="20" quotePrefix="1" applyBorder="1">
      <alignment horizontal="left"/>
    </xf>
    <xf numFmtId="40" fontId="33" fillId="0" borderId="24" xfId="21" applyBorder="1">
      <alignment horizontal="right"/>
    </xf>
    <xf numFmtId="10" fontId="3" fillId="0" borderId="0" xfId="3" quotePrefix="1" applyNumberFormat="1" applyFont="1" applyBorder="1"/>
    <xf numFmtId="3" fontId="4" fillId="0" borderId="7" xfId="0" applyNumberFormat="1" applyFont="1" applyBorder="1" applyAlignment="1">
      <alignment horizontal="center" vertical="center"/>
    </xf>
    <xf numFmtId="44" fontId="4" fillId="0" borderId="0" xfId="0" applyNumberFormat="1" applyFont="1" applyAlignment="1">
      <alignment horizontal="center" vertical="center"/>
    </xf>
    <xf numFmtId="0" fontId="13" fillId="0" borderId="7" xfId="0" applyFont="1" applyBorder="1" applyAlignment="1">
      <alignment horizontal="centerContinuous"/>
    </xf>
    <xf numFmtId="0" fontId="3" fillId="0" borderId="0" xfId="0" applyFont="1" applyAlignment="1">
      <alignment horizontal="centerContinuous"/>
    </xf>
    <xf numFmtId="44" fontId="3" fillId="0" borderId="0" xfId="0" applyNumberFormat="1" applyFont="1" applyAlignment="1">
      <alignment horizontal="centerContinuous"/>
    </xf>
    <xf numFmtId="37" fontId="3" fillId="0" borderId="0" xfId="0" applyNumberFormat="1" applyFont="1" applyAlignment="1">
      <alignment horizontal="right"/>
    </xf>
    <xf numFmtId="164" fontId="9" fillId="0" borderId="0" xfId="0" applyNumberFormat="1" applyFont="1"/>
    <xf numFmtId="3" fontId="3" fillId="4" borderId="0" xfId="0" applyNumberFormat="1" applyFont="1" applyFill="1" applyAlignment="1">
      <alignment horizontal="right"/>
    </xf>
    <xf numFmtId="165" fontId="3" fillId="4" borderId="0" xfId="0" applyNumberFormat="1" applyFont="1" applyFill="1"/>
    <xf numFmtId="0" fontId="3" fillId="4" borderId="8" xfId="0" applyFont="1" applyFill="1" applyBorder="1"/>
    <xf numFmtId="0" fontId="7" fillId="0" borderId="29" xfId="0" applyFont="1" applyBorder="1"/>
    <xf numFmtId="0" fontId="3" fillId="0" borderId="30" xfId="0" applyFont="1" applyBorder="1"/>
    <xf numFmtId="37" fontId="9" fillId="0" borderId="0" xfId="0" applyNumberFormat="1" applyFont="1" applyAlignment="1">
      <alignment horizontal="center"/>
    </xf>
    <xf numFmtId="165" fontId="9" fillId="0" borderId="0" xfId="0" applyNumberFormat="1" applyFont="1" applyAlignment="1">
      <alignment horizontal="right"/>
    </xf>
    <xf numFmtId="0" fontId="9" fillId="0" borderId="8" xfId="0" applyFont="1" applyBorder="1" applyAlignment="1">
      <alignment horizontal="right"/>
    </xf>
    <xf numFmtId="165" fontId="9" fillId="0" borderId="8" xfId="1" applyNumberFormat="1" applyFont="1" applyBorder="1"/>
    <xf numFmtId="0" fontId="3" fillId="0" borderId="8" xfId="0" quotePrefix="1" applyFont="1" applyBorder="1"/>
    <xf numFmtId="44" fontId="9" fillId="0" borderId="0" xfId="0" applyNumberFormat="1" applyFont="1" applyAlignment="1">
      <alignment horizontal="center"/>
    </xf>
    <xf numFmtId="0" fontId="3" fillId="0" borderId="28" xfId="0" applyFont="1" applyBorder="1" applyAlignment="1">
      <alignment horizontal="right"/>
    </xf>
    <xf numFmtId="0" fontId="3" fillId="0" borderId="27" xfId="0" applyFont="1" applyBorder="1"/>
    <xf numFmtId="0" fontId="9" fillId="0" borderId="0" xfId="0" applyFont="1" applyAlignment="1">
      <alignment horizontal="right"/>
    </xf>
    <xf numFmtId="37" fontId="6" fillId="0" borderId="0" xfId="0" applyNumberFormat="1" applyFont="1" applyAlignment="1">
      <alignment horizontal="center"/>
    </xf>
    <xf numFmtId="165" fontId="6" fillId="0" borderId="0" xfId="0" applyNumberFormat="1" applyFont="1" applyAlignment="1">
      <alignment horizontal="right"/>
    </xf>
    <xf numFmtId="0" fontId="6" fillId="0" borderId="0" xfId="0" applyFont="1" applyAlignment="1">
      <alignment horizontal="right"/>
    </xf>
    <xf numFmtId="44" fontId="6" fillId="0" borderId="0" xfId="0" applyNumberFormat="1" applyFont="1" applyAlignment="1">
      <alignment horizontal="center"/>
    </xf>
    <xf numFmtId="43" fontId="3" fillId="0" borderId="2" xfId="1" applyFont="1" applyBorder="1"/>
    <xf numFmtId="172" fontId="3" fillId="0" borderId="4" xfId="1" applyNumberFormat="1" applyFont="1" applyBorder="1"/>
    <xf numFmtId="172" fontId="3" fillId="0" borderId="8" xfId="1" applyNumberFormat="1" applyFont="1" applyBorder="1"/>
    <xf numFmtId="0" fontId="6" fillId="0" borderId="8" xfId="0" applyFont="1" applyBorder="1" applyAlignment="1">
      <alignment horizontal="center"/>
    </xf>
    <xf numFmtId="164" fontId="3" fillId="0" borderId="8" xfId="2" applyNumberFormat="1" applyFont="1" applyFill="1" applyBorder="1"/>
    <xf numFmtId="165" fontId="3" fillId="0" borderId="0" xfId="1" applyNumberFormat="1" applyFont="1" applyFill="1" applyBorder="1" applyAlignment="1">
      <alignment vertical="center"/>
    </xf>
    <xf numFmtId="165" fontId="3" fillId="0" borderId="0" xfId="1" applyNumberFormat="1" applyFont="1" applyFill="1" applyAlignment="1">
      <alignment horizontal="center"/>
    </xf>
    <xf numFmtId="165" fontId="3" fillId="0" borderId="0" xfId="5" applyNumberFormat="1" applyFont="1" applyAlignment="1">
      <alignment horizontal="center"/>
    </xf>
    <xf numFmtId="165" fontId="9" fillId="0" borderId="2" xfId="5" applyNumberFormat="1" applyFont="1" applyBorder="1"/>
    <xf numFmtId="165" fontId="9" fillId="0" borderId="2" xfId="5" applyNumberFormat="1" applyFont="1" applyBorder="1" applyAlignment="1">
      <alignment horizontal="center"/>
    </xf>
    <xf numFmtId="44" fontId="9" fillId="0" borderId="2" xfId="5" applyNumberFormat="1" applyFont="1" applyBorder="1" applyAlignment="1">
      <alignment horizontal="center"/>
    </xf>
    <xf numFmtId="165" fontId="9" fillId="0" borderId="4" xfId="5" applyNumberFormat="1" applyFont="1" applyBorder="1" applyAlignment="1">
      <alignment horizontal="center"/>
    </xf>
    <xf numFmtId="165" fontId="9" fillId="0" borderId="0" xfId="5" applyNumberFormat="1" applyFont="1" applyBorder="1" applyAlignment="1">
      <alignment horizontal="center"/>
    </xf>
    <xf numFmtId="44" fontId="9" fillId="0" borderId="0" xfId="5" applyNumberFormat="1" applyFont="1" applyBorder="1" applyAlignment="1">
      <alignment horizontal="center"/>
    </xf>
    <xf numFmtId="165" fontId="9" fillId="0" borderId="8" xfId="5" applyNumberFormat="1" applyFont="1" applyBorder="1" applyAlignment="1">
      <alignment horizontal="center"/>
    </xf>
    <xf numFmtId="44" fontId="3" fillId="0" borderId="0" xfId="5" applyNumberFormat="1" applyFont="1" applyFill="1" applyBorder="1"/>
    <xf numFmtId="44" fontId="3" fillId="0" borderId="0" xfId="6" applyFont="1" applyFill="1" applyBorder="1"/>
    <xf numFmtId="10" fontId="3" fillId="0" borderId="8" xfId="7" applyNumberFormat="1" applyFont="1" applyBorder="1"/>
    <xf numFmtId="10" fontId="3" fillId="0" borderId="0" xfId="7" applyNumberFormat="1" applyFont="1" applyBorder="1"/>
    <xf numFmtId="44" fontId="3" fillId="0" borderId="0" xfId="6" applyFont="1" applyBorder="1"/>
    <xf numFmtId="165" fontId="3" fillId="0" borderId="5" xfId="5" applyNumberFormat="1" applyFont="1" applyBorder="1"/>
    <xf numFmtId="10" fontId="3" fillId="0" borderId="6" xfId="7" applyNumberFormat="1" applyFont="1" applyBorder="1"/>
    <xf numFmtId="165" fontId="3" fillId="0" borderId="3" xfId="5" applyNumberFormat="1" applyFont="1" applyBorder="1" applyAlignment="1">
      <alignment horizontal="center"/>
    </xf>
    <xf numFmtId="165" fontId="9" fillId="0" borderId="7" xfId="5" applyNumberFormat="1" applyFont="1" applyBorder="1" applyAlignment="1">
      <alignment horizontal="center"/>
    </xf>
    <xf numFmtId="42" fontId="3" fillId="0" borderId="0" xfId="0" applyNumberFormat="1" applyFont="1"/>
    <xf numFmtId="43" fontId="3" fillId="0" borderId="7" xfId="1" applyFont="1" applyBorder="1" applyAlignment="1"/>
    <xf numFmtId="0" fontId="6" fillId="0" borderId="0" xfId="0" applyFont="1" applyAlignment="1">
      <alignment horizontal="left"/>
    </xf>
    <xf numFmtId="0" fontId="3" fillId="0" borderId="1" xfId="1" applyNumberFormat="1" applyFont="1" applyBorder="1" applyAlignment="1"/>
    <xf numFmtId="43" fontId="3" fillId="0" borderId="0" xfId="1" applyFont="1" applyBorder="1" applyAlignment="1">
      <alignment vertical="center"/>
    </xf>
    <xf numFmtId="10" fontId="3" fillId="0" borderId="4" xfId="3" applyNumberFormat="1" applyFont="1" applyBorder="1" applyAlignment="1"/>
    <xf numFmtId="10" fontId="3" fillId="0" borderId="8" xfId="3" applyNumberFormat="1" applyFont="1" applyBorder="1" applyAlignment="1"/>
    <xf numFmtId="0" fontId="6" fillId="0" borderId="7" xfId="0" applyFont="1" applyBorder="1"/>
    <xf numFmtId="10" fontId="3" fillId="0" borderId="8" xfId="3" applyNumberFormat="1" applyFont="1" applyBorder="1" applyAlignment="1">
      <alignment vertical="center"/>
    </xf>
    <xf numFmtId="43" fontId="3" fillId="0" borderId="7" xfId="1" applyFont="1" applyBorder="1" applyAlignment="1">
      <alignment horizontal="center"/>
    </xf>
    <xf numFmtId="0" fontId="3" fillId="0" borderId="5" xfId="0" applyFont="1" applyBorder="1" applyAlignment="1">
      <alignment horizontal="right"/>
    </xf>
    <xf numFmtId="0" fontId="3" fillId="0" borderId="1" xfId="0" applyFont="1" applyBorder="1" applyAlignment="1">
      <alignment horizontal="left"/>
    </xf>
    <xf numFmtId="173" fontId="3" fillId="0" borderId="1" xfId="1" applyNumberFormat="1" applyFont="1" applyBorder="1" applyAlignment="1">
      <alignment horizontal="right"/>
    </xf>
    <xf numFmtId="166" fontId="3" fillId="0" borderId="1" xfId="1" applyNumberFormat="1" applyFont="1" applyBorder="1" applyAlignment="1"/>
    <xf numFmtId="173" fontId="3" fillId="0" borderId="1" xfId="1" applyNumberFormat="1" applyFont="1" applyBorder="1" applyAlignment="1"/>
    <xf numFmtId="10" fontId="3" fillId="0" borderId="6" xfId="3" applyNumberFormat="1" applyFont="1" applyBorder="1" applyAlignment="1">
      <alignment vertical="center"/>
    </xf>
    <xf numFmtId="43" fontId="3" fillId="0" borderId="7" xfId="5" quotePrefix="1" applyFont="1" applyFill="1" applyBorder="1" applyAlignment="1">
      <alignment horizontal="center"/>
    </xf>
    <xf numFmtId="10" fontId="3" fillId="0" borderId="8" xfId="7" applyNumberFormat="1" applyFont="1" applyFill="1" applyBorder="1"/>
    <xf numFmtId="43" fontId="3" fillId="0" borderId="7" xfId="5" quotePrefix="1" applyFont="1" applyBorder="1" applyAlignment="1">
      <alignment horizontal="center"/>
    </xf>
    <xf numFmtId="165" fontId="3" fillId="0" borderId="7" xfId="5" applyNumberFormat="1" applyFont="1" applyBorder="1" applyAlignment="1">
      <alignment horizontal="center"/>
    </xf>
    <xf numFmtId="0" fontId="1" fillId="0" borderId="0" xfId="0" applyFont="1" applyAlignment="1">
      <alignment horizontal="center" wrapText="1"/>
    </xf>
    <xf numFmtId="165" fontId="4" fillId="0" borderId="0" xfId="1" applyNumberFormat="1" applyFont="1" applyAlignment="1">
      <alignment horizontal="center" vertical="center"/>
    </xf>
    <xf numFmtId="3" fontId="20" fillId="0" borderId="0" xfId="0" applyNumberFormat="1" applyFont="1" applyAlignment="1">
      <alignment horizontal="center" vertical="center"/>
    </xf>
    <xf numFmtId="0" fontId="0" fillId="0" borderId="0" xfId="0" applyAlignment="1">
      <alignment horizontal="center" vertical="center"/>
    </xf>
    <xf numFmtId="165" fontId="7" fillId="0" borderId="0" xfId="1" applyNumberFormat="1" applyFont="1" applyAlignment="1">
      <alignment horizontal="center"/>
    </xf>
    <xf numFmtId="0" fontId="0" fillId="0" borderId="0" xfId="0" applyAlignment="1">
      <alignment horizontal="center"/>
    </xf>
    <xf numFmtId="165" fontId="4" fillId="0" borderId="0" xfId="1" applyNumberFormat="1" applyFont="1" applyBorder="1" applyAlignment="1">
      <alignment horizontal="center" vertical="center"/>
    </xf>
    <xf numFmtId="165" fontId="3" fillId="3" borderId="0" xfId="1" applyNumberFormat="1" applyFont="1" applyFill="1" applyAlignment="1">
      <alignment horizontal="center"/>
    </xf>
    <xf numFmtId="165" fontId="10" fillId="0" borderId="0" xfId="5" applyNumberFormat="1" applyFont="1" applyBorder="1" applyAlignment="1">
      <alignment horizontal="center" vertical="center"/>
    </xf>
    <xf numFmtId="165" fontId="10" fillId="0" borderId="7" xfId="5" applyNumberFormat="1" applyFont="1" applyFill="1" applyBorder="1" applyAlignment="1">
      <alignment horizontal="center" vertical="center"/>
    </xf>
    <xf numFmtId="165" fontId="10" fillId="0" borderId="8" xfId="5" applyNumberFormat="1" applyFont="1" applyFill="1" applyBorder="1" applyAlignment="1">
      <alignment horizontal="center" vertical="center"/>
    </xf>
    <xf numFmtId="165" fontId="10" fillId="0" borderId="7" xfId="5" applyNumberFormat="1" applyFont="1" applyBorder="1" applyAlignment="1">
      <alignment horizontal="center" vertical="center"/>
    </xf>
    <xf numFmtId="165" fontId="10" fillId="0" borderId="8" xfId="5" applyNumberFormat="1" applyFont="1" applyBorder="1" applyAlignment="1">
      <alignment horizontal="center" vertical="center"/>
    </xf>
    <xf numFmtId="3" fontId="4" fillId="0" borderId="0" xfId="0" applyNumberFormat="1" applyFont="1" applyAlignment="1">
      <alignment horizontal="center"/>
    </xf>
    <xf numFmtId="3" fontId="5" fillId="0" borderId="0" xfId="0" applyNumberFormat="1" applyFont="1" applyAlignment="1">
      <alignment horizontal="center"/>
    </xf>
    <xf numFmtId="3" fontId="11" fillId="0" borderId="0" xfId="0" applyNumberFormat="1" applyFont="1" applyAlignment="1">
      <alignment horizontal="center" vertical="center"/>
    </xf>
    <xf numFmtId="166" fontId="6" fillId="0" borderId="0" xfId="1" applyNumberFormat="1" applyFont="1" applyBorder="1" applyAlignment="1">
      <alignment horizontal="center"/>
    </xf>
    <xf numFmtId="166" fontId="6" fillId="0" borderId="8" xfId="1" applyNumberFormat="1" applyFont="1" applyBorder="1" applyAlignment="1">
      <alignment horizontal="center"/>
    </xf>
    <xf numFmtId="43" fontId="4" fillId="0" borderId="0" xfId="1" applyFont="1" applyBorder="1" applyAlignment="1">
      <alignment horizontal="center"/>
    </xf>
    <xf numFmtId="3" fontId="5" fillId="0" borderId="3" xfId="0" applyNumberFormat="1" applyFont="1" applyBorder="1" applyAlignment="1">
      <alignment horizontal="center"/>
    </xf>
    <xf numFmtId="3" fontId="5" fillId="0" borderId="2" xfId="0" applyNumberFormat="1" applyFont="1" applyBorder="1" applyAlignment="1">
      <alignment horizontal="center"/>
    </xf>
    <xf numFmtId="3" fontId="11" fillId="0" borderId="7" xfId="0" applyNumberFormat="1" applyFont="1" applyBorder="1" applyAlignment="1">
      <alignment horizontal="center" vertical="center"/>
    </xf>
    <xf numFmtId="165" fontId="9" fillId="0" borderId="0" xfId="5" applyNumberFormat="1" applyFont="1" applyBorder="1" applyAlignment="1">
      <alignment horizontal="center"/>
    </xf>
    <xf numFmtId="0" fontId="36" fillId="0" borderId="0" xfId="0" applyFont="1" applyAlignment="1">
      <alignment horizontal="center"/>
    </xf>
    <xf numFmtId="0" fontId="5" fillId="0" borderId="0" xfId="0" applyFont="1" applyAlignment="1">
      <alignment horizontal="center"/>
    </xf>
    <xf numFmtId="0" fontId="5" fillId="0" borderId="17" xfId="0" applyFont="1" applyBorder="1" applyAlignment="1">
      <alignment horizontal="center"/>
    </xf>
    <xf numFmtId="3" fontId="11" fillId="0" borderId="17" xfId="0" applyNumberFormat="1" applyFont="1" applyBorder="1" applyAlignment="1">
      <alignment horizontal="center" vertical="center"/>
    </xf>
    <xf numFmtId="165" fontId="4" fillId="0" borderId="14" xfId="1" applyNumberFormat="1" applyFont="1" applyBorder="1" applyAlignment="1">
      <alignment horizontal="center"/>
    </xf>
    <xf numFmtId="165" fontId="4" fillId="0" borderId="15" xfId="1" applyNumberFormat="1" applyFont="1" applyBorder="1" applyAlignment="1">
      <alignment horizontal="center"/>
    </xf>
    <xf numFmtId="165" fontId="3" fillId="0" borderId="0" xfId="5" applyNumberFormat="1" applyFont="1" applyAlignment="1">
      <alignment horizontal="center"/>
    </xf>
    <xf numFmtId="165" fontId="3" fillId="0" borderId="2" xfId="5" applyNumberFormat="1" applyFont="1" applyBorder="1" applyAlignment="1">
      <alignment horizontal="center"/>
    </xf>
    <xf numFmtId="0" fontId="0" fillId="0" borderId="2" xfId="0" applyBorder="1" applyAlignment="1">
      <alignment horizontal="center"/>
    </xf>
    <xf numFmtId="37" fontId="6" fillId="0" borderId="0" xfId="0" applyNumberFormat="1" applyFont="1" applyAlignment="1">
      <alignment horizontal="center"/>
    </xf>
    <xf numFmtId="0" fontId="20" fillId="0" borderId="3" xfId="0" applyFont="1" applyBorder="1" applyAlignment="1">
      <alignment horizontal="center"/>
    </xf>
    <xf numFmtId="0" fontId="20" fillId="0" borderId="2" xfId="0" applyFont="1" applyBorder="1" applyAlignment="1">
      <alignment horizontal="center"/>
    </xf>
    <xf numFmtId="3" fontId="20" fillId="0" borderId="7" xfId="0" applyNumberFormat="1" applyFont="1" applyBorder="1" applyAlignment="1">
      <alignment horizontal="center" vertical="center"/>
    </xf>
    <xf numFmtId="165" fontId="11" fillId="0" borderId="0" xfId="5" applyNumberFormat="1" applyFont="1" applyBorder="1" applyAlignment="1">
      <alignment horizontal="center" vertical="center"/>
    </xf>
    <xf numFmtId="37" fontId="9" fillId="0" borderId="0" xfId="0" applyNumberFormat="1" applyFont="1" applyAlignment="1">
      <alignment horizontal="center"/>
    </xf>
    <xf numFmtId="0" fontId="7" fillId="0" borderId="0" xfId="0" applyFont="1" applyAlignment="1">
      <alignment horizontal="center"/>
    </xf>
    <xf numFmtId="0" fontId="7" fillId="0" borderId="14" xfId="0" applyFont="1" applyBorder="1" applyAlignment="1">
      <alignment horizontal="center"/>
    </xf>
    <xf numFmtId="0" fontId="7" fillId="0" borderId="2" xfId="0" applyFont="1" applyBorder="1" applyAlignment="1">
      <alignment horizontal="center"/>
    </xf>
    <xf numFmtId="37" fontId="3" fillId="0" borderId="0" xfId="0" applyNumberFormat="1" applyFont="1" applyAlignment="1">
      <alignment horizontal="center"/>
    </xf>
    <xf numFmtId="3" fontId="4" fillId="0" borderId="7" xfId="0" applyNumberFormat="1" applyFont="1" applyBorder="1" applyAlignment="1">
      <alignment horizontal="center" vertical="center"/>
    </xf>
    <xf numFmtId="3" fontId="4" fillId="0" borderId="0" xfId="0" applyNumberFormat="1" applyFont="1" applyAlignment="1">
      <alignment horizontal="center" vertical="center"/>
    </xf>
    <xf numFmtId="44" fontId="3" fillId="0" borderId="0" xfId="0" applyNumberFormat="1" applyFont="1" applyBorder="1"/>
    <xf numFmtId="0" fontId="25" fillId="7" borderId="0" xfId="0" applyFont="1" applyFill="1" applyAlignment="1">
      <alignment horizontal="center"/>
    </xf>
    <xf numFmtId="165" fontId="25" fillId="7" borderId="0" xfId="1" applyNumberFormat="1" applyFont="1" applyFill="1"/>
    <xf numFmtId="0" fontId="25" fillId="7" borderId="0" xfId="0" applyFont="1" applyFill="1"/>
    <xf numFmtId="43" fontId="25" fillId="7" borderId="0" xfId="5" applyFont="1" applyFill="1" applyBorder="1"/>
    <xf numFmtId="165" fontId="25" fillId="7" borderId="0" xfId="5" applyNumberFormat="1" applyFont="1" applyFill="1" applyBorder="1"/>
    <xf numFmtId="44" fontId="3" fillId="7" borderId="0" xfId="10" applyFont="1" applyFill="1"/>
    <xf numFmtId="10" fontId="3" fillId="7" borderId="0" xfId="3" applyNumberFormat="1" applyFont="1" applyFill="1" applyAlignment="1">
      <alignment horizontal="center"/>
    </xf>
    <xf numFmtId="44" fontId="3" fillId="7" borderId="1" xfId="0" applyNumberFormat="1" applyFont="1" applyFill="1" applyBorder="1"/>
    <xf numFmtId="9" fontId="3" fillId="7" borderId="0" xfId="3" applyFont="1" applyFill="1" applyAlignment="1">
      <alignment horizontal="center"/>
    </xf>
    <xf numFmtId="44" fontId="3" fillId="7" borderId="0" xfId="0" applyNumberFormat="1" applyFont="1" applyFill="1"/>
  </cellXfs>
  <cellStyles count="22">
    <cellStyle name="AccountDetailRowBalanceCol" xfId="15" xr:uid="{E702E259-BADC-4CFC-83F7-7ED661EA58CA}"/>
    <cellStyle name="AccountDetailRowDescCol" xfId="14" xr:uid="{32ECF78C-F3A8-4C52-841D-8E41292309BA}"/>
    <cellStyle name="AccountDetailRowNameCol" xfId="13" xr:uid="{ED721418-A2DE-485F-8533-BC3584C7DA15}"/>
    <cellStyle name="Comma" xfId="1" builtinId="3"/>
    <cellStyle name="Comma 2" xfId="5" xr:uid="{00000000-0005-0000-0000-000001000000}"/>
    <cellStyle name="Comma 3" xfId="9" xr:uid="{00000000-0005-0000-0000-000002000000}"/>
    <cellStyle name="Currency" xfId="2" builtinId="4"/>
    <cellStyle name="Currency 2" xfId="6" xr:uid="{00000000-0005-0000-0000-000004000000}"/>
    <cellStyle name="Currency 3" xfId="10" xr:uid="{00000000-0005-0000-0000-000005000000}"/>
    <cellStyle name="Hyperlink" xfId="11" builtinId="8"/>
    <cellStyle name="Normal" xfId="0" builtinId="0"/>
    <cellStyle name="Normal 2" xfId="4" xr:uid="{00000000-0005-0000-0000-000007000000}"/>
    <cellStyle name="Normal 3" xfId="8" xr:uid="{00000000-0005-0000-0000-000008000000}"/>
    <cellStyle name="Percent" xfId="3" builtinId="5"/>
    <cellStyle name="Percent 2" xfId="7" xr:uid="{00000000-0005-0000-0000-00000A000000}"/>
    <cellStyle name="SubgroupSectionHeaderRowDescCol" xfId="12" xr:uid="{7F6FC37A-44E3-44AE-A38F-4AED7212030B}"/>
    <cellStyle name="SubgroupSubtotalRowBalanceCol" xfId="21" xr:uid="{1863B9A3-507E-46BC-B014-75BCEFEC3397}"/>
    <cellStyle name="SubgroupSubtotalRowDescCol" xfId="20" xr:uid="{BF324CD9-40EA-4D64-AFEF-C5EB5A3E704B}"/>
    <cellStyle name="SubgroupSubtotalRowNameCol" xfId="19" xr:uid="{AABEAD5A-DC0C-4E8E-ACDA-A75A8249CDEB}"/>
    <cellStyle name="UnclassifiedTotalRowBalanceCol" xfId="18" xr:uid="{496D893F-E389-4266-94CB-CED2CD29139A}"/>
    <cellStyle name="UnclassifiedTotalRowDescCol" xfId="17" xr:uid="{F43D2919-5F14-4120-BF4E-5152B5812CFE}"/>
    <cellStyle name="UnclassifiedTotalRowNameCol" xfId="16" xr:uid="{80576BC2-9575-45BB-8C9B-022432449D2B}"/>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64"/>
  <sheetViews>
    <sheetView showGridLines="0" topLeftCell="A36" workbookViewId="0">
      <selection activeCell="E22" sqref="E22"/>
    </sheetView>
  </sheetViews>
  <sheetFormatPr defaultColWidth="8.765625" defaultRowHeight="14.5" x14ac:dyDescent="0.35"/>
  <cols>
    <col min="1" max="1" width="3.69140625" style="4" customWidth="1"/>
    <col min="2" max="2" width="2.69140625" style="4" customWidth="1"/>
    <col min="3" max="3" width="32" style="4" bestFit="1" customWidth="1"/>
    <col min="4" max="4" width="11.3046875" style="4" customWidth="1"/>
    <col min="5" max="5" width="11.53515625" style="4" customWidth="1"/>
    <col min="6" max="6" width="5.3046875" style="4" customWidth="1"/>
    <col min="7" max="7" width="11.53515625" style="4" customWidth="1"/>
    <col min="8" max="8" width="3.61328125" style="4" customWidth="1"/>
    <col min="9" max="9" width="14.53515625" style="4" customWidth="1"/>
    <col min="10" max="10" width="11.3046875" style="4" customWidth="1"/>
    <col min="11" max="11" width="16.4609375" style="4" customWidth="1"/>
    <col min="12" max="12" width="10.84375" style="4" customWidth="1"/>
    <col min="13" max="16384" width="8.765625" style="4"/>
  </cols>
  <sheetData>
    <row r="1" spans="1:12" ht="18.5" x14ac:dyDescent="0.35">
      <c r="A1" s="481" t="s">
        <v>28</v>
      </c>
      <c r="B1" s="481"/>
      <c r="C1" s="481"/>
      <c r="D1" s="481"/>
      <c r="E1" s="481"/>
      <c r="F1" s="481"/>
      <c r="G1" s="481"/>
      <c r="H1" s="41"/>
      <c r="I1" s="41"/>
      <c r="J1" s="41"/>
      <c r="K1" s="41"/>
    </row>
    <row r="2" spans="1:12" ht="21" x14ac:dyDescent="0.35">
      <c r="A2" s="482" t="s">
        <v>224</v>
      </c>
      <c r="B2" s="483"/>
      <c r="C2" s="483"/>
      <c r="D2" s="483"/>
      <c r="E2" s="483"/>
      <c r="F2" s="483"/>
      <c r="G2" s="483"/>
      <c r="H2" s="347"/>
      <c r="I2" s="41"/>
      <c r="J2" s="41"/>
      <c r="K2" s="41"/>
      <c r="L2" s="41"/>
    </row>
    <row r="3" spans="1:12" x14ac:dyDescent="0.35">
      <c r="A3" s="29"/>
      <c r="B3" s="40"/>
      <c r="C3" s="40"/>
      <c r="D3" s="394" t="s">
        <v>252</v>
      </c>
      <c r="E3" s="40"/>
      <c r="F3" s="40"/>
      <c r="G3" s="40"/>
      <c r="H3" s="41"/>
      <c r="I3" s="41"/>
      <c r="J3" s="41"/>
      <c r="K3" s="41"/>
    </row>
    <row r="4" spans="1:12" ht="16" x14ac:dyDescent="0.35">
      <c r="A4" s="41"/>
      <c r="B4" s="41"/>
      <c r="C4" s="41"/>
      <c r="D4" s="42" t="s">
        <v>29</v>
      </c>
      <c r="E4" s="42" t="s">
        <v>30</v>
      </c>
      <c r="F4" s="42" t="s">
        <v>31</v>
      </c>
      <c r="G4" s="42" t="s">
        <v>32</v>
      </c>
      <c r="H4" s="41"/>
      <c r="I4" s="53" t="s">
        <v>38</v>
      </c>
      <c r="J4" s="41"/>
      <c r="L4" s="195" t="s">
        <v>179</v>
      </c>
    </row>
    <row r="5" spans="1:12" x14ac:dyDescent="0.35">
      <c r="A5" s="43" t="s">
        <v>14</v>
      </c>
      <c r="B5" s="41"/>
      <c r="C5" s="41"/>
      <c r="D5" s="41"/>
      <c r="F5" s="41"/>
      <c r="G5" s="41"/>
      <c r="H5" s="41"/>
      <c r="J5" s="41"/>
      <c r="K5" s="41"/>
    </row>
    <row r="6" spans="1:12" x14ac:dyDescent="0.35">
      <c r="A6" s="41"/>
      <c r="B6" s="41" t="s">
        <v>40</v>
      </c>
      <c r="C6" s="41"/>
      <c r="D6" s="360">
        <v>2891183</v>
      </c>
      <c r="E6" s="361">
        <f>ExBA!G11</f>
        <v>63663.310000000056</v>
      </c>
      <c r="F6" s="44" t="s">
        <v>196</v>
      </c>
      <c r="G6" s="362">
        <f>D6+E6</f>
        <v>2954846.31</v>
      </c>
      <c r="H6" s="45"/>
      <c r="I6" s="41" t="s">
        <v>368</v>
      </c>
      <c r="J6" s="41"/>
      <c r="K6" s="194"/>
      <c r="L6" s="4" t="s">
        <v>193</v>
      </c>
    </row>
    <row r="7" spans="1:12" x14ac:dyDescent="0.35">
      <c r="A7" s="41"/>
      <c r="B7" s="41" t="s">
        <v>57</v>
      </c>
      <c r="C7" s="41"/>
      <c r="D7" s="41"/>
      <c r="E7" s="284"/>
      <c r="F7" s="44"/>
      <c r="G7" s="41">
        <f>D7+E7</f>
        <v>0</v>
      </c>
      <c r="H7" s="46"/>
      <c r="I7" s="39"/>
      <c r="J7" s="41"/>
      <c r="K7" s="41"/>
    </row>
    <row r="8" spans="1:12" x14ac:dyDescent="0.35">
      <c r="A8" s="41"/>
      <c r="B8" s="41" t="s">
        <v>15</v>
      </c>
      <c r="C8" s="41"/>
      <c r="D8" s="41"/>
      <c r="E8" s="284"/>
      <c r="F8" s="44"/>
      <c r="G8" s="41"/>
      <c r="H8" s="45"/>
      <c r="I8" s="244"/>
      <c r="J8" s="41"/>
    </row>
    <row r="9" spans="1:12" x14ac:dyDescent="0.35">
      <c r="A9" s="41"/>
      <c r="B9" s="41" t="s">
        <v>16</v>
      </c>
      <c r="C9" s="41"/>
      <c r="D9" s="41"/>
      <c r="E9" s="284"/>
      <c r="F9" s="44"/>
      <c r="G9" s="41"/>
      <c r="H9" s="47"/>
      <c r="I9" s="41"/>
      <c r="J9" s="41"/>
      <c r="K9" s="41"/>
    </row>
    <row r="10" spans="1:12" x14ac:dyDescent="0.35">
      <c r="A10" s="41"/>
      <c r="B10" s="41"/>
      <c r="C10" s="41" t="s">
        <v>39</v>
      </c>
      <c r="D10" s="41">
        <v>30838</v>
      </c>
      <c r="E10" s="284"/>
      <c r="F10" s="44"/>
      <c r="G10" s="41">
        <f>D10+E10</f>
        <v>30838</v>
      </c>
      <c r="H10" s="45"/>
      <c r="I10" s="41"/>
      <c r="J10" s="41"/>
      <c r="K10" s="41"/>
    </row>
    <row r="11" spans="1:12" x14ac:dyDescent="0.35">
      <c r="A11" s="41"/>
      <c r="B11" s="41"/>
      <c r="C11" s="41" t="s">
        <v>177</v>
      </c>
      <c r="D11" s="41">
        <v>21853</v>
      </c>
      <c r="E11" s="284">
        <v>0</v>
      </c>
      <c r="F11" s="44"/>
      <c r="G11" s="41">
        <f>D11+E11</f>
        <v>21853</v>
      </c>
      <c r="H11" s="45"/>
      <c r="I11" s="41"/>
      <c r="J11" s="41"/>
      <c r="K11" s="41"/>
    </row>
    <row r="12" spans="1:12" ht="16" x14ac:dyDescent="0.35">
      <c r="A12" s="41"/>
      <c r="B12" s="41"/>
      <c r="C12" s="41" t="s">
        <v>207</v>
      </c>
      <c r="D12" s="242">
        <v>25107</v>
      </c>
      <c r="E12" s="295">
        <v>0</v>
      </c>
      <c r="F12" s="44"/>
      <c r="G12" s="242">
        <f>D12+E12</f>
        <v>25107</v>
      </c>
      <c r="H12" s="45"/>
      <c r="I12" s="41"/>
      <c r="J12" s="41"/>
      <c r="K12" s="41"/>
    </row>
    <row r="13" spans="1:12" x14ac:dyDescent="0.35">
      <c r="A13" s="48" t="s">
        <v>17</v>
      </c>
      <c r="B13" s="41"/>
      <c r="C13" s="41"/>
      <c r="D13" s="41">
        <f>SUM(D6:D12)</f>
        <v>2968981</v>
      </c>
      <c r="E13" s="284">
        <f>SUM(E6:E12)</f>
        <v>63663.310000000056</v>
      </c>
      <c r="F13" s="44"/>
      <c r="G13" s="41">
        <f>SUM(G6:G12)</f>
        <v>3032644.31</v>
      </c>
      <c r="H13" s="47"/>
      <c r="J13" s="41"/>
      <c r="K13" s="41"/>
    </row>
    <row r="14" spans="1:12" x14ac:dyDescent="0.35">
      <c r="A14" s="41"/>
      <c r="B14" s="41"/>
      <c r="C14" s="41"/>
      <c r="D14" s="41"/>
      <c r="E14" s="284"/>
      <c r="F14" s="44"/>
      <c r="G14" s="41"/>
      <c r="H14" s="47"/>
      <c r="I14" s="41"/>
      <c r="J14" s="41"/>
      <c r="K14" s="41"/>
    </row>
    <row r="15" spans="1:12" x14ac:dyDescent="0.35">
      <c r="A15" s="43" t="s">
        <v>18</v>
      </c>
      <c r="B15" s="41"/>
      <c r="C15" s="41"/>
      <c r="D15" s="41"/>
      <c r="E15" s="284"/>
      <c r="F15" s="44"/>
      <c r="G15" s="41"/>
      <c r="H15" s="47"/>
      <c r="I15" s="41"/>
      <c r="J15" s="41"/>
      <c r="K15" s="41"/>
    </row>
    <row r="16" spans="1:12" x14ac:dyDescent="0.35">
      <c r="A16" s="41"/>
      <c r="B16" s="41" t="s">
        <v>33</v>
      </c>
      <c r="C16" s="41"/>
      <c r="D16" s="41"/>
      <c r="E16" s="284"/>
      <c r="F16" s="44"/>
      <c r="G16" s="41"/>
      <c r="H16" s="47"/>
      <c r="I16" s="41"/>
      <c r="J16" s="41"/>
      <c r="K16" s="41"/>
    </row>
    <row r="17" spans="1:12" x14ac:dyDescent="0.35">
      <c r="A17" s="41"/>
      <c r="B17" s="41"/>
      <c r="C17" s="41" t="s">
        <v>2</v>
      </c>
      <c r="D17" s="41">
        <v>591437</v>
      </c>
      <c r="E17" s="284"/>
      <c r="F17" s="49"/>
      <c r="G17" s="41"/>
      <c r="H17" s="45"/>
      <c r="J17" s="41"/>
      <c r="K17" s="41"/>
    </row>
    <row r="18" spans="1:12" x14ac:dyDescent="0.35">
      <c r="A18" s="41"/>
      <c r="B18" s="41"/>
      <c r="C18" s="41"/>
      <c r="D18" s="41"/>
      <c r="E18" s="346">
        <f>Wages!J28</f>
        <v>110828.28000000003</v>
      </c>
      <c r="F18" s="49" t="s">
        <v>255</v>
      </c>
      <c r="G18" s="41"/>
      <c r="H18" s="45"/>
      <c r="I18" s="41" t="s">
        <v>307</v>
      </c>
      <c r="J18" s="41"/>
      <c r="K18" s="41"/>
      <c r="L18" s="4" t="s">
        <v>291</v>
      </c>
    </row>
    <row r="19" spans="1:12" x14ac:dyDescent="0.35">
      <c r="A19" s="41"/>
      <c r="B19" s="41"/>
      <c r="C19" s="41"/>
      <c r="D19" s="41"/>
      <c r="E19" s="298"/>
      <c r="F19" s="49"/>
      <c r="G19" s="41">
        <f>D17+E17+E18</f>
        <v>702265.28</v>
      </c>
      <c r="H19" s="45"/>
      <c r="I19" s="41"/>
      <c r="J19" s="41"/>
      <c r="K19" s="41"/>
    </row>
    <row r="20" spans="1:12" x14ac:dyDescent="0.35">
      <c r="A20" s="41"/>
      <c r="B20" s="41"/>
      <c r="C20" s="41" t="s">
        <v>3</v>
      </c>
      <c r="D20" s="41">
        <v>29602</v>
      </c>
      <c r="E20" s="308">
        <f>Wages!J57</f>
        <v>398</v>
      </c>
      <c r="F20" s="44" t="s">
        <v>256</v>
      </c>
      <c r="G20" s="41">
        <f>D20+E20</f>
        <v>30000</v>
      </c>
      <c r="H20" s="45"/>
      <c r="I20" s="4" t="s">
        <v>233</v>
      </c>
      <c r="L20" s="4" t="s">
        <v>234</v>
      </c>
    </row>
    <row r="21" spans="1:12" x14ac:dyDescent="0.35">
      <c r="A21" s="41"/>
      <c r="B21" s="41"/>
      <c r="C21" s="41" t="s">
        <v>4</v>
      </c>
      <c r="D21" s="41">
        <v>365747</v>
      </c>
      <c r="E21" s="299"/>
      <c r="F21" s="49"/>
      <c r="G21" s="41"/>
      <c r="H21" s="45"/>
      <c r="J21" s="41"/>
      <c r="K21" s="41"/>
      <c r="L21" s="297"/>
    </row>
    <row r="22" spans="1:12" x14ac:dyDescent="0.35">
      <c r="A22" s="41"/>
      <c r="B22" s="41"/>
      <c r="C22" s="41"/>
      <c r="D22" s="41"/>
      <c r="E22" s="276">
        <f>Medical!C42</f>
        <v>-26901.649199999985</v>
      </c>
      <c r="F22" s="49" t="s">
        <v>292</v>
      </c>
      <c r="G22" s="41"/>
      <c r="H22" s="45"/>
      <c r="I22" s="41" t="s">
        <v>222</v>
      </c>
      <c r="J22" s="41"/>
      <c r="K22" s="41"/>
      <c r="L22" s="297" t="s">
        <v>276</v>
      </c>
    </row>
    <row r="23" spans="1:12" x14ac:dyDescent="0.35">
      <c r="A23" s="41"/>
      <c r="B23" s="41"/>
      <c r="C23" s="41"/>
      <c r="D23" s="41"/>
      <c r="E23" s="308">
        <f>Wages!J40</f>
        <v>-973.47964800000773</v>
      </c>
      <c r="F23" s="49" t="s">
        <v>293</v>
      </c>
      <c r="G23" s="41"/>
      <c r="H23" s="45"/>
      <c r="I23" s="41" t="s">
        <v>346</v>
      </c>
      <c r="J23" s="41"/>
      <c r="K23" s="41"/>
      <c r="L23" s="297" t="s">
        <v>247</v>
      </c>
    </row>
    <row r="24" spans="1:12" x14ac:dyDescent="0.35">
      <c r="A24" s="41"/>
      <c r="B24" s="41"/>
      <c r="C24" s="41"/>
      <c r="D24" s="41"/>
      <c r="E24" s="296"/>
      <c r="F24" s="49"/>
      <c r="G24" s="182">
        <f>D21+E21+E22+E23</f>
        <v>337871.87115200004</v>
      </c>
      <c r="H24" s="45"/>
      <c r="I24" s="168"/>
      <c r="J24" s="41"/>
      <c r="K24" s="41"/>
    </row>
    <row r="25" spans="1:12" x14ac:dyDescent="0.35">
      <c r="A25" s="41"/>
      <c r="B25" s="41"/>
      <c r="C25" s="41" t="s">
        <v>5</v>
      </c>
      <c r="D25" s="41">
        <v>931374</v>
      </c>
      <c r="E25" s="276">
        <f>'Water Loss'!D19</f>
        <v>-36400.264839115356</v>
      </c>
      <c r="F25" s="49" t="s">
        <v>295</v>
      </c>
      <c r="G25" s="41"/>
      <c r="H25" s="50"/>
      <c r="I25" s="4" t="s">
        <v>214</v>
      </c>
    </row>
    <row r="26" spans="1:12" x14ac:dyDescent="0.35">
      <c r="A26" s="41"/>
      <c r="B26" s="41"/>
      <c r="C26" s="41"/>
      <c r="D26" s="41"/>
      <c r="E26" s="276">
        <v>121118</v>
      </c>
      <c r="F26" s="442" t="s">
        <v>296</v>
      </c>
      <c r="G26" s="41">
        <f>D25+E25+E26</f>
        <v>1016091.7351608847</v>
      </c>
      <c r="H26" s="50"/>
      <c r="I26" s="4" t="s">
        <v>355</v>
      </c>
    </row>
    <row r="27" spans="1:12" x14ac:dyDescent="0.35">
      <c r="A27" s="41"/>
      <c r="B27" s="41"/>
      <c r="C27" s="41" t="s">
        <v>6</v>
      </c>
      <c r="D27" s="41">
        <v>35460</v>
      </c>
      <c r="E27" s="276">
        <f>'Water Loss'!D20</f>
        <v>-1385.8593767863722</v>
      </c>
      <c r="F27" s="49" t="s">
        <v>295</v>
      </c>
      <c r="G27" s="41">
        <f>D27+E27</f>
        <v>34074.140623213629</v>
      </c>
      <c r="H27" s="51"/>
      <c r="I27" s="4" t="s">
        <v>214</v>
      </c>
      <c r="J27" s="41"/>
      <c r="K27" s="41"/>
    </row>
    <row r="28" spans="1:12" hidden="1" x14ac:dyDescent="0.35">
      <c r="A28" s="41"/>
      <c r="B28" s="41"/>
      <c r="C28" s="41"/>
      <c r="D28" s="41"/>
      <c r="E28" s="284"/>
      <c r="F28" s="49"/>
      <c r="G28" s="41"/>
      <c r="H28" s="51"/>
      <c r="J28" s="41"/>
      <c r="K28" s="41"/>
    </row>
    <row r="29" spans="1:12" ht="16" customHeight="1" x14ac:dyDescent="0.35">
      <c r="A29" s="41"/>
      <c r="B29" s="41"/>
      <c r="C29" s="41"/>
      <c r="D29" s="41"/>
      <c r="E29" s="284"/>
      <c r="F29" s="49"/>
      <c r="G29" s="41"/>
      <c r="H29" s="51"/>
      <c r="J29" s="41"/>
      <c r="K29" s="41"/>
    </row>
    <row r="30" spans="1:12" x14ac:dyDescent="0.35">
      <c r="A30" s="41"/>
      <c r="B30" s="41"/>
      <c r="C30" s="41" t="s">
        <v>7</v>
      </c>
      <c r="D30" s="41">
        <v>40351</v>
      </c>
      <c r="E30" s="284"/>
      <c r="F30" s="49"/>
      <c r="G30" s="41"/>
      <c r="H30" s="45"/>
      <c r="I30" s="41"/>
      <c r="J30" s="41"/>
      <c r="K30" s="41"/>
    </row>
    <row r="31" spans="1:12" x14ac:dyDescent="0.35">
      <c r="A31" s="41"/>
      <c r="B31" s="41"/>
      <c r="C31" s="41"/>
      <c r="D31" s="41"/>
      <c r="E31" s="284"/>
      <c r="F31" s="49"/>
      <c r="G31" s="41">
        <f>D30+E30+E31</f>
        <v>40351</v>
      </c>
      <c r="H31" s="45"/>
      <c r="I31" s="284"/>
      <c r="J31" s="41"/>
      <c r="K31" s="41"/>
    </row>
    <row r="32" spans="1:12" x14ac:dyDescent="0.35">
      <c r="A32" s="41"/>
      <c r="B32" s="41"/>
      <c r="C32" s="41" t="s">
        <v>8</v>
      </c>
      <c r="D32" s="41"/>
      <c r="E32" s="284"/>
      <c r="F32" s="49"/>
      <c r="G32" s="41"/>
      <c r="H32" s="45"/>
      <c r="I32" s="41"/>
      <c r="J32" s="41"/>
      <c r="K32" s="41"/>
    </row>
    <row r="33" spans="1:12" x14ac:dyDescent="0.35">
      <c r="A33" s="41"/>
      <c r="B33" s="41"/>
      <c r="C33" s="41" t="s">
        <v>211</v>
      </c>
      <c r="D33" s="41">
        <v>11300</v>
      </c>
      <c r="E33" s="284"/>
      <c r="F33" s="49"/>
      <c r="G33" s="41">
        <f t="shared" ref="G33" si="0">D33+E33</f>
        <v>11300</v>
      </c>
      <c r="H33" s="45"/>
      <c r="I33" s="41"/>
      <c r="J33" s="41"/>
      <c r="K33" s="41"/>
    </row>
    <row r="34" spans="1:12" x14ac:dyDescent="0.35">
      <c r="A34" s="41"/>
      <c r="B34" s="41"/>
      <c r="C34" s="41" t="s">
        <v>208</v>
      </c>
      <c r="D34" s="41">
        <v>6000</v>
      </c>
      <c r="E34" s="284"/>
      <c r="F34" s="49"/>
      <c r="G34" s="41">
        <f t="shared" ref="G34:G42" si="1">D34+E34</f>
        <v>6000</v>
      </c>
      <c r="H34" s="45"/>
      <c r="J34" s="41"/>
      <c r="K34" s="41"/>
    </row>
    <row r="35" spans="1:12" x14ac:dyDescent="0.35">
      <c r="A35" s="41"/>
      <c r="B35" s="41"/>
      <c r="C35" s="41" t="s">
        <v>209</v>
      </c>
      <c r="D35" s="41">
        <v>6045</v>
      </c>
      <c r="E35" s="284"/>
      <c r="F35" s="49"/>
      <c r="G35" s="41">
        <f t="shared" si="1"/>
        <v>6045</v>
      </c>
      <c r="H35" s="45"/>
      <c r="I35" s="41"/>
      <c r="J35" s="41"/>
      <c r="K35" s="41"/>
    </row>
    <row r="36" spans="1:12" x14ac:dyDescent="0.35">
      <c r="A36" s="41"/>
      <c r="B36" s="41"/>
      <c r="C36" s="41" t="s">
        <v>212</v>
      </c>
      <c r="D36" s="41">
        <v>40028</v>
      </c>
      <c r="E36" s="308"/>
      <c r="F36" s="49"/>
      <c r="G36" s="41">
        <f t="shared" ref="G36" si="2">D36+E36</f>
        <v>40028</v>
      </c>
      <c r="H36" s="45"/>
      <c r="I36" s="41"/>
      <c r="J36" s="41"/>
      <c r="K36" s="41"/>
    </row>
    <row r="37" spans="1:12" x14ac:dyDescent="0.35">
      <c r="A37" s="41"/>
      <c r="B37" s="41"/>
      <c r="C37" s="41" t="s">
        <v>10</v>
      </c>
      <c r="D37" s="41">
        <v>42756</v>
      </c>
      <c r="E37" s="308"/>
      <c r="F37" s="49"/>
      <c r="G37" s="41">
        <f t="shared" si="1"/>
        <v>42756</v>
      </c>
      <c r="H37" s="47"/>
      <c r="I37" s="41"/>
      <c r="J37" s="41"/>
      <c r="K37" s="41"/>
    </row>
    <row r="38" spans="1:12" x14ac:dyDescent="0.35">
      <c r="A38" s="41"/>
      <c r="B38" s="41"/>
      <c r="C38" s="41" t="s">
        <v>58</v>
      </c>
      <c r="D38" s="41"/>
      <c r="E38" s="308"/>
      <c r="F38" s="49"/>
      <c r="G38" s="41"/>
      <c r="H38" s="47"/>
      <c r="I38" s="41"/>
      <c r="J38" s="41"/>
      <c r="K38" s="41"/>
    </row>
    <row r="39" spans="1:12" x14ac:dyDescent="0.35">
      <c r="A39" s="41"/>
      <c r="B39" s="41"/>
      <c r="C39" s="41" t="s">
        <v>34</v>
      </c>
      <c r="D39" s="41">
        <v>29282</v>
      </c>
      <c r="E39" s="308"/>
      <c r="F39" s="49"/>
      <c r="G39" s="41">
        <f t="shared" si="1"/>
        <v>29282</v>
      </c>
      <c r="H39" s="47"/>
      <c r="I39" s="41"/>
      <c r="J39" s="41"/>
      <c r="K39" s="41"/>
    </row>
    <row r="40" spans="1:12" x14ac:dyDescent="0.35">
      <c r="A40" s="41"/>
      <c r="B40" s="41"/>
      <c r="C40" s="41" t="s">
        <v>210</v>
      </c>
      <c r="D40" s="41">
        <v>6792</v>
      </c>
      <c r="E40" s="308"/>
      <c r="F40" s="49"/>
      <c r="G40" s="41">
        <f t="shared" si="1"/>
        <v>6792</v>
      </c>
      <c r="H40" s="47"/>
      <c r="I40" s="41"/>
      <c r="J40" s="41"/>
      <c r="K40" s="41"/>
    </row>
    <row r="41" spans="1:12" x14ac:dyDescent="0.35">
      <c r="A41" s="41"/>
      <c r="B41" s="41"/>
      <c r="C41" s="41" t="s">
        <v>59</v>
      </c>
      <c r="D41" s="41">
        <v>17262</v>
      </c>
      <c r="E41" s="308"/>
      <c r="F41" s="44"/>
      <c r="G41" s="41">
        <f t="shared" si="1"/>
        <v>17262</v>
      </c>
      <c r="H41" s="47"/>
      <c r="I41" s="41"/>
      <c r="J41" s="41"/>
      <c r="K41" s="41"/>
    </row>
    <row r="42" spans="1:12" ht="16" x14ac:dyDescent="0.35">
      <c r="A42" s="41"/>
      <c r="B42" s="41"/>
      <c r="C42" s="41" t="s">
        <v>9</v>
      </c>
      <c r="D42" s="183">
        <v>61422</v>
      </c>
      <c r="E42" s="338"/>
      <c r="F42" s="49"/>
      <c r="G42" s="183">
        <f t="shared" si="1"/>
        <v>61422</v>
      </c>
      <c r="H42" s="47"/>
      <c r="I42" s="41"/>
      <c r="J42" s="41"/>
      <c r="K42" s="41"/>
    </row>
    <row r="43" spans="1:12" x14ac:dyDescent="0.35">
      <c r="A43" s="41"/>
      <c r="B43" s="41" t="s">
        <v>35</v>
      </c>
      <c r="C43" s="41"/>
      <c r="D43" s="41">
        <f>SUM(D17:D42)</f>
        <v>2214858</v>
      </c>
      <c r="E43" s="308">
        <f>SUM(E17:E42)</f>
        <v>166683.02693609832</v>
      </c>
      <c r="F43" s="44"/>
      <c r="G43" s="41">
        <f>SUM(G17:G42)</f>
        <v>2381541.0269360985</v>
      </c>
      <c r="H43" s="47"/>
      <c r="I43" s="41"/>
      <c r="J43" s="41"/>
      <c r="K43" s="41"/>
    </row>
    <row r="44" spans="1:12" x14ac:dyDescent="0.35">
      <c r="A44" s="41"/>
      <c r="B44" s="41"/>
      <c r="C44" s="41"/>
      <c r="D44" s="41"/>
      <c r="E44" s="284"/>
      <c r="F44" s="44"/>
      <c r="G44" s="41"/>
      <c r="H44" s="47"/>
      <c r="I44" s="41"/>
      <c r="J44" s="41"/>
      <c r="K44" s="41"/>
    </row>
    <row r="45" spans="1:12" x14ac:dyDescent="0.35">
      <c r="A45" s="41"/>
      <c r="B45" s="41" t="s">
        <v>19</v>
      </c>
      <c r="C45" s="41"/>
      <c r="D45" s="284">
        <v>466529</v>
      </c>
      <c r="E45" s="308">
        <f>Depreciation!K40</f>
        <v>-65093.610195555528</v>
      </c>
      <c r="F45" s="44" t="s">
        <v>297</v>
      </c>
      <c r="G45" s="41">
        <f>D45+E45</f>
        <v>401435.38980444445</v>
      </c>
      <c r="H45" s="47"/>
      <c r="I45" s="308" t="s">
        <v>220</v>
      </c>
      <c r="J45" s="41"/>
      <c r="L45" s="4" t="s">
        <v>223</v>
      </c>
    </row>
    <row r="46" spans="1:12" ht="16" x14ac:dyDescent="0.35">
      <c r="A46" s="41"/>
      <c r="B46" s="41" t="s">
        <v>1</v>
      </c>
      <c r="C46" s="41"/>
      <c r="D46" s="183">
        <v>53494</v>
      </c>
      <c r="E46" s="338">
        <f>Wages!J36</f>
        <v>6389.6639200000063</v>
      </c>
      <c r="F46" s="184" t="s">
        <v>298</v>
      </c>
      <c r="G46" s="183">
        <f>D46+E46</f>
        <v>59883.663920000006</v>
      </c>
      <c r="H46" s="47"/>
      <c r="I46" s="41" t="s">
        <v>308</v>
      </c>
      <c r="J46" s="41"/>
      <c r="L46" s="4" t="s">
        <v>206</v>
      </c>
    </row>
    <row r="47" spans="1:12" ht="16" x14ac:dyDescent="0.35">
      <c r="A47" s="48" t="s">
        <v>0</v>
      </c>
      <c r="B47" s="41"/>
      <c r="C47" s="41"/>
      <c r="D47" s="183">
        <f>SUM(D43:D46)</f>
        <v>2734881</v>
      </c>
      <c r="E47" s="338">
        <f>SUM(E43:E46)</f>
        <v>107979.08066054281</v>
      </c>
      <c r="F47" s="185"/>
      <c r="G47" s="183">
        <f>SUM(G43:G46)</f>
        <v>2842860.0806605429</v>
      </c>
      <c r="H47" s="47"/>
      <c r="I47" s="41"/>
      <c r="J47" s="41"/>
      <c r="K47" s="41"/>
    </row>
    <row r="48" spans="1:12" ht="14.5" customHeight="1" x14ac:dyDescent="0.35">
      <c r="A48" s="48"/>
      <c r="B48" s="41"/>
      <c r="C48" s="41" t="s">
        <v>213</v>
      </c>
      <c r="D48" s="41"/>
      <c r="E48" s="284"/>
      <c r="F48" s="44"/>
      <c r="G48" s="41"/>
      <c r="H48" s="41"/>
      <c r="I48" s="41"/>
      <c r="J48" s="41"/>
      <c r="K48" s="41"/>
    </row>
    <row r="49" spans="1:11" x14ac:dyDescent="0.35">
      <c r="A49" s="48" t="s">
        <v>36</v>
      </c>
      <c r="B49" s="41"/>
      <c r="C49" s="41"/>
      <c r="D49" s="360">
        <f>D13-D47+D48</f>
        <v>234100</v>
      </c>
      <c r="E49" s="362">
        <f>E13-E47</f>
        <v>-44315.770660542752</v>
      </c>
      <c r="F49" s="363"/>
      <c r="G49" s="360">
        <f>G13-G47</f>
        <v>189784.22933945712</v>
      </c>
      <c r="H49" s="41"/>
      <c r="I49" s="41"/>
      <c r="K49" s="41"/>
    </row>
    <row r="50" spans="1:11" x14ac:dyDescent="0.35">
      <c r="A50" s="41"/>
      <c r="B50" s="41"/>
      <c r="C50" s="41"/>
      <c r="D50" s="41"/>
      <c r="E50" s="41"/>
      <c r="F50" s="44"/>
      <c r="G50" s="41"/>
      <c r="H50" s="41"/>
      <c r="I50" s="41"/>
      <c r="J50" s="41"/>
      <c r="K50" s="41"/>
    </row>
    <row r="52" spans="1:11" ht="15.5" x14ac:dyDescent="0.35">
      <c r="A52" s="484" t="s">
        <v>198</v>
      </c>
      <c r="B52" s="485"/>
      <c r="C52" s="485"/>
      <c r="D52" s="485"/>
      <c r="E52" s="485"/>
      <c r="F52" s="485"/>
      <c r="G52" s="485"/>
    </row>
    <row r="53" spans="1:11" x14ac:dyDescent="0.35">
      <c r="A53" s="4" t="s">
        <v>37</v>
      </c>
      <c r="G53" s="247">
        <f>'Revenue Requirements'!G2</f>
        <v>2842860.0806605429</v>
      </c>
    </row>
    <row r="54" spans="1:11" x14ac:dyDescent="0.35">
      <c r="A54" s="4" t="s">
        <v>20</v>
      </c>
      <c r="C54" s="4" t="s">
        <v>156</v>
      </c>
      <c r="F54" s="49" t="s">
        <v>299</v>
      </c>
      <c r="G54" s="4">
        <f>'Revenue Requirements'!G3</f>
        <v>457551.8</v>
      </c>
    </row>
    <row r="55" spans="1:11" x14ac:dyDescent="0.35">
      <c r="C55" s="4" t="s">
        <v>157</v>
      </c>
      <c r="F55" s="49" t="s">
        <v>350</v>
      </c>
      <c r="G55" s="4">
        <f>'Revenue Requirements'!G4</f>
        <v>91510.36</v>
      </c>
    </row>
    <row r="56" spans="1:11" x14ac:dyDescent="0.35">
      <c r="A56" s="4" t="s">
        <v>62</v>
      </c>
      <c r="G56" s="4">
        <f>'Revenue Requirements'!G5</f>
        <v>3391922.2406605426</v>
      </c>
    </row>
    <row r="57" spans="1:11" x14ac:dyDescent="0.35">
      <c r="A57" s="4" t="s">
        <v>21</v>
      </c>
      <c r="C57" s="4" t="s">
        <v>22</v>
      </c>
      <c r="G57" s="4">
        <f>'Revenue Requirements'!G6</f>
        <v>77798</v>
      </c>
    </row>
    <row r="58" spans="1:11" x14ac:dyDescent="0.35">
      <c r="C58" s="4" t="s">
        <v>273</v>
      </c>
      <c r="G58" s="4">
        <f>'Revenue Requirements'!G7</f>
        <v>6000</v>
      </c>
    </row>
    <row r="59" spans="1:11" x14ac:dyDescent="0.35">
      <c r="C59" s="4" t="s">
        <v>274</v>
      </c>
      <c r="D59" s="4">
        <v>28745</v>
      </c>
      <c r="E59" s="300">
        <f>'Revenue Requirements'!E8</f>
        <v>-7876</v>
      </c>
      <c r="F59" s="49" t="s">
        <v>356</v>
      </c>
      <c r="G59" s="4">
        <f>D59+E59</f>
        <v>20869</v>
      </c>
      <c r="I59" s="4" t="s">
        <v>353</v>
      </c>
    </row>
    <row r="60" spans="1:11" x14ac:dyDescent="0.35">
      <c r="A60" s="4" t="s">
        <v>60</v>
      </c>
      <c r="G60" s="4">
        <f>'Revenue Requirements'!G9</f>
        <v>3287255.2406605426</v>
      </c>
    </row>
    <row r="61" spans="1:11" x14ac:dyDescent="0.35">
      <c r="A61" s="4" t="s">
        <v>21</v>
      </c>
      <c r="C61" s="4" t="s">
        <v>61</v>
      </c>
      <c r="G61" s="4">
        <f>'Revenue Requirements'!G10</f>
        <v>2954846.31</v>
      </c>
    </row>
    <row r="62" spans="1:11" x14ac:dyDescent="0.35">
      <c r="C62" s="4" t="s">
        <v>15</v>
      </c>
      <c r="G62" s="4">
        <f>'Revenue Requirements'!G11</f>
        <v>0</v>
      </c>
    </row>
    <row r="63" spans="1:11" x14ac:dyDescent="0.35">
      <c r="A63" s="4" t="s">
        <v>63</v>
      </c>
      <c r="G63" s="247">
        <f>'Revenue Requirements'!G12</f>
        <v>332408.93066054257</v>
      </c>
    </row>
    <row r="64" spans="1:11" x14ac:dyDescent="0.35">
      <c r="A64" s="4" t="s">
        <v>64</v>
      </c>
      <c r="G64" s="359">
        <f>'Revenue Requirements'!G13</f>
        <v>0.1125</v>
      </c>
    </row>
  </sheetData>
  <mergeCells count="3">
    <mergeCell ref="A1:G1"/>
    <mergeCell ref="A2:G2"/>
    <mergeCell ref="A52:G52"/>
  </mergeCells>
  <printOptions horizontalCentered="1"/>
  <pageMargins left="0.45" right="0.25" top="0.5" bottom="0.5" header="0.3" footer="0.3"/>
  <pageSetup orientation="portrait" horizontalDpi="4294967293" r:id="rId1"/>
  <rowBreaks count="2" manualBreakCount="2">
    <brk id="49" max="16383" man="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W30"/>
  <sheetViews>
    <sheetView showGridLines="0" workbookViewId="0">
      <selection activeCell="S20" sqref="S20"/>
    </sheetView>
  </sheetViews>
  <sheetFormatPr defaultColWidth="8.84375" defaultRowHeight="14.5" x14ac:dyDescent="0.35"/>
  <cols>
    <col min="1" max="1" width="3.61328125" style="4" customWidth="1"/>
    <col min="2" max="2" width="1.765625" style="4" customWidth="1"/>
    <col min="3" max="4" width="9.765625" style="4" customWidth="1"/>
    <col min="5" max="7" width="9.765625" style="96" customWidth="1"/>
    <col min="8" max="8" width="9.765625" style="4" customWidth="1"/>
    <col min="9" max="9" width="1.765625" style="4" customWidth="1"/>
    <col min="10" max="10" width="3.61328125" style="4" customWidth="1"/>
    <col min="11" max="11" width="8.84375" style="4"/>
    <col min="12" max="12" width="3.53515625" style="4" customWidth="1"/>
    <col min="13" max="13" width="6.3046875" style="4" customWidth="1"/>
    <col min="14" max="14" width="6" style="4" customWidth="1"/>
    <col min="15" max="15" width="7.23046875" style="4" customWidth="1"/>
    <col min="16" max="16" width="7.53515625" style="4" customWidth="1"/>
    <col min="17" max="17" width="8.84375" style="4"/>
    <col min="18" max="18" width="7.69140625" style="4" customWidth="1"/>
    <col min="19" max="19" width="9.69140625" style="4" customWidth="1"/>
    <col min="20" max="20" width="2.69140625" style="4" customWidth="1"/>
    <col min="21" max="16384" width="8.84375" style="4"/>
  </cols>
  <sheetData>
    <row r="1" spans="2:23" ht="15" thickBot="1" x14ac:dyDescent="0.4">
      <c r="B1" s="3"/>
      <c r="C1" s="3"/>
      <c r="D1" s="3"/>
      <c r="E1" s="98"/>
      <c r="F1" s="98"/>
      <c r="G1" s="98"/>
      <c r="H1" s="3"/>
      <c r="I1" s="3"/>
    </row>
    <row r="2" spans="2:23" ht="16" customHeight="1" x14ac:dyDescent="0.45">
      <c r="B2" s="380"/>
      <c r="C2" s="507" t="s">
        <v>176</v>
      </c>
      <c r="D2" s="507"/>
      <c r="E2" s="507"/>
      <c r="F2" s="507"/>
      <c r="G2" s="507"/>
      <c r="H2" s="507"/>
      <c r="I2" s="508"/>
    </row>
    <row r="3" spans="2:23" ht="18.5" x14ac:dyDescent="0.45">
      <c r="B3" s="381"/>
      <c r="C3" s="504" t="s">
        <v>71</v>
      </c>
      <c r="D3" s="504"/>
      <c r="E3" s="504"/>
      <c r="F3" s="504"/>
      <c r="G3" s="504"/>
      <c r="H3" s="504"/>
      <c r="I3" s="505"/>
    </row>
    <row r="4" spans="2:23" ht="15.5" x14ac:dyDescent="0.35">
      <c r="B4" s="381"/>
      <c r="C4" s="495" t="str">
        <f>SAO!A2</f>
        <v>North Mercer Water District</v>
      </c>
      <c r="D4" s="495"/>
      <c r="E4" s="495"/>
      <c r="F4" s="495"/>
      <c r="G4" s="495"/>
      <c r="H4" s="495"/>
      <c r="I4" s="506"/>
      <c r="L4" s="509" t="s">
        <v>359</v>
      </c>
      <c r="M4" s="485"/>
      <c r="N4" s="485"/>
      <c r="O4" s="485"/>
      <c r="P4" s="485"/>
      <c r="Q4" s="485"/>
      <c r="R4" s="485"/>
      <c r="S4" s="485"/>
      <c r="T4" s="485"/>
      <c r="U4" s="485"/>
      <c r="V4" s="485"/>
      <c r="W4" s="485"/>
    </row>
    <row r="5" spans="2:23" ht="15.5" x14ac:dyDescent="0.35">
      <c r="B5" s="383"/>
      <c r="C5" s="2"/>
      <c r="D5" s="2"/>
      <c r="E5" s="92"/>
      <c r="F5" s="92"/>
      <c r="G5" s="92"/>
      <c r="H5" s="2"/>
      <c r="I5" s="384"/>
      <c r="L5" s="443"/>
      <c r="M5" s="314"/>
      <c r="N5" s="314"/>
      <c r="O5" s="314"/>
      <c r="P5" s="314"/>
      <c r="Q5" s="314"/>
      <c r="R5" s="314"/>
      <c r="S5" s="314"/>
      <c r="T5" s="314"/>
      <c r="U5" s="314"/>
      <c r="V5" s="314"/>
      <c r="W5" s="314"/>
    </row>
    <row r="6" spans="2:23" ht="19.5" customHeight="1" x14ac:dyDescent="0.5">
      <c r="B6" s="381"/>
      <c r="C6" s="3"/>
      <c r="D6" s="6"/>
      <c r="E6" s="93"/>
      <c r="F6" s="385"/>
      <c r="G6" s="385"/>
      <c r="H6" s="352"/>
      <c r="I6" s="382"/>
      <c r="J6" s="23"/>
      <c r="K6" s="23"/>
      <c r="L6" s="3"/>
      <c r="M6" s="458" t="s">
        <v>66</v>
      </c>
      <c r="N6" s="510" t="s">
        <v>360</v>
      </c>
      <c r="O6" s="511"/>
      <c r="P6" s="446" t="s">
        <v>23</v>
      </c>
      <c r="Q6" s="444" t="s">
        <v>361</v>
      </c>
      <c r="R6" s="445" t="s">
        <v>362</v>
      </c>
      <c r="S6" s="447" t="s">
        <v>69</v>
      </c>
      <c r="T6" s="449"/>
      <c r="U6" s="449"/>
      <c r="V6" s="448"/>
      <c r="W6" s="448"/>
    </row>
    <row r="7" spans="2:23" ht="18.5" x14ac:dyDescent="0.65">
      <c r="B7" s="381"/>
      <c r="C7" s="8" t="s">
        <v>13</v>
      </c>
      <c r="D7" s="22" t="s">
        <v>66</v>
      </c>
      <c r="E7" s="94" t="s">
        <v>23</v>
      </c>
      <c r="F7" s="97" t="s">
        <v>11</v>
      </c>
      <c r="G7" s="97"/>
      <c r="H7" s="8"/>
      <c r="I7" s="386"/>
      <c r="L7" s="3"/>
      <c r="M7" s="459" t="s">
        <v>70</v>
      </c>
      <c r="N7" s="502" t="s">
        <v>363</v>
      </c>
      <c r="O7" s="503"/>
      <c r="P7" s="449" t="s">
        <v>68</v>
      </c>
      <c r="Q7" s="76" t="s">
        <v>364</v>
      </c>
      <c r="R7" s="449" t="s">
        <v>24</v>
      </c>
      <c r="S7" s="450" t="s">
        <v>365</v>
      </c>
      <c r="T7" s="449"/>
      <c r="U7" s="449"/>
      <c r="V7" s="449"/>
      <c r="W7" s="448"/>
    </row>
    <row r="8" spans="2:23" ht="16" x14ac:dyDescent="0.5">
      <c r="B8" s="381"/>
      <c r="C8" s="8" t="s">
        <v>85</v>
      </c>
      <c r="D8" s="22" t="s">
        <v>70</v>
      </c>
      <c r="E8" s="94" t="s">
        <v>68</v>
      </c>
      <c r="F8" s="97" t="s">
        <v>68</v>
      </c>
      <c r="G8" s="97" t="s">
        <v>24</v>
      </c>
      <c r="H8" s="8" t="s">
        <v>69</v>
      </c>
      <c r="I8" s="386"/>
      <c r="L8" s="14"/>
      <c r="M8" s="476" t="s">
        <v>185</v>
      </c>
      <c r="N8" s="14"/>
      <c r="O8" s="305">
        <v>4000</v>
      </c>
      <c r="P8" s="451">
        <f>Rates!F9+(3000*Rates!F10)</f>
        <v>50.120000000000005</v>
      </c>
      <c r="Q8" s="451">
        <f>Rates!H9+(3000*Rates!H10)</f>
        <v>55.758499999999998</v>
      </c>
      <c r="R8" s="451">
        <f>Q8-P8</f>
        <v>5.6384999999999934</v>
      </c>
      <c r="S8" s="477">
        <f>(Q8-P8)/P8</f>
        <v>0.11249999999999986</v>
      </c>
      <c r="T8" s="451"/>
      <c r="U8" s="451"/>
      <c r="V8" s="452"/>
      <c r="W8" s="454"/>
    </row>
    <row r="9" spans="2:23" hidden="1" x14ac:dyDescent="0.35">
      <c r="B9" s="381"/>
      <c r="C9" s="9">
        <v>0</v>
      </c>
      <c r="D9" s="24" t="s">
        <v>185</v>
      </c>
      <c r="E9" s="95">
        <f>Rates!F9</f>
        <v>20.48</v>
      </c>
      <c r="F9" s="95">
        <f>Rates!H9</f>
        <v>22.783999999999999</v>
      </c>
      <c r="G9" s="99">
        <f>F9-E9</f>
        <v>2.3039999999999985</v>
      </c>
      <c r="H9" s="58">
        <f>G9/E9</f>
        <v>0.11249999999999992</v>
      </c>
      <c r="I9" s="387"/>
      <c r="L9" s="14"/>
      <c r="M9" s="478"/>
      <c r="N9" s="14"/>
      <c r="O9" s="14"/>
      <c r="P9" s="89"/>
      <c r="Q9" s="89"/>
      <c r="R9" s="89"/>
      <c r="S9" s="453"/>
      <c r="T9" s="89"/>
      <c r="U9" s="89"/>
      <c r="V9" s="455"/>
      <c r="W9" s="454"/>
    </row>
    <row r="10" spans="2:23" x14ac:dyDescent="0.35">
      <c r="B10" s="381"/>
      <c r="C10" s="3">
        <v>2000</v>
      </c>
      <c r="D10" s="24" t="s">
        <v>185</v>
      </c>
      <c r="E10" s="275">
        <f>Rates!F9+(1*Rates!F10*1000)</f>
        <v>30.36</v>
      </c>
      <c r="F10" s="275">
        <f>Rates!H9+(1*Rates!H10*1000)</f>
        <v>33.775500000000001</v>
      </c>
      <c r="G10" s="98">
        <f t="shared" ref="G10:G17" si="0">F10-E10</f>
        <v>3.4155000000000015</v>
      </c>
      <c r="H10" s="58">
        <f t="shared" ref="H10:H17" si="1">G10/E10</f>
        <v>0.11250000000000006</v>
      </c>
      <c r="I10" s="387"/>
      <c r="L10" s="14"/>
      <c r="M10" s="478" t="s">
        <v>25</v>
      </c>
      <c r="N10" s="14"/>
      <c r="O10" s="14">
        <v>10000</v>
      </c>
      <c r="P10" s="89">
        <f>Rates!F13+(Rates!F14*7500)</f>
        <v>110.8</v>
      </c>
      <c r="Q10" s="89">
        <f>Rates!H13+(Rates!H14*7500)</f>
        <v>123.26525000000001</v>
      </c>
      <c r="R10" s="89">
        <f>Q10-P10</f>
        <v>12.465250000000012</v>
      </c>
      <c r="S10" s="453">
        <f>(Q10-P10)/P10</f>
        <v>0.11250225631768963</v>
      </c>
      <c r="T10" s="89"/>
      <c r="U10" s="89"/>
      <c r="V10" s="455"/>
      <c r="W10" s="454"/>
    </row>
    <row r="11" spans="2:23" hidden="1" x14ac:dyDescent="0.35">
      <c r="B11" s="381"/>
      <c r="C11" s="26">
        <v>4000</v>
      </c>
      <c r="D11" s="27" t="s">
        <v>185</v>
      </c>
      <c r="E11" s="301">
        <f>Rates!F9+(3*Rates!F10*1000)</f>
        <v>50.120000000000005</v>
      </c>
      <c r="F11" s="301">
        <f>Rates!H9+(3*Rates!H10*1000)</f>
        <v>55.758499999999998</v>
      </c>
      <c r="G11" s="190">
        <f t="shared" ref="G11:G16" si="2">F11-E11</f>
        <v>5.6384999999999934</v>
      </c>
      <c r="H11" s="191">
        <f t="shared" ref="H11:H16" si="3">G11/E11</f>
        <v>0.11249999999999986</v>
      </c>
      <c r="I11" s="388"/>
      <c r="L11" s="14"/>
      <c r="M11" s="479"/>
      <c r="N11" s="14"/>
      <c r="O11" s="14"/>
      <c r="P11" s="89"/>
      <c r="Q11" s="89"/>
      <c r="R11" s="89"/>
      <c r="S11" s="453"/>
      <c r="T11" s="89"/>
      <c r="U11" s="89"/>
      <c r="V11" s="455"/>
      <c r="W11" s="454"/>
    </row>
    <row r="12" spans="2:23" x14ac:dyDescent="0.35">
      <c r="B12" s="381"/>
      <c r="C12" s="3">
        <v>6000</v>
      </c>
      <c r="D12" s="302" t="s">
        <v>185</v>
      </c>
      <c r="E12" s="303">
        <f>Rates!F9+(5*Rates!F10*1000)</f>
        <v>69.88</v>
      </c>
      <c r="F12" s="303">
        <f>Rates!H9+(5*Rates!H10*1000)</f>
        <v>77.741500000000002</v>
      </c>
      <c r="G12" s="98">
        <f t="shared" si="2"/>
        <v>7.8615000000000066</v>
      </c>
      <c r="H12" s="58">
        <f t="shared" si="3"/>
        <v>0.1125000000000001</v>
      </c>
      <c r="I12" s="387"/>
      <c r="L12" s="14"/>
      <c r="M12" s="479" t="s">
        <v>26</v>
      </c>
      <c r="N12" s="14"/>
      <c r="O12" s="14">
        <v>19000</v>
      </c>
      <c r="P12" s="89">
        <f>Rates!F17+(Rates!F18*9000)</f>
        <v>198.72</v>
      </c>
      <c r="Q12" s="89">
        <f>Rates!H17+(Rates!H18*9000)</f>
        <v>221.0735</v>
      </c>
      <c r="R12" s="89">
        <f t="shared" ref="R12" si="4">Q12-P12</f>
        <v>22.353499999999997</v>
      </c>
      <c r="S12" s="453">
        <f t="shared" ref="S12" si="5">(Q12-P12)/P12</f>
        <v>0.11248741948470208</v>
      </c>
      <c r="T12" s="89"/>
      <c r="U12" s="89"/>
      <c r="V12" s="455"/>
      <c r="W12" s="454"/>
    </row>
    <row r="13" spans="2:23" hidden="1" x14ac:dyDescent="0.35">
      <c r="B13" s="381"/>
      <c r="C13" s="3">
        <v>8000</v>
      </c>
      <c r="D13" s="24" t="s">
        <v>25</v>
      </c>
      <c r="E13" s="275">
        <f>Rates!F13+(5500*Rates!F14)</f>
        <v>91.039999999999992</v>
      </c>
      <c r="F13" s="275">
        <f>Rates!H13+(5500*Rates!H14)</f>
        <v>101.28225</v>
      </c>
      <c r="G13" s="98">
        <f t="shared" si="2"/>
        <v>10.242250000000013</v>
      </c>
      <c r="H13" s="58">
        <f t="shared" si="3"/>
        <v>0.11250274604569435</v>
      </c>
      <c r="I13" s="387"/>
      <c r="L13" s="14"/>
      <c r="M13" s="11"/>
      <c r="N13" s="14"/>
      <c r="O13" s="14"/>
      <c r="P13" s="89"/>
      <c r="Q13" s="89"/>
      <c r="R13" s="89"/>
      <c r="S13" s="453"/>
      <c r="T13" s="89"/>
      <c r="U13" s="89"/>
      <c r="V13" s="455"/>
      <c r="W13" s="454"/>
    </row>
    <row r="14" spans="2:23" x14ac:dyDescent="0.35">
      <c r="B14" s="381"/>
      <c r="C14" s="3">
        <v>10000</v>
      </c>
      <c r="D14" s="24" t="s">
        <v>26</v>
      </c>
      <c r="E14" s="275">
        <f>Rates!F17</f>
        <v>109.8</v>
      </c>
      <c r="F14" s="275">
        <f>Rates!H13+(7500*Rates!H14)</f>
        <v>123.26525000000001</v>
      </c>
      <c r="G14" s="98">
        <f t="shared" si="2"/>
        <v>13.465250000000012</v>
      </c>
      <c r="H14" s="58">
        <f t="shared" si="3"/>
        <v>0.12263433515482706</v>
      </c>
      <c r="I14" s="387"/>
      <c r="L14" s="14"/>
      <c r="M14" s="456" t="s">
        <v>366</v>
      </c>
      <c r="N14" s="307"/>
      <c r="O14" s="307">
        <v>1000</v>
      </c>
      <c r="P14" s="271">
        <f>Rates!F21*1000</f>
        <v>6.7299999999999995</v>
      </c>
      <c r="Q14" s="271">
        <f>Rates!H21*1000</f>
        <v>7.4870999999999999</v>
      </c>
      <c r="R14" s="271">
        <f t="shared" ref="R14" si="6">Q14-P14</f>
        <v>0.75710000000000033</v>
      </c>
      <c r="S14" s="457">
        <f t="shared" ref="S14" si="7">(Q14-P14)/P14</f>
        <v>0.11249628528974745</v>
      </c>
      <c r="T14" s="89"/>
      <c r="U14" s="89"/>
      <c r="V14" s="455"/>
      <c r="W14" s="454"/>
    </row>
    <row r="15" spans="2:23" x14ac:dyDescent="0.35">
      <c r="B15" s="381"/>
      <c r="C15" s="3">
        <v>15000</v>
      </c>
      <c r="D15" s="24" t="s">
        <v>26</v>
      </c>
      <c r="E15" s="275">
        <f>Rates!F17+(5000*Rates!F18)</f>
        <v>159.19999999999999</v>
      </c>
      <c r="F15" s="275">
        <f>Rates!H17+(5000*Rates!H18)</f>
        <v>177.10750000000002</v>
      </c>
      <c r="G15" s="98">
        <f t="shared" si="2"/>
        <v>17.907500000000027</v>
      </c>
      <c r="H15" s="58">
        <f t="shared" si="3"/>
        <v>0.11248429648241225</v>
      </c>
      <c r="I15" s="387"/>
      <c r="L15" s="14"/>
      <c r="M15" s="14"/>
      <c r="N15" s="14"/>
      <c r="O15" s="14"/>
      <c r="P15" s="89"/>
      <c r="Q15" s="89"/>
      <c r="R15" s="89"/>
      <c r="S15" s="454"/>
      <c r="T15" s="89"/>
      <c r="U15" s="89"/>
      <c r="V15" s="455"/>
      <c r="W15" s="454"/>
    </row>
    <row r="16" spans="2:23" x14ac:dyDescent="0.35">
      <c r="B16" s="381"/>
      <c r="C16" s="3">
        <v>20000</v>
      </c>
      <c r="D16" s="24" t="s">
        <v>26</v>
      </c>
      <c r="E16" s="95">
        <f>Rates!F17+(10000*Rates!F18)</f>
        <v>208.6</v>
      </c>
      <c r="F16" s="95">
        <f>Rates!H17+(10000*Rates!H18)</f>
        <v>232.065</v>
      </c>
      <c r="G16" s="98">
        <f t="shared" si="2"/>
        <v>23.465000000000003</v>
      </c>
      <c r="H16" s="58">
        <f t="shared" si="3"/>
        <v>0.11248801534036436</v>
      </c>
      <c r="I16" s="387"/>
      <c r="L16" s="14"/>
      <c r="M16" s="56"/>
      <c r="N16" s="14"/>
      <c r="O16" s="14"/>
      <c r="P16" s="455"/>
      <c r="Q16" s="455"/>
      <c r="R16" s="89"/>
      <c r="S16" s="454"/>
      <c r="T16" s="89"/>
      <c r="U16" s="89"/>
      <c r="V16" s="455"/>
      <c r="W16" s="454"/>
    </row>
    <row r="17" spans="2:15" x14ac:dyDescent="0.35">
      <c r="B17" s="381"/>
      <c r="C17" s="3">
        <v>25000</v>
      </c>
      <c r="D17" s="24" t="s">
        <v>26</v>
      </c>
      <c r="E17" s="95">
        <f>Rates!F17+(15000*Rates!F18)</f>
        <v>258</v>
      </c>
      <c r="F17" s="95">
        <f>Rates!H17+(15000*Rates!H18)</f>
        <v>287.02250000000004</v>
      </c>
      <c r="G17" s="98">
        <f t="shared" si="0"/>
        <v>29.022500000000036</v>
      </c>
      <c r="H17" s="58">
        <f t="shared" si="1"/>
        <v>0.11249031007751951</v>
      </c>
      <c r="I17" s="387"/>
    </row>
    <row r="18" spans="2:15" x14ac:dyDescent="0.35">
      <c r="B18" s="381"/>
      <c r="C18" s="3">
        <v>30000</v>
      </c>
      <c r="D18" s="24" t="s">
        <v>26</v>
      </c>
      <c r="E18" s="275">
        <f>Rates!F17+(20000*Rates!F18)</f>
        <v>307.39999999999998</v>
      </c>
      <c r="F18" s="275">
        <f>Rates!H17+(20000*Rates!H18)</f>
        <v>341.98</v>
      </c>
      <c r="G18" s="98">
        <f t="shared" ref="G18:G20" si="8">F18-E18</f>
        <v>34.580000000000041</v>
      </c>
      <c r="H18" s="58">
        <f t="shared" ref="H18:H20" si="9">G18/E18</f>
        <v>0.11249186727391036</v>
      </c>
      <c r="I18" s="387"/>
    </row>
    <row r="19" spans="2:15" x14ac:dyDescent="0.35">
      <c r="B19" s="381"/>
      <c r="C19" s="3">
        <v>40000</v>
      </c>
      <c r="D19" s="24" t="s">
        <v>26</v>
      </c>
      <c r="E19" s="275">
        <f>Rates!F17+(30000*Rates!F18)</f>
        <v>406.2</v>
      </c>
      <c r="F19" s="275">
        <f>Rates!H17+(30000*Rates!H18)</f>
        <v>451.89499999999998</v>
      </c>
      <c r="G19" s="98">
        <f t="shared" si="8"/>
        <v>45.694999999999993</v>
      </c>
      <c r="H19" s="58">
        <f t="shared" si="9"/>
        <v>0.11249384539635646</v>
      </c>
      <c r="I19" s="387"/>
    </row>
    <row r="20" spans="2:15" x14ac:dyDescent="0.35">
      <c r="B20" s="381"/>
      <c r="C20" s="3">
        <v>50000</v>
      </c>
      <c r="D20" s="24" t="s">
        <v>26</v>
      </c>
      <c r="E20" s="275">
        <f>Rates!F17+(40000*Rates!F18)</f>
        <v>505</v>
      </c>
      <c r="F20" s="275">
        <f>Rates!H17+(40000*Rates!H18)</f>
        <v>561.80999999999995</v>
      </c>
      <c r="G20" s="98">
        <f t="shared" si="8"/>
        <v>56.809999999999945</v>
      </c>
      <c r="H20" s="58">
        <f t="shared" si="9"/>
        <v>0.11249504950495039</v>
      </c>
      <c r="I20" s="387"/>
    </row>
    <row r="21" spans="2:15" x14ac:dyDescent="0.35">
      <c r="B21" s="381"/>
      <c r="C21" s="3">
        <v>60000</v>
      </c>
      <c r="D21" s="24" t="s">
        <v>26</v>
      </c>
      <c r="E21" s="275">
        <f>Rates!F17+(50000*Rates!F18)</f>
        <v>603.79999999999995</v>
      </c>
      <c r="F21" s="275">
        <f>Rates!H17+(50000*Rates!H18)</f>
        <v>671.72499999999991</v>
      </c>
      <c r="G21" s="98">
        <f t="shared" ref="G21:G23" si="10">F21-E21</f>
        <v>67.924999999999955</v>
      </c>
      <c r="H21" s="58">
        <f t="shared" ref="H21:H22" si="11">G21/E21</f>
        <v>0.11249585955614436</v>
      </c>
      <c r="I21" s="387"/>
      <c r="O21" s="3"/>
    </row>
    <row r="22" spans="2:15" x14ac:dyDescent="0.35">
      <c r="B22" s="381"/>
      <c r="C22" s="3">
        <v>70000</v>
      </c>
      <c r="D22" s="24" t="s">
        <v>26</v>
      </c>
      <c r="E22" s="275">
        <f>Rates!F17+(60000*Rates!F18)</f>
        <v>702.59999999999991</v>
      </c>
      <c r="F22" s="275">
        <f>Rates!H17+(60000*Rates!H18)</f>
        <v>781.64</v>
      </c>
      <c r="G22" s="98">
        <f t="shared" si="10"/>
        <v>79.040000000000077</v>
      </c>
      <c r="H22" s="58">
        <f t="shared" si="11"/>
        <v>0.11249644178764601</v>
      </c>
      <c r="I22" s="387"/>
    </row>
    <row r="23" spans="2:15" x14ac:dyDescent="0.35">
      <c r="B23" s="381"/>
      <c r="C23" s="3">
        <v>80000</v>
      </c>
      <c r="D23" s="24" t="s">
        <v>26</v>
      </c>
      <c r="E23" s="275">
        <f>Rates!F17+(70000*Rates!F18)</f>
        <v>801.4</v>
      </c>
      <c r="F23" s="275">
        <f>Rates!H17+(70000*Rates!H18)</f>
        <v>891.55499999999995</v>
      </c>
      <c r="G23" s="98">
        <f t="shared" si="10"/>
        <v>90.154999999999973</v>
      </c>
      <c r="H23" s="58">
        <f>G23/E23</f>
        <v>0.11249688045919637</v>
      </c>
      <c r="I23" s="387"/>
    </row>
    <row r="24" spans="2:15" x14ac:dyDescent="0.35">
      <c r="B24" s="381"/>
      <c r="C24" s="3"/>
      <c r="D24" s="25"/>
      <c r="E24" s="95"/>
      <c r="F24" s="95"/>
      <c r="G24" s="98"/>
      <c r="H24" s="58"/>
      <c r="I24" s="387"/>
    </row>
    <row r="25" spans="2:15" x14ac:dyDescent="0.35">
      <c r="B25" s="381"/>
      <c r="C25" s="3"/>
      <c r="D25" s="25"/>
      <c r="E25" s="95"/>
      <c r="F25" s="95"/>
      <c r="G25" s="98"/>
      <c r="H25" s="58"/>
      <c r="I25" s="387"/>
    </row>
    <row r="26" spans="2:15" x14ac:dyDescent="0.35">
      <c r="B26" s="381"/>
      <c r="C26" s="3"/>
      <c r="D26" s="25"/>
      <c r="E26" s="95"/>
      <c r="F26" s="95"/>
      <c r="G26" s="98"/>
      <c r="H26" s="58"/>
      <c r="I26" s="387"/>
    </row>
    <row r="27" spans="2:15" x14ac:dyDescent="0.35">
      <c r="B27" s="381"/>
      <c r="C27" s="3"/>
      <c r="D27" s="25"/>
      <c r="E27" s="95"/>
      <c r="F27" s="95"/>
      <c r="G27" s="98"/>
      <c r="H27" s="58"/>
      <c r="I27" s="387"/>
    </row>
    <row r="28" spans="2:15" ht="6" customHeight="1" thickBot="1" x14ac:dyDescent="0.4">
      <c r="B28" s="389"/>
      <c r="C28" s="229"/>
      <c r="D28" s="390"/>
      <c r="E28" s="391"/>
      <c r="F28" s="392"/>
      <c r="G28" s="392"/>
      <c r="H28" s="229"/>
      <c r="I28" s="393"/>
    </row>
    <row r="30" spans="2:15" x14ac:dyDescent="0.35">
      <c r="D30" s="36" t="s">
        <v>86</v>
      </c>
    </row>
  </sheetData>
  <mergeCells count="6">
    <mergeCell ref="N7:O7"/>
    <mergeCell ref="C3:I3"/>
    <mergeCell ref="C4:I4"/>
    <mergeCell ref="C2:I2"/>
    <mergeCell ref="L4:W4"/>
    <mergeCell ref="N6:O6"/>
  </mergeCells>
  <printOptions horizontalCentered="1"/>
  <pageMargins left="0.7" right="0.7" top="1.1000000000000001"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9B43C-08DA-4F35-AF2D-4D6BA18A1447}">
  <sheetPr>
    <tabColor rgb="FF92D050"/>
    <pageSetUpPr fitToPage="1"/>
  </sheetPr>
  <dimension ref="A1:N343"/>
  <sheetViews>
    <sheetView showGridLines="0" zoomScaleNormal="100" workbookViewId="0">
      <selection sqref="A1:I62"/>
    </sheetView>
  </sheetViews>
  <sheetFormatPr defaultColWidth="8.84375" defaultRowHeight="15.5" x14ac:dyDescent="0.35"/>
  <cols>
    <col min="1" max="1" width="7.765625" customWidth="1"/>
    <col min="2" max="2" width="8" style="86" customWidth="1"/>
    <col min="3" max="3" width="10.53515625" customWidth="1"/>
    <col min="4" max="4" width="12.15234375" customWidth="1"/>
    <col min="5" max="6" width="12.61328125" customWidth="1"/>
    <col min="7" max="7" width="12.61328125" style="91" customWidth="1"/>
    <col min="8" max="8" width="12.61328125" customWidth="1"/>
    <col min="9" max="9" width="11.23046875"/>
    <col min="10" max="11" width="8.765625" customWidth="1"/>
    <col min="13" max="13" width="10.69140625" bestFit="1" customWidth="1"/>
  </cols>
  <sheetData>
    <row r="1" spans="1:14" ht="21" x14ac:dyDescent="0.5">
      <c r="A1" s="513" t="s">
        <v>319</v>
      </c>
      <c r="B1" s="514"/>
      <c r="C1" s="514"/>
      <c r="D1" s="514"/>
      <c r="E1" s="514"/>
      <c r="F1" s="514"/>
      <c r="G1" s="514"/>
      <c r="H1" s="265"/>
      <c r="I1" s="266"/>
      <c r="J1" s="1"/>
      <c r="K1" s="1"/>
      <c r="L1" s="1"/>
      <c r="M1" s="1"/>
    </row>
    <row r="2" spans="1:14" ht="21" x14ac:dyDescent="0.35">
      <c r="A2" s="515" t="str">
        <f>SAO!A2</f>
        <v>North Mercer Water District</v>
      </c>
      <c r="B2" s="482"/>
      <c r="C2" s="482"/>
      <c r="D2" s="482"/>
      <c r="E2" s="482"/>
      <c r="F2" s="482"/>
      <c r="G2" s="482"/>
      <c r="H2" s="1"/>
      <c r="I2" s="268"/>
      <c r="J2" s="1"/>
      <c r="K2" s="1"/>
      <c r="L2" s="1"/>
      <c r="M2" s="1"/>
    </row>
    <row r="3" spans="1:14" ht="18.5" x14ac:dyDescent="0.35">
      <c r="A3" s="411"/>
      <c r="B3" s="83"/>
      <c r="C3" s="23"/>
      <c r="D3" s="23"/>
      <c r="E3" s="23"/>
      <c r="F3" s="23"/>
      <c r="G3" s="412"/>
      <c r="H3" s="1"/>
      <c r="I3" s="268"/>
      <c r="J3" s="1"/>
      <c r="K3" s="1"/>
      <c r="L3" s="1"/>
      <c r="M3" s="1"/>
    </row>
    <row r="4" spans="1:14" x14ac:dyDescent="0.35">
      <c r="A4" s="413"/>
      <c r="B4" s="84"/>
      <c r="C4" s="414"/>
      <c r="D4" s="414"/>
      <c r="E4" s="414"/>
      <c r="F4" s="414"/>
      <c r="G4" s="415"/>
      <c r="H4" s="1"/>
      <c r="I4" s="268"/>
      <c r="J4" s="1"/>
      <c r="K4" s="1"/>
      <c r="L4" s="1"/>
      <c r="M4" s="1"/>
    </row>
    <row r="5" spans="1:14" x14ac:dyDescent="0.35">
      <c r="A5" s="38"/>
      <c r="B5" s="516" t="s">
        <v>49</v>
      </c>
      <c r="C5" s="516"/>
      <c r="D5" s="516"/>
      <c r="E5" s="516"/>
      <c r="F5" s="516"/>
      <c r="G5" s="516"/>
      <c r="H5" s="1"/>
      <c r="I5" s="268"/>
      <c r="J5" s="1"/>
      <c r="K5" s="1"/>
      <c r="L5" s="1"/>
      <c r="M5" s="1"/>
    </row>
    <row r="6" spans="1:14" s="1" customFormat="1" ht="14.5" x14ac:dyDescent="0.35">
      <c r="A6" s="38"/>
      <c r="B6" s="3" t="s">
        <v>113</v>
      </c>
      <c r="C6" s="81"/>
      <c r="D6" s="416" t="s">
        <v>51</v>
      </c>
      <c r="E6" s="416" t="s">
        <v>52</v>
      </c>
      <c r="F6" s="74"/>
      <c r="G6" s="88" t="s">
        <v>55</v>
      </c>
      <c r="I6" s="268"/>
    </row>
    <row r="7" spans="1:14" s="1" customFormat="1" ht="14.5" x14ac:dyDescent="0.35">
      <c r="A7" s="38"/>
      <c r="B7" s="3" t="s">
        <v>192</v>
      </c>
      <c r="D7" s="108">
        <f>C21+C36+C49</f>
        <v>56508</v>
      </c>
      <c r="E7" s="108">
        <f>D21+D36+D49+D61</f>
        <v>247733900</v>
      </c>
      <c r="F7" s="75"/>
      <c r="G7" s="15">
        <f>G28+G42+G55+G61</f>
        <v>3109620</v>
      </c>
      <c r="I7" s="268"/>
      <c r="K7" s="1" t="s">
        <v>358</v>
      </c>
    </row>
    <row r="8" spans="1:14" s="1" customFormat="1" ht="16" x14ac:dyDescent="0.5">
      <c r="A8" s="38"/>
      <c r="B8" s="3" t="s">
        <v>116</v>
      </c>
      <c r="C8" s="78"/>
      <c r="D8" s="87"/>
      <c r="E8" s="31"/>
      <c r="F8" s="31"/>
      <c r="G8" s="417">
        <f>-D81</f>
        <v>-154773.69</v>
      </c>
      <c r="I8" s="268"/>
      <c r="K8" s="1" t="s">
        <v>352</v>
      </c>
    </row>
    <row r="9" spans="1:14" s="1" customFormat="1" ht="14.5" x14ac:dyDescent="0.35">
      <c r="A9" s="38"/>
      <c r="B9" s="3" t="s">
        <v>117</v>
      </c>
      <c r="C9" s="78"/>
      <c r="D9" s="28"/>
      <c r="E9" s="75"/>
      <c r="F9" s="75"/>
      <c r="G9" s="15">
        <f>G7+G8</f>
        <v>2954846.31</v>
      </c>
      <c r="I9" s="268"/>
    </row>
    <row r="10" spans="1:14" s="1" customFormat="1" ht="16" x14ac:dyDescent="0.5">
      <c r="A10" s="38"/>
      <c r="B10" s="309" t="s">
        <v>322</v>
      </c>
      <c r="C10" s="78"/>
      <c r="D10" s="342"/>
      <c r="E10" s="77"/>
      <c r="F10" s="77"/>
      <c r="G10" s="417">
        <f>SAO!D6</f>
        <v>2891183</v>
      </c>
      <c r="I10" s="268"/>
    </row>
    <row r="11" spans="1:14" s="1" customFormat="1" ht="14.5" x14ac:dyDescent="0.35">
      <c r="A11" s="38"/>
      <c r="B11" s="309" t="s">
        <v>67</v>
      </c>
      <c r="C11" s="78"/>
      <c r="E11" s="75"/>
      <c r="F11" s="75"/>
      <c r="G11" s="15">
        <f>G9-G10</f>
        <v>63663.310000000056</v>
      </c>
      <c r="I11" s="268"/>
      <c r="K11" s="1" t="s">
        <v>351</v>
      </c>
    </row>
    <row r="12" spans="1:14" s="1" customFormat="1" ht="14.5" x14ac:dyDescent="0.35">
      <c r="A12" s="38"/>
      <c r="B12" s="285"/>
      <c r="C12" s="418"/>
      <c r="D12" s="286"/>
      <c r="E12" s="419"/>
      <c r="F12" s="419"/>
      <c r="G12" s="287"/>
      <c r="H12" s="288"/>
      <c r="I12" s="420"/>
      <c r="J12" s="288"/>
      <c r="K12" s="288"/>
    </row>
    <row r="13" spans="1:14" s="1" customFormat="1" ht="14.5" x14ac:dyDescent="0.35">
      <c r="A13" s="38"/>
      <c r="B13" s="309"/>
      <c r="C13" s="78"/>
      <c r="D13" s="309"/>
      <c r="E13" s="309"/>
      <c r="F13" s="75"/>
      <c r="G13" s="310"/>
      <c r="I13" s="268"/>
      <c r="M13" s="283" t="s">
        <v>323</v>
      </c>
    </row>
    <row r="14" spans="1:14" s="1" customFormat="1" ht="14.5" x14ac:dyDescent="0.35">
      <c r="A14" s="38"/>
      <c r="B14" s="285"/>
      <c r="C14" s="418"/>
      <c r="D14" s="286"/>
      <c r="E14" s="419"/>
      <c r="F14" s="419"/>
      <c r="G14" s="287"/>
      <c r="H14" s="288"/>
      <c r="I14" s="420"/>
      <c r="J14" s="288"/>
      <c r="K14" s="288"/>
      <c r="M14" s="282">
        <v>234872</v>
      </c>
      <c r="N14" s="1" t="s">
        <v>235</v>
      </c>
    </row>
    <row r="15" spans="1:14" s="1" customFormat="1" ht="15" thickBot="1" x14ac:dyDescent="0.4">
      <c r="A15" s="38"/>
      <c r="B15" s="3"/>
      <c r="C15" s="78"/>
      <c r="D15" s="28"/>
      <c r="E15" s="75"/>
      <c r="F15" s="75"/>
      <c r="G15" s="35"/>
      <c r="I15" s="268"/>
      <c r="M15" s="282">
        <v>12217</v>
      </c>
      <c r="N15" s="1" t="s">
        <v>236</v>
      </c>
    </row>
    <row r="16" spans="1:14" s="1" customFormat="1" ht="14.5" x14ac:dyDescent="0.35">
      <c r="A16" s="421" t="s">
        <v>190</v>
      </c>
      <c r="B16" s="218"/>
      <c r="C16" s="219"/>
      <c r="D16" s="519" t="s">
        <v>186</v>
      </c>
      <c r="E16" s="519"/>
      <c r="F16" s="220"/>
      <c r="G16" s="232"/>
      <c r="H16" s="235"/>
      <c r="I16" s="422"/>
      <c r="M16" s="282"/>
      <c r="N16" s="1" t="s">
        <v>237</v>
      </c>
    </row>
    <row r="17" spans="1:14" s="1" customFormat="1" ht="14.5" x14ac:dyDescent="0.35">
      <c r="A17" s="267"/>
      <c r="B17" s="3"/>
      <c r="C17" s="78"/>
      <c r="D17" s="210"/>
      <c r="E17" s="80" t="s">
        <v>183</v>
      </c>
      <c r="F17" s="80"/>
      <c r="G17" s="80"/>
      <c r="H17" s="199" t="s">
        <v>184</v>
      </c>
      <c r="I17" s="268"/>
      <c r="M17" s="311"/>
      <c r="N17" s="1" t="s">
        <v>238</v>
      </c>
    </row>
    <row r="18" spans="1:14" s="1" customFormat="1" ht="16" x14ac:dyDescent="0.5">
      <c r="A18" s="38"/>
      <c r="B18" s="8" t="s">
        <v>50</v>
      </c>
      <c r="C18" s="423" t="s">
        <v>51</v>
      </c>
      <c r="D18" s="423" t="s">
        <v>52</v>
      </c>
      <c r="E18" s="424">
        <f>B19</f>
        <v>1000</v>
      </c>
      <c r="F18" s="424"/>
      <c r="G18" s="424"/>
      <c r="H18" s="215">
        <f>B20</f>
        <v>1000</v>
      </c>
      <c r="I18" s="425" t="s">
        <v>12</v>
      </c>
      <c r="M18" s="282">
        <f>SUM(M14:M17)</f>
        <v>247089</v>
      </c>
      <c r="N18" s="1" t="s">
        <v>12</v>
      </c>
    </row>
    <row r="19" spans="1:14" s="1" customFormat="1" ht="14.4" customHeight="1" x14ac:dyDescent="0.35">
      <c r="A19" s="269" t="s">
        <v>183</v>
      </c>
      <c r="B19" s="3">
        <f>Rates!D9</f>
        <v>1000</v>
      </c>
      <c r="C19" s="14">
        <v>9396</v>
      </c>
      <c r="D19" s="3">
        <v>3453360</v>
      </c>
      <c r="E19" s="212">
        <f>D19</f>
        <v>3453360</v>
      </c>
      <c r="F19" s="212"/>
      <c r="G19" s="212"/>
      <c r="H19" s="212"/>
      <c r="I19" s="6">
        <f>SUM(E19:H19)</f>
        <v>3453360</v>
      </c>
      <c r="M19" s="282"/>
    </row>
    <row r="20" spans="1:14" s="1" customFormat="1" ht="14.4" customHeight="1" x14ac:dyDescent="0.5">
      <c r="A20" s="270" t="s">
        <v>184</v>
      </c>
      <c r="B20" s="3">
        <f>Rates!D10</f>
        <v>1000</v>
      </c>
      <c r="C20" s="76">
        <v>46653</v>
      </c>
      <c r="D20" s="31">
        <v>238629530</v>
      </c>
      <c r="E20" s="31">
        <f>C20*E18</f>
        <v>46653000</v>
      </c>
      <c r="F20" s="31"/>
      <c r="G20" s="31"/>
      <c r="H20" s="31">
        <f>D20-E20-F20-G20</f>
        <v>191976530</v>
      </c>
      <c r="I20" s="426">
        <f>SUM(E20:H20)</f>
        <v>238629530</v>
      </c>
      <c r="M20" s="108">
        <f>E7</f>
        <v>247733900</v>
      </c>
      <c r="N20" s="1" t="s">
        <v>300</v>
      </c>
    </row>
    <row r="21" spans="1:14" s="1" customFormat="1" ht="14.4" customHeight="1" x14ac:dyDescent="0.35">
      <c r="A21" s="269"/>
      <c r="B21" s="3"/>
      <c r="C21" s="14">
        <f>SUM(C19:C20)</f>
        <v>56049</v>
      </c>
      <c r="D21" s="3">
        <f>SUM(D19:D20)</f>
        <v>242082890</v>
      </c>
      <c r="E21" s="3">
        <f>SUM(E19:E20)</f>
        <v>50106360</v>
      </c>
      <c r="F21" s="3"/>
      <c r="G21" s="3"/>
      <c r="H21" s="3">
        <f>SUM(H19:H20)</f>
        <v>191976530</v>
      </c>
      <c r="I21" s="6">
        <f>SUM(I19:I20)</f>
        <v>242082890</v>
      </c>
      <c r="M21" s="4">
        <f>(M18*1000)-M20</f>
        <v>-644900</v>
      </c>
      <c r="N21" s="282" t="s">
        <v>67</v>
      </c>
    </row>
    <row r="22" spans="1:14" s="1" customFormat="1" ht="14.4" customHeight="1" x14ac:dyDescent="0.35">
      <c r="A22" s="38"/>
      <c r="B22" s="3"/>
      <c r="C22" s="78"/>
      <c r="D22" s="28"/>
      <c r="E22" s="75"/>
      <c r="F22" s="75"/>
      <c r="G22" s="35"/>
      <c r="I22" s="268"/>
    </row>
    <row r="23" spans="1:14" s="1" customFormat="1" ht="14.4" customHeight="1" x14ac:dyDescent="0.35">
      <c r="A23" s="267" t="s">
        <v>189</v>
      </c>
      <c r="D23" s="518" t="s">
        <v>186</v>
      </c>
      <c r="E23" s="518"/>
      <c r="F23" s="100"/>
      <c r="G23" s="100"/>
      <c r="H23" s="3"/>
      <c r="I23" s="427"/>
    </row>
    <row r="24" spans="1:14" s="1" customFormat="1" ht="14.4" customHeight="1" x14ac:dyDescent="0.35">
      <c r="A24" s="267"/>
      <c r="D24" s="210"/>
      <c r="E24" s="210"/>
      <c r="F24" s="100"/>
      <c r="G24" s="100"/>
      <c r="H24" s="3"/>
      <c r="I24" s="427"/>
    </row>
    <row r="25" spans="1:14" s="1" customFormat="1" ht="14.4" customHeight="1" x14ac:dyDescent="0.5">
      <c r="A25" s="38"/>
      <c r="B25" s="8" t="s">
        <v>50</v>
      </c>
      <c r="C25" s="423" t="s">
        <v>51</v>
      </c>
      <c r="D25" s="423" t="s">
        <v>52</v>
      </c>
      <c r="E25" s="517" t="s">
        <v>54</v>
      </c>
      <c r="F25" s="517"/>
      <c r="G25" s="428" t="s">
        <v>55</v>
      </c>
      <c r="I25" s="268"/>
    </row>
    <row r="26" spans="1:14" s="1" customFormat="1" ht="14.4" customHeight="1" x14ac:dyDescent="0.35">
      <c r="A26" s="269" t="s">
        <v>183</v>
      </c>
      <c r="B26" s="3">
        <f>Rates!D9</f>
        <v>1000</v>
      </c>
      <c r="C26" s="14">
        <f>C21</f>
        <v>56049</v>
      </c>
      <c r="D26" s="14">
        <f>E21</f>
        <v>50106360</v>
      </c>
      <c r="E26" s="200">
        <f>Rates!F9</f>
        <v>20.48</v>
      </c>
      <c r="F26" s="37" t="s">
        <v>110</v>
      </c>
      <c r="G26" s="89">
        <f>ROUND(C26*E26,0)</f>
        <v>1147884</v>
      </c>
      <c r="I26" s="268"/>
    </row>
    <row r="27" spans="1:14" s="1" customFormat="1" ht="14.4" customHeight="1" x14ac:dyDescent="0.5">
      <c r="A27" s="270" t="s">
        <v>184</v>
      </c>
      <c r="B27" s="3">
        <f>Rates!D10</f>
        <v>1000</v>
      </c>
      <c r="C27" s="76"/>
      <c r="D27" s="76">
        <f>H21</f>
        <v>191976530</v>
      </c>
      <c r="E27" s="201">
        <f>Rates!F10</f>
        <v>9.8799999999999999E-3</v>
      </c>
      <c r="F27" s="37" t="s">
        <v>182</v>
      </c>
      <c r="G27" s="90">
        <f t="shared" ref="G27" si="0">ROUND(D27*E27,0)</f>
        <v>1896728</v>
      </c>
      <c r="I27" s="268"/>
    </row>
    <row r="28" spans="1:14" s="1" customFormat="1" ht="14.4" customHeight="1" thickBot="1" x14ac:dyDescent="0.4">
      <c r="A28" s="429"/>
      <c r="B28" s="229"/>
      <c r="C28" s="239"/>
      <c r="D28" s="241">
        <f>SUM(D26:D27)</f>
        <v>242082890</v>
      </c>
      <c r="E28" s="239"/>
      <c r="F28" s="239"/>
      <c r="G28" s="237">
        <f>SUM(G26:G27)</f>
        <v>3044612</v>
      </c>
      <c r="H28" s="231"/>
      <c r="I28" s="430"/>
    </row>
    <row r="29" spans="1:14" s="1" customFormat="1" ht="14.5" x14ac:dyDescent="0.35">
      <c r="A29" s="269"/>
      <c r="B29" s="3"/>
      <c r="C29" s="14"/>
      <c r="D29" s="205"/>
      <c r="E29" s="14"/>
      <c r="F29" s="14"/>
      <c r="G29" s="89"/>
      <c r="I29" s="268"/>
    </row>
    <row r="30" spans="1:14" s="1" customFormat="1" ht="14.4" customHeight="1" x14ac:dyDescent="0.35">
      <c r="A30" s="269"/>
      <c r="B30" s="3"/>
      <c r="C30" s="14"/>
      <c r="D30" s="3"/>
      <c r="E30" s="14"/>
      <c r="F30" s="14"/>
      <c r="G30" s="89"/>
      <c r="I30" s="268"/>
    </row>
    <row r="31" spans="1:14" s="1" customFormat="1" ht="14.4" customHeight="1" x14ac:dyDescent="0.35">
      <c r="A31" s="261" t="s">
        <v>190</v>
      </c>
      <c r="B31" s="5"/>
      <c r="C31" s="262"/>
      <c r="D31" s="520" t="s">
        <v>114</v>
      </c>
      <c r="E31" s="520"/>
      <c r="F31" s="263"/>
      <c r="G31" s="264"/>
      <c r="H31" s="265"/>
      <c r="I31" s="266"/>
    </row>
    <row r="32" spans="1:14" s="1" customFormat="1" ht="14.4" customHeight="1" x14ac:dyDescent="0.35">
      <c r="A32" s="267"/>
      <c r="B32" s="3"/>
      <c r="C32" s="78"/>
      <c r="D32" s="210"/>
      <c r="E32" s="80" t="s">
        <v>183</v>
      </c>
      <c r="F32" s="80"/>
      <c r="G32" s="80" t="s">
        <v>184</v>
      </c>
      <c r="I32" s="268"/>
    </row>
    <row r="33" spans="1:9" s="1" customFormat="1" ht="14.4" customHeight="1" x14ac:dyDescent="0.5">
      <c r="A33" s="38"/>
      <c r="B33" s="8" t="s">
        <v>50</v>
      </c>
      <c r="C33" s="423" t="s">
        <v>51</v>
      </c>
      <c r="D33" s="423" t="s">
        <v>52</v>
      </c>
      <c r="E33" s="424">
        <f>B34</f>
        <v>2500</v>
      </c>
      <c r="F33" s="424"/>
      <c r="G33" s="424">
        <f>B35</f>
        <v>2500</v>
      </c>
      <c r="H33" s="431" t="s">
        <v>12</v>
      </c>
      <c r="I33" s="268"/>
    </row>
    <row r="34" spans="1:9" s="1" customFormat="1" ht="14.4" customHeight="1" x14ac:dyDescent="0.35">
      <c r="A34" s="269" t="s">
        <v>183</v>
      </c>
      <c r="B34" s="3">
        <f>Rates!D13</f>
        <v>2500</v>
      </c>
      <c r="C34" s="14">
        <v>126</v>
      </c>
      <c r="D34" s="3">
        <v>130300</v>
      </c>
      <c r="E34" s="212">
        <f>D34</f>
        <v>130300</v>
      </c>
      <c r="F34" s="212"/>
      <c r="G34" s="212"/>
      <c r="H34" s="3">
        <f>SUM(D34:G34)</f>
        <v>260600</v>
      </c>
      <c r="I34" s="268"/>
    </row>
    <row r="35" spans="1:9" s="1" customFormat="1" ht="14.4" customHeight="1" x14ac:dyDescent="0.5">
      <c r="A35" s="269" t="s">
        <v>184</v>
      </c>
      <c r="B35" s="3">
        <f>Rates!D14</f>
        <v>2500</v>
      </c>
      <c r="C35" s="76">
        <v>261</v>
      </c>
      <c r="D35" s="31">
        <v>3964760</v>
      </c>
      <c r="E35" s="215">
        <f>C35*E33</f>
        <v>652500</v>
      </c>
      <c r="F35" s="215"/>
      <c r="G35" s="215">
        <f>D35-E35-F35</f>
        <v>3312260</v>
      </c>
      <c r="H35" s="31">
        <f>SUM(E35:G35)</f>
        <v>3964760</v>
      </c>
      <c r="I35" s="268"/>
    </row>
    <row r="36" spans="1:9" s="1" customFormat="1" ht="14.4" customHeight="1" x14ac:dyDescent="0.35">
      <c r="A36" s="269"/>
      <c r="B36" s="3"/>
      <c r="C36" s="14">
        <f>SUM(C34:C35)</f>
        <v>387</v>
      </c>
      <c r="D36" s="3">
        <f>SUM(D34:D35)</f>
        <v>4095060</v>
      </c>
      <c r="E36" s="3">
        <f>SUM(E34:E35)</f>
        <v>782800</v>
      </c>
      <c r="F36" s="3"/>
      <c r="G36" s="3">
        <f>SUM(G34:G35)</f>
        <v>3312260</v>
      </c>
      <c r="H36" s="3">
        <f>SUM(E36:G36)</f>
        <v>4095060</v>
      </c>
      <c r="I36" s="268"/>
    </row>
    <row r="37" spans="1:9" s="1" customFormat="1" ht="14.4" customHeight="1" x14ac:dyDescent="0.35">
      <c r="A37" s="269"/>
      <c r="B37" s="3"/>
      <c r="C37" s="14"/>
      <c r="D37" s="3"/>
      <c r="E37" s="3"/>
      <c r="F37" s="3"/>
      <c r="G37" s="3"/>
      <c r="H37" s="3"/>
      <c r="I37" s="268"/>
    </row>
    <row r="38" spans="1:9" s="1" customFormat="1" ht="14.4" customHeight="1" x14ac:dyDescent="0.35">
      <c r="A38" s="267" t="s">
        <v>189</v>
      </c>
      <c r="C38" s="100"/>
      <c r="D38" s="518" t="s">
        <v>114</v>
      </c>
      <c r="E38" s="518"/>
      <c r="F38" s="100"/>
      <c r="G38" s="100"/>
      <c r="I38" s="268"/>
    </row>
    <row r="39" spans="1:9" s="1" customFormat="1" ht="14.4" customHeight="1" x14ac:dyDescent="0.5">
      <c r="A39" s="38"/>
      <c r="B39" s="8" t="s">
        <v>50</v>
      </c>
      <c r="C39" s="423" t="s">
        <v>51</v>
      </c>
      <c r="D39" s="423" t="s">
        <v>52</v>
      </c>
      <c r="E39" s="517" t="s">
        <v>54</v>
      </c>
      <c r="F39" s="517"/>
      <c r="G39" s="428" t="s">
        <v>55</v>
      </c>
      <c r="I39" s="268"/>
    </row>
    <row r="40" spans="1:9" s="1" customFormat="1" ht="14.4" customHeight="1" x14ac:dyDescent="0.35">
      <c r="A40" s="269" t="s">
        <v>183</v>
      </c>
      <c r="B40" s="3">
        <f>Rates!D13</f>
        <v>2500</v>
      </c>
      <c r="C40" s="75">
        <f>C36</f>
        <v>387</v>
      </c>
      <c r="D40" s="75">
        <f>E36</f>
        <v>782800</v>
      </c>
      <c r="E40" s="200">
        <f>Rates!F13</f>
        <v>36.700000000000003</v>
      </c>
      <c r="F40" s="37" t="s">
        <v>110</v>
      </c>
      <c r="G40" s="89">
        <f>ROUND(C40*E40,0)</f>
        <v>14203</v>
      </c>
      <c r="I40" s="268"/>
    </row>
    <row r="41" spans="1:9" s="1" customFormat="1" ht="14.4" customHeight="1" x14ac:dyDescent="0.5">
      <c r="A41" s="270" t="s">
        <v>184</v>
      </c>
      <c r="B41" s="3">
        <f>Rates!D14</f>
        <v>2500</v>
      </c>
      <c r="C41" s="68"/>
      <c r="D41" s="216">
        <f>G36</f>
        <v>3312260</v>
      </c>
      <c r="E41" s="201">
        <f>Rates!F14</f>
        <v>9.8799999999999999E-3</v>
      </c>
      <c r="F41" s="37" t="s">
        <v>182</v>
      </c>
      <c r="G41" s="90">
        <f t="shared" ref="G41" si="1">ROUND(D41*E41,0)</f>
        <v>32725</v>
      </c>
      <c r="I41" s="268"/>
    </row>
    <row r="42" spans="1:9" s="1" customFormat="1" ht="14.4" customHeight="1" x14ac:dyDescent="0.35">
      <c r="A42" s="70"/>
      <c r="B42" s="2"/>
      <c r="C42" s="273"/>
      <c r="D42" s="2">
        <f>SUM(D40:D41)</f>
        <v>4095060</v>
      </c>
      <c r="E42" s="249"/>
      <c r="F42" s="249"/>
      <c r="G42" s="271">
        <f>SUM(G40:G41)</f>
        <v>46928</v>
      </c>
      <c r="H42" s="249"/>
      <c r="I42" s="272"/>
    </row>
    <row r="43" spans="1:9" s="1" customFormat="1" ht="14.4" customHeight="1" x14ac:dyDescent="0.35">
      <c r="A43" s="38"/>
      <c r="B43" s="3"/>
      <c r="C43" s="9"/>
      <c r="D43" s="3"/>
      <c r="G43" s="89"/>
      <c r="I43" s="268"/>
    </row>
    <row r="44" spans="1:9" s="1" customFormat="1" ht="14.4" customHeight="1" x14ac:dyDescent="0.35">
      <c r="A44" s="261" t="s">
        <v>190</v>
      </c>
      <c r="B44" s="5"/>
      <c r="C44" s="262"/>
      <c r="D44" s="520" t="s">
        <v>115</v>
      </c>
      <c r="E44" s="520"/>
      <c r="F44" s="263"/>
      <c r="G44" s="264"/>
      <c r="H44" s="265"/>
      <c r="I44" s="266"/>
    </row>
    <row r="45" spans="1:9" s="1" customFormat="1" ht="14.4" customHeight="1" x14ac:dyDescent="0.35">
      <c r="A45" s="267"/>
      <c r="B45" s="3"/>
      <c r="C45" s="78"/>
      <c r="D45" s="210"/>
      <c r="E45" s="80" t="s">
        <v>183</v>
      </c>
      <c r="F45" s="80"/>
      <c r="G45" s="80" t="s">
        <v>184</v>
      </c>
      <c r="I45" s="268"/>
    </row>
    <row r="46" spans="1:9" s="1" customFormat="1" ht="14.4" customHeight="1" x14ac:dyDescent="0.35">
      <c r="A46" s="38"/>
      <c r="B46" s="313" t="s">
        <v>50</v>
      </c>
      <c r="C46" s="432" t="s">
        <v>51</v>
      </c>
      <c r="D46" s="432" t="s">
        <v>52</v>
      </c>
      <c r="E46" s="433">
        <f>B47</f>
        <v>10000</v>
      </c>
      <c r="F46" s="433"/>
      <c r="G46" s="433">
        <f>B48</f>
        <v>10000</v>
      </c>
      <c r="H46" s="434" t="s">
        <v>12</v>
      </c>
      <c r="I46" s="268"/>
    </row>
    <row r="47" spans="1:9" s="1" customFormat="1" ht="14.4" customHeight="1" x14ac:dyDescent="0.35">
      <c r="A47" s="269" t="s">
        <v>183</v>
      </c>
      <c r="B47" s="3">
        <f>Rates!D17</f>
        <v>10000</v>
      </c>
      <c r="C47" s="14">
        <v>33</v>
      </c>
      <c r="D47" s="3">
        <v>74890</v>
      </c>
      <c r="E47" s="212">
        <f>D47</f>
        <v>74890</v>
      </c>
      <c r="F47" s="212"/>
      <c r="G47" s="212"/>
      <c r="H47" s="3">
        <f>SUM(D47:G47)</f>
        <v>149780</v>
      </c>
      <c r="I47" s="268"/>
    </row>
    <row r="48" spans="1:9" s="1" customFormat="1" ht="14.4" customHeight="1" x14ac:dyDescent="0.5">
      <c r="A48" s="269" t="s">
        <v>184</v>
      </c>
      <c r="B48" s="3">
        <f>Rates!D18</f>
        <v>10000</v>
      </c>
      <c r="C48" s="76">
        <v>39</v>
      </c>
      <c r="D48" s="31">
        <v>1288760</v>
      </c>
      <c r="E48" s="215">
        <f>C48*E46</f>
        <v>390000</v>
      </c>
      <c r="F48" s="215"/>
      <c r="G48" s="215">
        <f>D48-E48-F48</f>
        <v>898760</v>
      </c>
      <c r="H48" s="31">
        <f>SUM(E48:G48)</f>
        <v>1288760</v>
      </c>
      <c r="I48" s="268"/>
    </row>
    <row r="49" spans="1:10" s="1" customFormat="1" ht="14.4" customHeight="1" x14ac:dyDescent="0.35">
      <c r="A49" s="269"/>
      <c r="B49" s="3"/>
      <c r="C49" s="14">
        <f>SUM(C47:C48)</f>
        <v>72</v>
      </c>
      <c r="D49" s="3">
        <f>SUM(D47:D48)</f>
        <v>1363650</v>
      </c>
      <c r="E49" s="3">
        <f>SUM(E47:E48)</f>
        <v>464890</v>
      </c>
      <c r="F49" s="3"/>
      <c r="G49" s="3">
        <f>SUM(G47:G48)</f>
        <v>898760</v>
      </c>
      <c r="H49" s="3">
        <f>SUM(E49:G49)</f>
        <v>1363650</v>
      </c>
      <c r="I49" s="268"/>
    </row>
    <row r="50" spans="1:10" s="1" customFormat="1" ht="14.4" customHeight="1" x14ac:dyDescent="0.35">
      <c r="A50" s="38"/>
      <c r="B50" s="3"/>
      <c r="G50" s="3"/>
      <c r="H50" s="3"/>
      <c r="I50" s="268"/>
    </row>
    <row r="51" spans="1:10" s="1" customFormat="1" ht="14.4" customHeight="1" x14ac:dyDescent="0.35">
      <c r="A51" s="267" t="s">
        <v>189</v>
      </c>
      <c r="B51" s="100"/>
      <c r="C51" s="100"/>
      <c r="D51" s="518" t="s">
        <v>115</v>
      </c>
      <c r="E51" s="518"/>
      <c r="F51" s="100"/>
      <c r="G51" s="100"/>
      <c r="I51" s="268"/>
    </row>
    <row r="52" spans="1:10" s="1" customFormat="1" ht="14.4" customHeight="1" x14ac:dyDescent="0.5">
      <c r="A52" s="38"/>
      <c r="B52" s="8" t="s">
        <v>50</v>
      </c>
      <c r="C52" s="423" t="s">
        <v>51</v>
      </c>
      <c r="D52" s="423" t="s">
        <v>52</v>
      </c>
      <c r="E52" s="517" t="s">
        <v>54</v>
      </c>
      <c r="F52" s="517"/>
      <c r="G52" s="428" t="s">
        <v>55</v>
      </c>
      <c r="I52" s="268"/>
    </row>
    <row r="53" spans="1:10" s="1" customFormat="1" ht="14.4" customHeight="1" x14ac:dyDescent="0.35">
      <c r="A53" s="269" t="s">
        <v>183</v>
      </c>
      <c r="B53" s="3">
        <f>Rates!D17</f>
        <v>10000</v>
      </c>
      <c r="C53" s="75">
        <f>C49</f>
        <v>72</v>
      </c>
      <c r="D53" s="75">
        <f>E49</f>
        <v>464890</v>
      </c>
      <c r="E53" s="67">
        <f>Rates!F17</f>
        <v>109.8</v>
      </c>
      <c r="F53" s="37" t="s">
        <v>110</v>
      </c>
      <c r="G53" s="89">
        <f>ROUND(C53*E53,0)</f>
        <v>7906</v>
      </c>
      <c r="I53" s="268"/>
    </row>
    <row r="54" spans="1:10" s="1" customFormat="1" ht="14.4" customHeight="1" x14ac:dyDescent="0.5">
      <c r="A54" s="270" t="s">
        <v>184</v>
      </c>
      <c r="B54" s="3">
        <f>Rates!D18</f>
        <v>10000</v>
      </c>
      <c r="C54" s="68"/>
      <c r="D54" s="216">
        <f>G49</f>
        <v>898760</v>
      </c>
      <c r="E54" s="203">
        <f>Rates!F18</f>
        <v>9.8799999999999999E-3</v>
      </c>
      <c r="F54" s="37" t="s">
        <v>182</v>
      </c>
      <c r="G54" s="90">
        <f t="shared" ref="G54" si="2">ROUND(D54*E54,0)</f>
        <v>8880</v>
      </c>
      <c r="I54" s="268"/>
    </row>
    <row r="55" spans="1:10" s="1" customFormat="1" ht="14.4" customHeight="1" x14ac:dyDescent="0.35">
      <c r="A55" s="70"/>
      <c r="B55" s="2"/>
      <c r="C55" s="248"/>
      <c r="D55" s="2">
        <f>SUM(D53:D54)</f>
        <v>1363650</v>
      </c>
      <c r="E55" s="249"/>
      <c r="F55" s="249"/>
      <c r="G55" s="271">
        <f>SUM(G53:G54)</f>
        <v>16786</v>
      </c>
      <c r="H55" s="249"/>
      <c r="I55" s="272"/>
    </row>
    <row r="56" spans="1:10" s="1" customFormat="1" ht="14.4" customHeight="1" thickBot="1" x14ac:dyDescent="0.4">
      <c r="A56" s="38"/>
      <c r="B56" s="3"/>
      <c r="C56" s="173"/>
      <c r="D56" s="3"/>
      <c r="G56" s="173"/>
      <c r="I56" s="268"/>
    </row>
    <row r="57" spans="1:10" s="1" customFormat="1" ht="14.4" customHeight="1" x14ac:dyDescent="0.35">
      <c r="A57" s="421"/>
      <c r="B57" s="218"/>
      <c r="C57" s="219"/>
      <c r="D57" s="519" t="s">
        <v>227</v>
      </c>
      <c r="E57" s="519"/>
      <c r="F57" s="220"/>
      <c r="G57" s="232"/>
      <c r="I57" s="268"/>
    </row>
    <row r="58" spans="1:10" s="1" customFormat="1" ht="14.4" customHeight="1" thickBot="1" x14ac:dyDescent="0.4">
      <c r="A58" s="38"/>
      <c r="B58" s="3"/>
      <c r="G58" s="35"/>
      <c r="I58" s="268"/>
    </row>
    <row r="59" spans="1:10" s="1" customFormat="1" ht="14.4" customHeight="1" x14ac:dyDescent="0.35">
      <c r="A59" s="267" t="s">
        <v>189</v>
      </c>
      <c r="B59" s="100"/>
      <c r="C59" s="100"/>
      <c r="D59" s="519" t="s">
        <v>228</v>
      </c>
      <c r="E59" s="519"/>
      <c r="F59" s="100"/>
      <c r="G59" s="100"/>
      <c r="I59" s="268"/>
    </row>
    <row r="60" spans="1:10" s="1" customFormat="1" ht="14.4" customHeight="1" x14ac:dyDescent="0.35">
      <c r="A60" s="38"/>
      <c r="B60" s="85"/>
      <c r="C60" s="74"/>
      <c r="D60" s="432" t="s">
        <v>341</v>
      </c>
      <c r="E60" s="512" t="s">
        <v>54</v>
      </c>
      <c r="F60" s="512"/>
      <c r="G60" s="435" t="s">
        <v>55</v>
      </c>
      <c r="I60" s="268"/>
      <c r="J60" s="294" t="s">
        <v>321</v>
      </c>
    </row>
    <row r="61" spans="1:10" s="1" customFormat="1" ht="14.4" customHeight="1" x14ac:dyDescent="0.35">
      <c r="A61" s="269"/>
      <c r="B61" s="3"/>
      <c r="C61" s="75"/>
      <c r="D61" s="75">
        <v>192300</v>
      </c>
      <c r="E61" s="204">
        <f>Rates!F21</f>
        <v>6.7299999999999999E-3</v>
      </c>
      <c r="F61" s="37" t="s">
        <v>182</v>
      </c>
      <c r="G61" s="172">
        <f>ROUND(D61*E61,0)</f>
        <v>1294</v>
      </c>
      <c r="I61" s="268"/>
      <c r="J61" s="320">
        <v>1457</v>
      </c>
    </row>
    <row r="62" spans="1:10" s="1" customFormat="1" ht="14.4" customHeight="1" x14ac:dyDescent="0.35">
      <c r="A62" s="70"/>
      <c r="B62" s="2"/>
      <c r="C62" s="248"/>
      <c r="D62" s="2"/>
      <c r="E62" s="249"/>
      <c r="F62" s="249"/>
      <c r="G62" s="248"/>
      <c r="H62" s="249"/>
      <c r="I62" s="272"/>
    </row>
    <row r="63" spans="1:10" s="1" customFormat="1" ht="14.4" customHeight="1" x14ac:dyDescent="0.35">
      <c r="B63" s="3"/>
      <c r="C63" s="173"/>
      <c r="D63" s="3"/>
      <c r="G63" s="173"/>
    </row>
    <row r="64" spans="1:10" s="1" customFormat="1" ht="14.4" customHeight="1" x14ac:dyDescent="0.35">
      <c r="B64" s="3"/>
      <c r="D64" s="75"/>
      <c r="G64" s="35"/>
    </row>
    <row r="65" spans="1:9" s="1" customFormat="1" ht="14.4" customHeight="1" x14ac:dyDescent="0.35">
      <c r="B65" s="3"/>
      <c r="G65" s="35"/>
    </row>
    <row r="66" spans="1:9" s="1" customFormat="1" ht="14.4" customHeight="1" x14ac:dyDescent="0.35">
      <c r="B66" s="485" t="s">
        <v>320</v>
      </c>
      <c r="C66" s="485"/>
      <c r="D66" s="485"/>
      <c r="E66" s="485"/>
      <c r="G66" s="35"/>
    </row>
    <row r="67" spans="1:9" s="1" customFormat="1" ht="14.4" customHeight="1" x14ac:dyDescent="0.35">
      <c r="B67"/>
      <c r="C67"/>
      <c r="D67" s="314" t="s">
        <v>239</v>
      </c>
      <c r="E67"/>
      <c r="G67" s="35"/>
    </row>
    <row r="68" spans="1:9" s="1" customFormat="1" ht="14.4" customHeight="1" x14ac:dyDescent="0.35">
      <c r="B68"/>
      <c r="C68"/>
      <c r="D68" s="315" t="s">
        <v>30</v>
      </c>
      <c r="E68"/>
      <c r="G68" s="35"/>
    </row>
    <row r="69" spans="1:9" s="1" customFormat="1" ht="14.4" customHeight="1" x14ac:dyDescent="0.35">
      <c r="B69"/>
      <c r="C69" s="316" t="s">
        <v>324</v>
      </c>
      <c r="D69" s="317"/>
      <c r="E69"/>
      <c r="G69" s="35"/>
    </row>
    <row r="70" spans="1:9" s="1" customFormat="1" ht="14.4" customHeight="1" x14ac:dyDescent="0.35">
      <c r="A70" s="221"/>
      <c r="B70"/>
      <c r="C70" s="316" t="s">
        <v>325</v>
      </c>
      <c r="D70" s="318"/>
      <c r="E70"/>
      <c r="F70" s="80"/>
      <c r="G70" s="80"/>
      <c r="H70" s="199"/>
      <c r="I70" s="222"/>
    </row>
    <row r="71" spans="1:9" s="1" customFormat="1" ht="14.4" customHeight="1" x14ac:dyDescent="0.35">
      <c r="A71" s="202"/>
      <c r="B71"/>
      <c r="C71" s="316" t="s">
        <v>326</v>
      </c>
      <c r="D71" s="318"/>
      <c r="E71"/>
      <c r="F71" s="211"/>
      <c r="G71" s="211"/>
      <c r="H71" s="212"/>
      <c r="I71" s="223"/>
    </row>
    <row r="72" spans="1:9" s="1" customFormat="1" ht="14.4" customHeight="1" x14ac:dyDescent="0.35">
      <c r="A72" s="224"/>
      <c r="B72"/>
      <c r="C72" s="316" t="s">
        <v>327</v>
      </c>
      <c r="D72" s="318"/>
      <c r="E72"/>
      <c r="F72" s="212"/>
      <c r="G72" s="212"/>
      <c r="H72" s="212"/>
      <c r="I72" s="225"/>
    </row>
    <row r="73" spans="1:9" s="1" customFormat="1" ht="14.4" customHeight="1" x14ac:dyDescent="0.5">
      <c r="A73" s="227"/>
      <c r="B73"/>
      <c r="C73" s="316" t="s">
        <v>328</v>
      </c>
      <c r="D73" s="318"/>
      <c r="E73"/>
      <c r="F73" s="31"/>
      <c r="G73" s="31"/>
      <c r="H73" s="31"/>
      <c r="I73" s="226"/>
    </row>
    <row r="74" spans="1:9" s="1" customFormat="1" ht="14.4" customHeight="1" x14ac:dyDescent="0.35">
      <c r="A74" s="224"/>
      <c r="B74"/>
      <c r="C74" s="316" t="s">
        <v>329</v>
      </c>
      <c r="D74" s="318"/>
      <c r="E74"/>
      <c r="F74" s="3"/>
      <c r="G74" s="3"/>
      <c r="H74" s="3"/>
      <c r="I74" s="225"/>
    </row>
    <row r="75" spans="1:9" s="1" customFormat="1" ht="14.4" customHeight="1" x14ac:dyDescent="0.35">
      <c r="B75"/>
      <c r="C75" s="316" t="s">
        <v>330</v>
      </c>
      <c r="D75" s="318"/>
      <c r="E75"/>
      <c r="G75" s="35"/>
    </row>
    <row r="76" spans="1:9" s="1" customFormat="1" ht="14.4" customHeight="1" x14ac:dyDescent="0.35">
      <c r="B76"/>
      <c r="C76" s="316" t="s">
        <v>331</v>
      </c>
      <c r="D76" s="318"/>
      <c r="E76"/>
      <c r="G76" s="35"/>
    </row>
    <row r="77" spans="1:9" s="1" customFormat="1" ht="14.4" customHeight="1" x14ac:dyDescent="0.35">
      <c r="B77"/>
      <c r="C77" s="316" t="s">
        <v>332</v>
      </c>
      <c r="D77" s="318"/>
      <c r="E77"/>
      <c r="G77" s="35"/>
    </row>
    <row r="78" spans="1:9" s="1" customFormat="1" ht="14.4" customHeight="1" x14ac:dyDescent="0.35">
      <c r="B78"/>
      <c r="C78" s="316" t="s">
        <v>333</v>
      </c>
      <c r="D78" s="318"/>
      <c r="E78"/>
      <c r="G78" s="35"/>
    </row>
    <row r="79" spans="1:9" s="1" customFormat="1" ht="14.4" customHeight="1" x14ac:dyDescent="0.35">
      <c r="B79"/>
      <c r="C79" s="316" t="s">
        <v>334</v>
      </c>
      <c r="D79" s="318"/>
      <c r="E79"/>
      <c r="G79" s="35"/>
    </row>
    <row r="80" spans="1:9" s="1" customFormat="1" ht="14.4" customHeight="1" x14ac:dyDescent="0.35">
      <c r="B80"/>
      <c r="C80" s="316" t="s">
        <v>335</v>
      </c>
      <c r="D80" s="319"/>
      <c r="E80"/>
      <c r="G80" s="35"/>
    </row>
    <row r="81" spans="2:7" s="1" customFormat="1" ht="14.4" customHeight="1" x14ac:dyDescent="0.35">
      <c r="B81"/>
      <c r="C81"/>
      <c r="D81" s="91">
        <v>154773.69</v>
      </c>
      <c r="E81"/>
      <c r="G81" s="35"/>
    </row>
    <row r="82" spans="2:7" s="1" customFormat="1" ht="14.4" customHeight="1" x14ac:dyDescent="0.35">
      <c r="B82" s="3"/>
      <c r="G82" s="35"/>
    </row>
    <row r="83" spans="2:7" s="1" customFormat="1" ht="14.4" customHeight="1" x14ac:dyDescent="0.35">
      <c r="B83" s="3"/>
      <c r="G83" s="35"/>
    </row>
    <row r="84" spans="2:7" s="1" customFormat="1" ht="14.4" customHeight="1" x14ac:dyDescent="0.35">
      <c r="B84" s="3"/>
      <c r="G84" s="35"/>
    </row>
    <row r="85" spans="2:7" s="1" customFormat="1" ht="14.4" customHeight="1" x14ac:dyDescent="0.35">
      <c r="B85" s="3"/>
      <c r="G85" s="35"/>
    </row>
    <row r="86" spans="2:7" s="1" customFormat="1" ht="14.4" customHeight="1" x14ac:dyDescent="0.35">
      <c r="B86" s="3"/>
      <c r="G86" s="35"/>
    </row>
    <row r="87" spans="2:7" s="1" customFormat="1" ht="14.4" customHeight="1" x14ac:dyDescent="0.35">
      <c r="B87" s="3"/>
      <c r="G87" s="35"/>
    </row>
    <row r="88" spans="2:7" s="1" customFormat="1" ht="14.4" customHeight="1" x14ac:dyDescent="0.35">
      <c r="B88" s="3"/>
      <c r="G88" s="35"/>
    </row>
    <row r="89" spans="2:7" s="1" customFormat="1" ht="14.4" customHeight="1" x14ac:dyDescent="0.35">
      <c r="B89" s="3"/>
      <c r="G89" s="35"/>
    </row>
    <row r="90" spans="2:7" s="1" customFormat="1" ht="14.4" customHeight="1" x14ac:dyDescent="0.35">
      <c r="B90" s="3"/>
      <c r="G90" s="35"/>
    </row>
    <row r="91" spans="2:7" s="1" customFormat="1" ht="14.4" customHeight="1" x14ac:dyDescent="0.35">
      <c r="B91" s="3"/>
      <c r="G91" s="35"/>
    </row>
    <row r="92" spans="2:7" s="1" customFormat="1" ht="14.4" customHeight="1" x14ac:dyDescent="0.35">
      <c r="B92" s="3"/>
      <c r="G92" s="35"/>
    </row>
    <row r="93" spans="2:7" s="1" customFormat="1" ht="14.4" customHeight="1" x14ac:dyDescent="0.35">
      <c r="B93" s="3"/>
      <c r="G93" s="35"/>
    </row>
    <row r="94" spans="2:7" s="1" customFormat="1" ht="14.4" customHeight="1" x14ac:dyDescent="0.35">
      <c r="B94" s="3"/>
      <c r="G94" s="35"/>
    </row>
    <row r="95" spans="2:7" s="1" customFormat="1" ht="14.4" customHeight="1" x14ac:dyDescent="0.35">
      <c r="B95" s="3"/>
      <c r="G95" s="35"/>
    </row>
    <row r="96" spans="2:7" s="1" customFormat="1" ht="14.4" customHeight="1" x14ac:dyDescent="0.35">
      <c r="B96" s="3"/>
      <c r="G96" s="35"/>
    </row>
    <row r="97" spans="2:7" s="1" customFormat="1" ht="14.4" customHeight="1" x14ac:dyDescent="0.35">
      <c r="B97" s="3"/>
      <c r="G97" s="35"/>
    </row>
    <row r="98" spans="2:7" s="1" customFormat="1" ht="14.4" customHeight="1" x14ac:dyDescent="0.35">
      <c r="B98" s="3"/>
      <c r="G98" s="35"/>
    </row>
    <row r="99" spans="2:7" s="1" customFormat="1" ht="14.4" customHeight="1" x14ac:dyDescent="0.35">
      <c r="B99" s="3"/>
      <c r="G99" s="35"/>
    </row>
    <row r="100" spans="2:7" s="1" customFormat="1" ht="14.4" customHeight="1" x14ac:dyDescent="0.35">
      <c r="B100" s="3"/>
      <c r="G100" s="35"/>
    </row>
    <row r="101" spans="2:7" s="1" customFormat="1" ht="14.4" customHeight="1" x14ac:dyDescent="0.35">
      <c r="B101" s="3"/>
      <c r="G101" s="35"/>
    </row>
    <row r="102" spans="2:7" s="1" customFormat="1" ht="14.4" customHeight="1" x14ac:dyDescent="0.35">
      <c r="B102" s="3"/>
      <c r="G102" s="35"/>
    </row>
    <row r="103" spans="2:7" s="1" customFormat="1" ht="14.4" customHeight="1" x14ac:dyDescent="0.35">
      <c r="B103" s="3"/>
      <c r="G103" s="35"/>
    </row>
    <row r="104" spans="2:7" s="1" customFormat="1" ht="14.4" customHeight="1" x14ac:dyDescent="0.35">
      <c r="B104" s="3"/>
      <c r="G104" s="35"/>
    </row>
    <row r="105" spans="2:7" s="1" customFormat="1" ht="14.4" customHeight="1" x14ac:dyDescent="0.35">
      <c r="B105" s="3"/>
      <c r="G105" s="35"/>
    </row>
    <row r="106" spans="2:7" s="1" customFormat="1" ht="14.4" customHeight="1" x14ac:dyDescent="0.35">
      <c r="B106" s="3"/>
      <c r="G106" s="35"/>
    </row>
    <row r="107" spans="2:7" s="1" customFormat="1" ht="14.4" customHeight="1" x14ac:dyDescent="0.35">
      <c r="B107" s="3"/>
      <c r="G107" s="35"/>
    </row>
    <row r="108" spans="2:7" s="1" customFormat="1" ht="14.4" customHeight="1" x14ac:dyDescent="0.35">
      <c r="B108" s="3"/>
      <c r="G108" s="35"/>
    </row>
    <row r="109" spans="2:7" s="1" customFormat="1" ht="14.4" customHeight="1" x14ac:dyDescent="0.35">
      <c r="B109" s="3"/>
      <c r="G109" s="35"/>
    </row>
    <row r="110" spans="2:7" s="1" customFormat="1" ht="14.4" customHeight="1" x14ac:dyDescent="0.35">
      <c r="B110" s="3"/>
      <c r="G110" s="35"/>
    </row>
    <row r="111" spans="2:7" s="1" customFormat="1" ht="14.4" customHeight="1" x14ac:dyDescent="0.35">
      <c r="B111" s="3"/>
      <c r="G111" s="35"/>
    </row>
    <row r="112" spans="2:7" s="1" customFormat="1" ht="14.4" customHeight="1" x14ac:dyDescent="0.35">
      <c r="B112" s="3"/>
      <c r="G112" s="35"/>
    </row>
    <row r="113" spans="2:7" s="1" customFormat="1" ht="14.4" customHeight="1" x14ac:dyDescent="0.35">
      <c r="B113" s="3"/>
      <c r="G113" s="35"/>
    </row>
    <row r="114" spans="2:7" s="1" customFormat="1" ht="14.4" customHeight="1" x14ac:dyDescent="0.35">
      <c r="B114" s="3"/>
      <c r="G114" s="35"/>
    </row>
    <row r="115" spans="2:7" s="1" customFormat="1" ht="14.4" customHeight="1" x14ac:dyDescent="0.35">
      <c r="B115" s="3"/>
      <c r="G115" s="35"/>
    </row>
    <row r="116" spans="2:7" s="1" customFormat="1" ht="14.4" customHeight="1" x14ac:dyDescent="0.35">
      <c r="B116" s="3"/>
      <c r="G116" s="35"/>
    </row>
    <row r="117" spans="2:7" s="1" customFormat="1" ht="14.4" customHeight="1" x14ac:dyDescent="0.35">
      <c r="B117" s="3"/>
      <c r="G117" s="35"/>
    </row>
    <row r="118" spans="2:7" s="1" customFormat="1" ht="14.4" customHeight="1" x14ac:dyDescent="0.35">
      <c r="B118" s="3"/>
      <c r="G118" s="35"/>
    </row>
    <row r="119" spans="2:7" s="1" customFormat="1" ht="14.4" customHeight="1" x14ac:dyDescent="0.35">
      <c r="B119" s="3"/>
      <c r="G119" s="35"/>
    </row>
    <row r="120" spans="2:7" s="1" customFormat="1" ht="14.4" customHeight="1" x14ac:dyDescent="0.35">
      <c r="B120" s="3"/>
      <c r="G120" s="35"/>
    </row>
    <row r="121" spans="2:7" s="1" customFormat="1" ht="14.4" customHeight="1" x14ac:dyDescent="0.35">
      <c r="B121" s="3"/>
      <c r="G121" s="35"/>
    </row>
    <row r="122" spans="2:7" s="1" customFormat="1" ht="14.4" customHeight="1" x14ac:dyDescent="0.35">
      <c r="B122" s="3"/>
      <c r="G122" s="35"/>
    </row>
    <row r="123" spans="2:7" s="1" customFormat="1" ht="14.4" customHeight="1" x14ac:dyDescent="0.35">
      <c r="B123" s="3"/>
      <c r="G123" s="35"/>
    </row>
    <row r="124" spans="2:7" s="1" customFormat="1" ht="14.4" customHeight="1" x14ac:dyDescent="0.35">
      <c r="B124" s="3"/>
      <c r="G124" s="35"/>
    </row>
    <row r="125" spans="2:7" s="1" customFormat="1" ht="14.4" customHeight="1" x14ac:dyDescent="0.35">
      <c r="B125" s="3"/>
      <c r="G125" s="35"/>
    </row>
    <row r="126" spans="2:7" s="1" customFormat="1" ht="14.4" customHeight="1" x14ac:dyDescent="0.35">
      <c r="B126" s="3"/>
      <c r="G126" s="35"/>
    </row>
    <row r="127" spans="2:7" s="1" customFormat="1" ht="14.4" customHeight="1" x14ac:dyDescent="0.35">
      <c r="B127" s="3"/>
      <c r="G127" s="35"/>
    </row>
    <row r="128" spans="2:7" s="1" customFormat="1" ht="14.4" customHeight="1" x14ac:dyDescent="0.35">
      <c r="B128" s="3"/>
      <c r="G128" s="35"/>
    </row>
    <row r="129" spans="2:7" s="1" customFormat="1" ht="14.4" customHeight="1" x14ac:dyDescent="0.35">
      <c r="B129" s="3"/>
      <c r="G129" s="35"/>
    </row>
    <row r="130" spans="2:7" s="1" customFormat="1" ht="14.4" customHeight="1" x14ac:dyDescent="0.35">
      <c r="B130" s="3"/>
      <c r="G130" s="35"/>
    </row>
    <row r="131" spans="2:7" s="1" customFormat="1" ht="14.4" customHeight="1" x14ac:dyDescent="0.35">
      <c r="B131" s="3"/>
      <c r="G131" s="35"/>
    </row>
    <row r="132" spans="2:7" s="1" customFormat="1" ht="14.4" customHeight="1" x14ac:dyDescent="0.35">
      <c r="B132" s="3"/>
      <c r="G132" s="35"/>
    </row>
    <row r="133" spans="2:7" s="1" customFormat="1" ht="14.4" customHeight="1" x14ac:dyDescent="0.35">
      <c r="B133" s="3"/>
      <c r="G133" s="35"/>
    </row>
    <row r="134" spans="2:7" s="1" customFormat="1" ht="14.4" customHeight="1" x14ac:dyDescent="0.35">
      <c r="B134" s="3"/>
      <c r="G134" s="35"/>
    </row>
    <row r="135" spans="2:7" s="1" customFormat="1" ht="14.4" customHeight="1" x14ac:dyDescent="0.35">
      <c r="B135" s="3"/>
      <c r="G135" s="35"/>
    </row>
    <row r="136" spans="2:7" s="1" customFormat="1" ht="14.4" customHeight="1" x14ac:dyDescent="0.35">
      <c r="B136" s="3"/>
      <c r="G136" s="35"/>
    </row>
    <row r="137" spans="2:7" s="1" customFormat="1" ht="14.4" customHeight="1" x14ac:dyDescent="0.35">
      <c r="B137" s="3"/>
      <c r="G137" s="35"/>
    </row>
    <row r="138" spans="2:7" s="1" customFormat="1" ht="14.4" customHeight="1" x14ac:dyDescent="0.35">
      <c r="B138" s="3"/>
      <c r="G138" s="35"/>
    </row>
    <row r="139" spans="2:7" s="1" customFormat="1" ht="14.4" customHeight="1" x14ac:dyDescent="0.35">
      <c r="B139" s="3"/>
      <c r="G139" s="35"/>
    </row>
    <row r="140" spans="2:7" s="1" customFormat="1" ht="14.4" customHeight="1" x14ac:dyDescent="0.35">
      <c r="B140" s="3"/>
      <c r="G140" s="35"/>
    </row>
    <row r="141" spans="2:7" s="1" customFormat="1" ht="14.4" customHeight="1" x14ac:dyDescent="0.35">
      <c r="B141" s="3"/>
      <c r="G141" s="35"/>
    </row>
    <row r="142" spans="2:7" s="1" customFormat="1" ht="14.4" customHeight="1" x14ac:dyDescent="0.35">
      <c r="B142" s="3"/>
      <c r="G142" s="35"/>
    </row>
    <row r="143" spans="2:7" s="1" customFormat="1" ht="14.4" customHeight="1" x14ac:dyDescent="0.35">
      <c r="B143" s="3"/>
      <c r="G143" s="35"/>
    </row>
    <row r="144" spans="2:7" s="1" customFormat="1" ht="14.4" customHeight="1" x14ac:dyDescent="0.35">
      <c r="B144" s="3"/>
      <c r="G144" s="35"/>
    </row>
    <row r="145" spans="2:7" s="1" customFormat="1" ht="14.4" customHeight="1" x14ac:dyDescent="0.35">
      <c r="B145" s="3"/>
      <c r="G145" s="35"/>
    </row>
    <row r="146" spans="2:7" s="1" customFormat="1" ht="14.4" customHeight="1" x14ac:dyDescent="0.35">
      <c r="B146" s="3"/>
      <c r="G146" s="35"/>
    </row>
    <row r="147" spans="2:7" s="1" customFormat="1" ht="14.4" customHeight="1" x14ac:dyDescent="0.35">
      <c r="B147" s="3"/>
      <c r="G147" s="35"/>
    </row>
    <row r="148" spans="2:7" s="1" customFormat="1" ht="14.4" customHeight="1" x14ac:dyDescent="0.35">
      <c r="B148" s="3"/>
      <c r="G148" s="35"/>
    </row>
    <row r="149" spans="2:7" s="1" customFormat="1" ht="14.4" customHeight="1" x14ac:dyDescent="0.35">
      <c r="B149" s="3"/>
      <c r="G149" s="35"/>
    </row>
    <row r="150" spans="2:7" s="1" customFormat="1" ht="14.4" customHeight="1" x14ac:dyDescent="0.35">
      <c r="B150" s="3"/>
      <c r="G150" s="35"/>
    </row>
    <row r="151" spans="2:7" s="1" customFormat="1" ht="14.4" customHeight="1" x14ac:dyDescent="0.35">
      <c r="B151" s="3"/>
      <c r="G151" s="35"/>
    </row>
    <row r="152" spans="2:7" s="1" customFormat="1" ht="14.4" customHeight="1" x14ac:dyDescent="0.35">
      <c r="B152" s="3"/>
      <c r="G152" s="35"/>
    </row>
    <row r="153" spans="2:7" s="1" customFormat="1" ht="14.5" x14ac:dyDescent="0.35">
      <c r="B153" s="3"/>
      <c r="G153" s="35"/>
    </row>
    <row r="154" spans="2:7" s="1" customFormat="1" ht="14.5" x14ac:dyDescent="0.35">
      <c r="B154" s="3"/>
      <c r="G154" s="35"/>
    </row>
    <row r="155" spans="2:7" s="1" customFormat="1" ht="14.5" x14ac:dyDescent="0.35">
      <c r="B155" s="3"/>
      <c r="G155" s="35"/>
    </row>
    <row r="156" spans="2:7" s="1" customFormat="1" ht="14.5" x14ac:dyDescent="0.35">
      <c r="B156" s="3"/>
      <c r="G156" s="35"/>
    </row>
    <row r="157" spans="2:7" s="1" customFormat="1" ht="14.5" x14ac:dyDescent="0.35">
      <c r="B157" s="3"/>
      <c r="G157" s="35"/>
    </row>
    <row r="158" spans="2:7" s="1" customFormat="1" ht="14.5" x14ac:dyDescent="0.35">
      <c r="B158" s="3"/>
      <c r="G158" s="35"/>
    </row>
    <row r="159" spans="2:7" s="1" customFormat="1" ht="14.5" x14ac:dyDescent="0.35">
      <c r="B159" s="3"/>
      <c r="G159" s="35"/>
    </row>
    <row r="160" spans="2:7" s="1" customFormat="1" ht="14.5" x14ac:dyDescent="0.35">
      <c r="B160" s="3"/>
      <c r="G160" s="35"/>
    </row>
    <row r="161" spans="2:7" s="1" customFormat="1" ht="14.5" x14ac:dyDescent="0.35">
      <c r="B161" s="3"/>
      <c r="G161" s="35"/>
    </row>
    <row r="162" spans="2:7" s="1" customFormat="1" ht="14.5" x14ac:dyDescent="0.35">
      <c r="B162" s="3"/>
      <c r="G162" s="35"/>
    </row>
    <row r="163" spans="2:7" s="1" customFormat="1" ht="14.5" x14ac:dyDescent="0.35">
      <c r="B163" s="3"/>
      <c r="G163" s="35"/>
    </row>
    <row r="164" spans="2:7" s="1" customFormat="1" ht="14.5" x14ac:dyDescent="0.35">
      <c r="B164" s="3"/>
      <c r="G164" s="35"/>
    </row>
    <row r="165" spans="2:7" s="1" customFormat="1" ht="14.5" x14ac:dyDescent="0.35">
      <c r="B165" s="3"/>
      <c r="G165" s="35"/>
    </row>
    <row r="166" spans="2:7" s="1" customFormat="1" ht="14.5" x14ac:dyDescent="0.35">
      <c r="B166" s="3"/>
      <c r="G166" s="35"/>
    </row>
    <row r="167" spans="2:7" s="1" customFormat="1" ht="14.5" x14ac:dyDescent="0.35">
      <c r="B167" s="3"/>
      <c r="G167" s="35"/>
    </row>
    <row r="168" spans="2:7" s="1" customFormat="1" ht="14.5" x14ac:dyDescent="0.35">
      <c r="B168" s="3"/>
      <c r="G168" s="35"/>
    </row>
    <row r="169" spans="2:7" s="1" customFormat="1" ht="14.5" x14ac:dyDescent="0.35">
      <c r="B169" s="3"/>
      <c r="G169" s="35"/>
    </row>
    <row r="170" spans="2:7" s="1" customFormat="1" ht="14.5" x14ac:dyDescent="0.35">
      <c r="B170" s="3"/>
      <c r="G170" s="35"/>
    </row>
    <row r="171" spans="2:7" s="1" customFormat="1" ht="14.5" x14ac:dyDescent="0.35">
      <c r="B171" s="3"/>
      <c r="G171" s="35"/>
    </row>
    <row r="172" spans="2:7" s="1" customFormat="1" ht="14.5" x14ac:dyDescent="0.35">
      <c r="B172" s="3"/>
      <c r="G172" s="35"/>
    </row>
    <row r="173" spans="2:7" s="1" customFormat="1" ht="14.5" x14ac:dyDescent="0.35">
      <c r="B173" s="3"/>
      <c r="G173" s="35"/>
    </row>
    <row r="174" spans="2:7" s="1" customFormat="1" ht="14.5" x14ac:dyDescent="0.35">
      <c r="B174" s="3"/>
      <c r="G174" s="35"/>
    </row>
    <row r="175" spans="2:7" s="1" customFormat="1" ht="14.5" x14ac:dyDescent="0.35">
      <c r="B175" s="3"/>
      <c r="G175" s="35"/>
    </row>
    <row r="176" spans="2:7" s="1" customFormat="1" ht="14.5" x14ac:dyDescent="0.35">
      <c r="B176" s="3"/>
      <c r="G176" s="35"/>
    </row>
    <row r="177" spans="2:7" s="1" customFormat="1" ht="14.5" x14ac:dyDescent="0.35">
      <c r="B177" s="3"/>
      <c r="G177" s="35"/>
    </row>
    <row r="178" spans="2:7" s="1" customFormat="1" ht="14.5" x14ac:dyDescent="0.35">
      <c r="B178" s="3"/>
      <c r="G178" s="35"/>
    </row>
    <row r="179" spans="2:7" s="1" customFormat="1" ht="14.5" x14ac:dyDescent="0.35">
      <c r="B179" s="3"/>
      <c r="G179" s="35"/>
    </row>
    <row r="180" spans="2:7" s="1" customFormat="1" ht="14.5" x14ac:dyDescent="0.35">
      <c r="B180" s="3"/>
      <c r="G180" s="35"/>
    </row>
    <row r="181" spans="2:7" s="1" customFormat="1" ht="14.5" x14ac:dyDescent="0.35">
      <c r="B181" s="3"/>
      <c r="G181" s="35"/>
    </row>
    <row r="182" spans="2:7" s="1" customFormat="1" ht="14.5" x14ac:dyDescent="0.35">
      <c r="B182" s="3"/>
      <c r="G182" s="35"/>
    </row>
    <row r="183" spans="2:7" s="1" customFormat="1" ht="14.5" x14ac:dyDescent="0.35">
      <c r="B183" s="3"/>
      <c r="G183" s="35"/>
    </row>
    <row r="184" spans="2:7" s="1" customFormat="1" ht="14.5" x14ac:dyDescent="0.35">
      <c r="B184" s="3"/>
      <c r="G184" s="35"/>
    </row>
    <row r="185" spans="2:7" s="1" customFormat="1" ht="14.5" x14ac:dyDescent="0.35">
      <c r="B185" s="3"/>
      <c r="G185" s="35"/>
    </row>
    <row r="186" spans="2:7" s="1" customFormat="1" ht="14.5" x14ac:dyDescent="0.35">
      <c r="B186" s="3"/>
      <c r="G186" s="35"/>
    </row>
    <row r="187" spans="2:7" s="1" customFormat="1" ht="14.5" x14ac:dyDescent="0.35">
      <c r="B187" s="3"/>
      <c r="G187" s="35"/>
    </row>
    <row r="188" spans="2:7" s="1" customFormat="1" ht="14.5" x14ac:dyDescent="0.35">
      <c r="B188" s="3"/>
      <c r="G188" s="35"/>
    </row>
    <row r="189" spans="2:7" s="1" customFormat="1" ht="14.5" x14ac:dyDescent="0.35">
      <c r="B189" s="3"/>
      <c r="G189" s="35"/>
    </row>
    <row r="190" spans="2:7" s="1" customFormat="1" ht="14.5" x14ac:dyDescent="0.35">
      <c r="B190" s="3"/>
      <c r="G190" s="35"/>
    </row>
    <row r="191" spans="2:7" s="1" customFormat="1" ht="14.5" x14ac:dyDescent="0.35">
      <c r="B191" s="3"/>
      <c r="G191" s="35"/>
    </row>
    <row r="192" spans="2:7" s="1" customFormat="1" ht="14.5" x14ac:dyDescent="0.35">
      <c r="B192" s="3"/>
      <c r="G192" s="35"/>
    </row>
    <row r="193" spans="2:7" s="1" customFormat="1" ht="14.5" x14ac:dyDescent="0.35">
      <c r="B193" s="3"/>
      <c r="G193" s="35"/>
    </row>
    <row r="194" spans="2:7" s="1" customFormat="1" ht="14.5" x14ac:dyDescent="0.35">
      <c r="B194" s="3"/>
      <c r="G194" s="35"/>
    </row>
    <row r="195" spans="2:7" s="1" customFormat="1" ht="14.5" x14ac:dyDescent="0.35">
      <c r="B195" s="3"/>
      <c r="G195" s="35"/>
    </row>
    <row r="196" spans="2:7" s="1" customFormat="1" ht="14.5" x14ac:dyDescent="0.35">
      <c r="B196" s="3"/>
      <c r="G196" s="35"/>
    </row>
    <row r="197" spans="2:7" s="1" customFormat="1" ht="14.5" x14ac:dyDescent="0.35">
      <c r="B197" s="3"/>
      <c r="G197" s="35"/>
    </row>
    <row r="198" spans="2:7" s="1" customFormat="1" ht="14.5" x14ac:dyDescent="0.35">
      <c r="B198" s="3"/>
      <c r="G198" s="35"/>
    </row>
    <row r="199" spans="2:7" s="1" customFormat="1" ht="14.5" x14ac:dyDescent="0.35">
      <c r="B199" s="3"/>
      <c r="G199" s="35"/>
    </row>
    <row r="200" spans="2:7" s="1" customFormat="1" ht="14.5" x14ac:dyDescent="0.35">
      <c r="B200" s="3"/>
      <c r="G200" s="35"/>
    </row>
    <row r="201" spans="2:7" s="1" customFormat="1" ht="14.5" x14ac:dyDescent="0.35">
      <c r="B201" s="3"/>
      <c r="G201" s="35"/>
    </row>
    <row r="202" spans="2:7" s="1" customFormat="1" ht="14.5" x14ac:dyDescent="0.35">
      <c r="B202" s="3"/>
      <c r="G202" s="35"/>
    </row>
    <row r="203" spans="2:7" s="1" customFormat="1" ht="14.5" x14ac:dyDescent="0.35">
      <c r="B203" s="3"/>
      <c r="G203" s="35"/>
    </row>
    <row r="204" spans="2:7" s="1" customFormat="1" ht="14.5" x14ac:dyDescent="0.35">
      <c r="B204" s="3"/>
      <c r="G204" s="35"/>
    </row>
    <row r="205" spans="2:7" s="1" customFormat="1" ht="14.5" x14ac:dyDescent="0.35">
      <c r="B205" s="3"/>
      <c r="G205" s="35"/>
    </row>
    <row r="206" spans="2:7" s="1" customFormat="1" ht="14.5" x14ac:dyDescent="0.35">
      <c r="B206" s="3"/>
      <c r="G206" s="35"/>
    </row>
    <row r="207" spans="2:7" s="1" customFormat="1" ht="14.5" x14ac:dyDescent="0.35">
      <c r="B207" s="3"/>
      <c r="G207" s="35"/>
    </row>
    <row r="208" spans="2:7" s="1" customFormat="1" ht="14.5" x14ac:dyDescent="0.35">
      <c r="B208" s="3"/>
      <c r="G208" s="35"/>
    </row>
    <row r="209" spans="2:7" s="1" customFormat="1" ht="14.5" x14ac:dyDescent="0.35">
      <c r="B209" s="3"/>
      <c r="G209" s="35"/>
    </row>
    <row r="210" spans="2:7" s="1" customFormat="1" ht="14.5" x14ac:dyDescent="0.35">
      <c r="B210" s="3"/>
      <c r="G210" s="35"/>
    </row>
    <row r="211" spans="2:7" s="1" customFormat="1" ht="14.5" x14ac:dyDescent="0.35">
      <c r="B211" s="3"/>
      <c r="G211" s="35"/>
    </row>
    <row r="212" spans="2:7" s="1" customFormat="1" ht="14.5" x14ac:dyDescent="0.35">
      <c r="B212" s="3"/>
      <c r="G212" s="35"/>
    </row>
    <row r="213" spans="2:7" s="1" customFormat="1" ht="14.5" x14ac:dyDescent="0.35">
      <c r="B213" s="3"/>
      <c r="G213" s="35"/>
    </row>
    <row r="214" spans="2:7" s="1" customFormat="1" ht="14.5" x14ac:dyDescent="0.35">
      <c r="B214" s="3"/>
      <c r="G214" s="35"/>
    </row>
    <row r="215" spans="2:7" s="1" customFormat="1" ht="14.5" x14ac:dyDescent="0.35">
      <c r="B215" s="3"/>
      <c r="G215" s="35"/>
    </row>
    <row r="216" spans="2:7" s="1" customFormat="1" ht="14.5" x14ac:dyDescent="0.35">
      <c r="B216" s="3"/>
      <c r="G216" s="35"/>
    </row>
    <row r="217" spans="2:7" s="1" customFormat="1" ht="14.5" x14ac:dyDescent="0.35">
      <c r="B217" s="3"/>
      <c r="G217" s="35"/>
    </row>
    <row r="218" spans="2:7" s="1" customFormat="1" ht="14.5" x14ac:dyDescent="0.35">
      <c r="B218" s="3"/>
      <c r="G218" s="35"/>
    </row>
    <row r="219" spans="2:7" s="1" customFormat="1" ht="14.5" x14ac:dyDescent="0.35">
      <c r="B219" s="3"/>
      <c r="G219" s="35"/>
    </row>
    <row r="220" spans="2:7" s="1" customFormat="1" ht="14.5" x14ac:dyDescent="0.35">
      <c r="B220" s="3"/>
      <c r="G220" s="35"/>
    </row>
    <row r="221" spans="2:7" s="1" customFormat="1" ht="14.5" x14ac:dyDescent="0.35">
      <c r="B221" s="3"/>
      <c r="G221" s="35"/>
    </row>
    <row r="222" spans="2:7" s="1" customFormat="1" ht="14.5" x14ac:dyDescent="0.35">
      <c r="B222" s="3"/>
      <c r="G222" s="35"/>
    </row>
    <row r="223" spans="2:7" s="1" customFormat="1" ht="14.5" x14ac:dyDescent="0.35">
      <c r="B223" s="3"/>
      <c r="G223" s="35"/>
    </row>
    <row r="224" spans="2:7" s="1" customFormat="1" ht="14.5" x14ac:dyDescent="0.35">
      <c r="B224" s="3"/>
      <c r="G224" s="35"/>
    </row>
    <row r="225" spans="2:7" s="1" customFormat="1" ht="14.5" x14ac:dyDescent="0.35">
      <c r="B225" s="3"/>
      <c r="G225" s="35"/>
    </row>
    <row r="226" spans="2:7" s="1" customFormat="1" ht="14.5" x14ac:dyDescent="0.35">
      <c r="B226" s="3"/>
      <c r="G226" s="35"/>
    </row>
    <row r="227" spans="2:7" s="1" customFormat="1" ht="14.5" x14ac:dyDescent="0.35">
      <c r="B227" s="3"/>
      <c r="G227" s="35"/>
    </row>
    <row r="228" spans="2:7" s="1" customFormat="1" ht="14.5" x14ac:dyDescent="0.35">
      <c r="B228" s="3"/>
      <c r="G228" s="35"/>
    </row>
    <row r="229" spans="2:7" s="1" customFormat="1" ht="14.5" x14ac:dyDescent="0.35">
      <c r="B229" s="3"/>
      <c r="G229" s="35"/>
    </row>
    <row r="230" spans="2:7" s="1" customFormat="1" ht="14.5" x14ac:dyDescent="0.35">
      <c r="B230" s="3"/>
      <c r="G230" s="35"/>
    </row>
    <row r="231" spans="2:7" s="1" customFormat="1" ht="14.5" x14ac:dyDescent="0.35">
      <c r="B231" s="3"/>
      <c r="G231" s="35"/>
    </row>
    <row r="232" spans="2:7" s="1" customFormat="1" ht="14.5" x14ac:dyDescent="0.35">
      <c r="B232" s="3"/>
      <c r="G232" s="35"/>
    </row>
    <row r="233" spans="2:7" s="1" customFormat="1" ht="14.5" x14ac:dyDescent="0.35">
      <c r="B233" s="3"/>
      <c r="G233" s="35"/>
    </row>
    <row r="234" spans="2:7" s="1" customFormat="1" ht="14.5" x14ac:dyDescent="0.35">
      <c r="B234" s="3"/>
      <c r="G234" s="35"/>
    </row>
    <row r="235" spans="2:7" s="1" customFormat="1" ht="14.5" x14ac:dyDescent="0.35">
      <c r="B235" s="3"/>
      <c r="G235" s="35"/>
    </row>
    <row r="236" spans="2:7" s="1" customFormat="1" ht="14.5" x14ac:dyDescent="0.35">
      <c r="B236" s="3"/>
      <c r="G236" s="35"/>
    </row>
    <row r="237" spans="2:7" s="1" customFormat="1" ht="14.5" x14ac:dyDescent="0.35">
      <c r="B237" s="3"/>
      <c r="G237" s="35"/>
    </row>
    <row r="238" spans="2:7" s="1" customFormat="1" ht="14.5" x14ac:dyDescent="0.35">
      <c r="B238" s="3"/>
      <c r="G238" s="35"/>
    </row>
    <row r="239" spans="2:7" s="1" customFormat="1" ht="14.5" x14ac:dyDescent="0.35">
      <c r="B239" s="3"/>
      <c r="G239" s="35"/>
    </row>
    <row r="240" spans="2:7" s="1" customFormat="1" ht="14.5" x14ac:dyDescent="0.35">
      <c r="B240" s="3"/>
      <c r="G240" s="35"/>
    </row>
    <row r="241" spans="2:7" s="1" customFormat="1" ht="14.5" x14ac:dyDescent="0.35">
      <c r="B241" s="3"/>
      <c r="G241" s="35"/>
    </row>
    <row r="242" spans="2:7" s="1" customFormat="1" ht="14.5" x14ac:dyDescent="0.35">
      <c r="B242" s="3"/>
      <c r="G242" s="35"/>
    </row>
    <row r="243" spans="2:7" s="1" customFormat="1" ht="14.5" x14ac:dyDescent="0.35">
      <c r="B243" s="3"/>
      <c r="G243" s="35"/>
    </row>
    <row r="244" spans="2:7" s="1" customFormat="1" ht="14.5" x14ac:dyDescent="0.35">
      <c r="B244" s="3"/>
      <c r="G244" s="35"/>
    </row>
    <row r="245" spans="2:7" s="1" customFormat="1" ht="14.5" x14ac:dyDescent="0.35">
      <c r="B245" s="3"/>
      <c r="G245" s="35"/>
    </row>
    <row r="246" spans="2:7" s="1" customFormat="1" ht="14.5" x14ac:dyDescent="0.35">
      <c r="B246" s="3"/>
      <c r="G246" s="35"/>
    </row>
    <row r="247" spans="2:7" s="1" customFormat="1" ht="14.5" x14ac:dyDescent="0.35">
      <c r="B247" s="3"/>
      <c r="G247" s="35"/>
    </row>
    <row r="248" spans="2:7" s="1" customFormat="1" ht="14.5" x14ac:dyDescent="0.35">
      <c r="B248" s="3"/>
      <c r="G248" s="35"/>
    </row>
    <row r="249" spans="2:7" s="1" customFormat="1" ht="14.5" x14ac:dyDescent="0.35">
      <c r="B249" s="3"/>
      <c r="G249" s="35"/>
    </row>
    <row r="250" spans="2:7" s="1" customFormat="1" ht="14.5" x14ac:dyDescent="0.35">
      <c r="B250" s="3"/>
      <c r="G250" s="35"/>
    </row>
    <row r="251" spans="2:7" s="1" customFormat="1" ht="14.5" x14ac:dyDescent="0.35">
      <c r="B251" s="3"/>
      <c r="G251" s="35"/>
    </row>
    <row r="252" spans="2:7" s="1" customFormat="1" ht="14.5" x14ac:dyDescent="0.35">
      <c r="B252" s="3"/>
      <c r="G252" s="35"/>
    </row>
    <row r="253" spans="2:7" s="1" customFormat="1" ht="14.5" x14ac:dyDescent="0.35">
      <c r="B253" s="3"/>
      <c r="G253" s="35"/>
    </row>
    <row r="254" spans="2:7" s="1" customFormat="1" ht="14.5" x14ac:dyDescent="0.35">
      <c r="B254" s="3"/>
      <c r="G254" s="35"/>
    </row>
    <row r="255" spans="2:7" s="1" customFormat="1" ht="14.5" x14ac:dyDescent="0.35">
      <c r="B255" s="3"/>
      <c r="G255" s="35"/>
    </row>
    <row r="256" spans="2:7" s="1" customFormat="1" ht="14.5" x14ac:dyDescent="0.35">
      <c r="B256" s="3"/>
      <c r="G256" s="35"/>
    </row>
    <row r="257" spans="2:7" s="1" customFormat="1" ht="14.5" x14ac:dyDescent="0.35">
      <c r="B257" s="3"/>
      <c r="G257" s="35"/>
    </row>
    <row r="258" spans="2:7" s="1" customFormat="1" ht="14.5" x14ac:dyDescent="0.35">
      <c r="B258" s="3"/>
      <c r="G258" s="35"/>
    </row>
    <row r="259" spans="2:7" s="1" customFormat="1" ht="14.5" x14ac:dyDescent="0.35">
      <c r="B259" s="3"/>
      <c r="G259" s="35"/>
    </row>
    <row r="260" spans="2:7" s="1" customFormat="1" ht="14.5" x14ac:dyDescent="0.35">
      <c r="B260" s="3"/>
      <c r="G260" s="35"/>
    </row>
    <row r="261" spans="2:7" s="1" customFormat="1" ht="14.5" x14ac:dyDescent="0.35">
      <c r="B261" s="3"/>
      <c r="G261" s="35"/>
    </row>
    <row r="262" spans="2:7" s="1" customFormat="1" ht="14.5" x14ac:dyDescent="0.35">
      <c r="B262" s="3"/>
      <c r="G262" s="35"/>
    </row>
    <row r="263" spans="2:7" s="1" customFormat="1" ht="14.5" x14ac:dyDescent="0.35">
      <c r="B263" s="3"/>
      <c r="G263" s="35"/>
    </row>
    <row r="264" spans="2:7" s="1" customFormat="1" ht="14.5" x14ac:dyDescent="0.35">
      <c r="B264" s="3"/>
      <c r="G264" s="35"/>
    </row>
    <row r="265" spans="2:7" s="1" customFormat="1" ht="14.5" x14ac:dyDescent="0.35">
      <c r="B265" s="3"/>
      <c r="G265" s="35"/>
    </row>
    <row r="266" spans="2:7" s="1" customFormat="1" ht="14.5" x14ac:dyDescent="0.35">
      <c r="B266" s="3"/>
      <c r="G266" s="35"/>
    </row>
    <row r="267" spans="2:7" s="1" customFormat="1" ht="14.5" x14ac:dyDescent="0.35">
      <c r="B267" s="3"/>
      <c r="G267" s="35"/>
    </row>
    <row r="268" spans="2:7" s="1" customFormat="1" ht="14.5" x14ac:dyDescent="0.35">
      <c r="B268" s="3"/>
      <c r="G268" s="35"/>
    </row>
    <row r="269" spans="2:7" s="1" customFormat="1" ht="14.5" x14ac:dyDescent="0.35">
      <c r="B269" s="3"/>
      <c r="G269" s="35"/>
    </row>
    <row r="270" spans="2:7" s="1" customFormat="1" ht="14.5" x14ac:dyDescent="0.35">
      <c r="B270" s="3"/>
      <c r="G270" s="35"/>
    </row>
    <row r="271" spans="2:7" s="1" customFormat="1" ht="14.5" x14ac:dyDescent="0.35">
      <c r="B271" s="3"/>
      <c r="G271" s="35"/>
    </row>
    <row r="272" spans="2:7" s="1" customFormat="1" ht="14.5" x14ac:dyDescent="0.35">
      <c r="B272" s="3"/>
      <c r="G272" s="35"/>
    </row>
    <row r="273" spans="2:7" s="1" customFormat="1" ht="14.5" x14ac:dyDescent="0.35">
      <c r="B273" s="3"/>
      <c r="G273" s="35"/>
    </row>
    <row r="274" spans="2:7" s="1" customFormat="1" ht="14.5" x14ac:dyDescent="0.35">
      <c r="B274" s="3"/>
      <c r="G274" s="35"/>
    </row>
    <row r="275" spans="2:7" s="1" customFormat="1" ht="14.5" x14ac:dyDescent="0.35">
      <c r="B275" s="3"/>
      <c r="G275" s="35"/>
    </row>
    <row r="276" spans="2:7" s="1" customFormat="1" ht="14.5" x14ac:dyDescent="0.35">
      <c r="B276" s="3"/>
      <c r="G276" s="35"/>
    </row>
    <row r="277" spans="2:7" s="1" customFormat="1" ht="14.5" x14ac:dyDescent="0.35">
      <c r="B277" s="3"/>
      <c r="G277" s="35"/>
    </row>
    <row r="278" spans="2:7" s="1" customFormat="1" ht="14.5" x14ac:dyDescent="0.35">
      <c r="B278" s="3"/>
      <c r="G278" s="35"/>
    </row>
    <row r="279" spans="2:7" s="1" customFormat="1" ht="14.5" x14ac:dyDescent="0.35">
      <c r="B279" s="3"/>
      <c r="G279" s="35"/>
    </row>
    <row r="280" spans="2:7" s="1" customFormat="1" ht="14.5" x14ac:dyDescent="0.35">
      <c r="B280" s="3"/>
      <c r="G280" s="35"/>
    </row>
    <row r="281" spans="2:7" s="1" customFormat="1" ht="14.5" x14ac:dyDescent="0.35">
      <c r="B281" s="3"/>
      <c r="G281" s="35"/>
    </row>
    <row r="282" spans="2:7" s="1" customFormat="1" ht="14.5" x14ac:dyDescent="0.35">
      <c r="B282" s="3"/>
      <c r="G282" s="35"/>
    </row>
    <row r="283" spans="2:7" s="1" customFormat="1" ht="14.5" x14ac:dyDescent="0.35">
      <c r="B283" s="3"/>
      <c r="G283" s="35"/>
    </row>
    <row r="284" spans="2:7" s="1" customFormat="1" ht="14.5" x14ac:dyDescent="0.35">
      <c r="B284" s="3"/>
      <c r="G284" s="35"/>
    </row>
    <row r="285" spans="2:7" s="1" customFormat="1" ht="14.5" x14ac:dyDescent="0.35">
      <c r="B285" s="3"/>
      <c r="G285" s="35"/>
    </row>
    <row r="286" spans="2:7" s="1" customFormat="1" ht="14.5" x14ac:dyDescent="0.35">
      <c r="B286" s="3"/>
      <c r="G286" s="35"/>
    </row>
    <row r="287" spans="2:7" s="1" customFormat="1" ht="14.5" x14ac:dyDescent="0.35">
      <c r="B287" s="3"/>
      <c r="G287" s="35"/>
    </row>
    <row r="288" spans="2:7" s="1" customFormat="1" ht="14.5" x14ac:dyDescent="0.35">
      <c r="B288" s="3"/>
      <c r="G288" s="35"/>
    </row>
    <row r="289" spans="2:7" s="1" customFormat="1" ht="14.5" x14ac:dyDescent="0.35">
      <c r="B289" s="3"/>
      <c r="G289" s="35"/>
    </row>
    <row r="290" spans="2:7" s="1" customFormat="1" ht="14.5" x14ac:dyDescent="0.35">
      <c r="B290" s="3"/>
      <c r="G290" s="35"/>
    </row>
    <row r="291" spans="2:7" s="1" customFormat="1" ht="14.5" x14ac:dyDescent="0.35">
      <c r="B291" s="3"/>
      <c r="G291" s="35"/>
    </row>
    <row r="292" spans="2:7" s="1" customFormat="1" ht="14.5" x14ac:dyDescent="0.35">
      <c r="B292" s="3"/>
      <c r="G292" s="35"/>
    </row>
    <row r="293" spans="2:7" s="1" customFormat="1" ht="14.5" x14ac:dyDescent="0.35">
      <c r="B293" s="3"/>
      <c r="G293" s="35"/>
    </row>
    <row r="294" spans="2:7" s="1" customFormat="1" ht="14.5" x14ac:dyDescent="0.35">
      <c r="B294" s="3"/>
      <c r="G294" s="35"/>
    </row>
    <row r="295" spans="2:7" s="1" customFormat="1" ht="14.5" x14ac:dyDescent="0.35">
      <c r="B295" s="3"/>
      <c r="G295" s="35"/>
    </row>
    <row r="296" spans="2:7" s="1" customFormat="1" ht="14.5" x14ac:dyDescent="0.35">
      <c r="B296" s="3"/>
      <c r="G296" s="35"/>
    </row>
    <row r="297" spans="2:7" s="1" customFormat="1" ht="14.5" x14ac:dyDescent="0.35">
      <c r="B297" s="3"/>
      <c r="G297" s="35"/>
    </row>
    <row r="298" spans="2:7" s="1" customFormat="1" ht="14.5" x14ac:dyDescent="0.35">
      <c r="B298" s="3"/>
      <c r="G298" s="35"/>
    </row>
    <row r="299" spans="2:7" s="1" customFormat="1" ht="14.5" x14ac:dyDescent="0.35">
      <c r="B299" s="3"/>
      <c r="G299" s="35"/>
    </row>
    <row r="300" spans="2:7" s="1" customFormat="1" ht="14.5" x14ac:dyDescent="0.35">
      <c r="B300" s="3"/>
      <c r="G300" s="35"/>
    </row>
    <row r="301" spans="2:7" s="1" customFormat="1" ht="14.5" x14ac:dyDescent="0.35">
      <c r="B301" s="3"/>
      <c r="G301" s="35"/>
    </row>
    <row r="302" spans="2:7" s="1" customFormat="1" ht="14.5" x14ac:dyDescent="0.35">
      <c r="B302" s="3"/>
      <c r="G302" s="35"/>
    </row>
    <row r="303" spans="2:7" s="1" customFormat="1" ht="14.5" x14ac:dyDescent="0.35">
      <c r="B303" s="3"/>
      <c r="G303" s="35"/>
    </row>
    <row r="304" spans="2:7" s="1" customFormat="1" ht="14.5" x14ac:dyDescent="0.35">
      <c r="B304" s="3"/>
      <c r="G304" s="35"/>
    </row>
    <row r="305" spans="2:7" s="1" customFormat="1" ht="14.5" x14ac:dyDescent="0.35">
      <c r="B305" s="3"/>
      <c r="G305" s="35"/>
    </row>
    <row r="306" spans="2:7" s="1" customFormat="1" ht="14.5" x14ac:dyDescent="0.35">
      <c r="B306" s="3"/>
      <c r="G306" s="35"/>
    </row>
    <row r="307" spans="2:7" s="1" customFormat="1" ht="14.5" x14ac:dyDescent="0.35">
      <c r="B307" s="3"/>
      <c r="G307" s="35"/>
    </row>
    <row r="308" spans="2:7" s="1" customFormat="1" ht="14.5" x14ac:dyDescent="0.35">
      <c r="B308" s="3"/>
      <c r="G308" s="35"/>
    </row>
    <row r="309" spans="2:7" s="1" customFormat="1" ht="14.5" x14ac:dyDescent="0.35">
      <c r="B309" s="3"/>
      <c r="G309" s="35"/>
    </row>
    <row r="310" spans="2:7" s="1" customFormat="1" ht="14.5" x14ac:dyDescent="0.35">
      <c r="B310" s="3"/>
      <c r="G310" s="35"/>
    </row>
    <row r="311" spans="2:7" s="1" customFormat="1" ht="14.5" x14ac:dyDescent="0.35">
      <c r="B311" s="3"/>
      <c r="G311" s="35"/>
    </row>
    <row r="312" spans="2:7" s="1" customFormat="1" ht="14.5" x14ac:dyDescent="0.35">
      <c r="B312" s="3"/>
      <c r="G312" s="35"/>
    </row>
    <row r="313" spans="2:7" s="1" customFormat="1" ht="14.5" x14ac:dyDescent="0.35">
      <c r="B313" s="3"/>
      <c r="G313" s="35"/>
    </row>
    <row r="314" spans="2:7" s="1" customFormat="1" ht="14.5" x14ac:dyDescent="0.35">
      <c r="B314" s="3"/>
      <c r="G314" s="35"/>
    </row>
    <row r="315" spans="2:7" s="1" customFormat="1" ht="14.5" x14ac:dyDescent="0.35">
      <c r="B315" s="3"/>
      <c r="G315" s="35"/>
    </row>
    <row r="316" spans="2:7" s="1" customFormat="1" ht="14.5" x14ac:dyDescent="0.35">
      <c r="B316" s="3"/>
      <c r="G316" s="35"/>
    </row>
    <row r="317" spans="2:7" s="1" customFormat="1" ht="14.5" x14ac:dyDescent="0.35">
      <c r="B317" s="3"/>
      <c r="G317" s="35"/>
    </row>
    <row r="318" spans="2:7" s="1" customFormat="1" ht="14.5" x14ac:dyDescent="0.35">
      <c r="B318" s="3"/>
      <c r="G318" s="35"/>
    </row>
    <row r="319" spans="2:7" s="1" customFormat="1" ht="14.5" x14ac:dyDescent="0.35">
      <c r="B319" s="3"/>
      <c r="G319" s="35"/>
    </row>
    <row r="320" spans="2:7" s="1" customFormat="1" ht="14.5" x14ac:dyDescent="0.35">
      <c r="B320" s="3"/>
      <c r="G320" s="35"/>
    </row>
    <row r="321" spans="1:9" s="1" customFormat="1" ht="14.5" x14ac:dyDescent="0.35">
      <c r="B321" s="3"/>
      <c r="G321" s="35"/>
    </row>
    <row r="322" spans="1:9" s="1" customFormat="1" ht="14.5" x14ac:dyDescent="0.35">
      <c r="B322" s="3"/>
      <c r="G322" s="35"/>
    </row>
    <row r="323" spans="1:9" s="1" customFormat="1" ht="14.5" x14ac:dyDescent="0.35">
      <c r="B323" s="3"/>
      <c r="G323" s="35"/>
    </row>
    <row r="324" spans="1:9" s="1" customFormat="1" ht="14.5" x14ac:dyDescent="0.35">
      <c r="B324" s="3"/>
      <c r="G324" s="35"/>
    </row>
    <row r="325" spans="1:9" s="1" customFormat="1" ht="14.5" x14ac:dyDescent="0.35">
      <c r="B325" s="3"/>
      <c r="G325" s="35"/>
    </row>
    <row r="326" spans="1:9" s="1" customFormat="1" ht="14.5" x14ac:dyDescent="0.35">
      <c r="B326" s="3"/>
      <c r="G326" s="35"/>
    </row>
    <row r="327" spans="1:9" s="1" customFormat="1" ht="14.5" x14ac:dyDescent="0.35">
      <c r="B327" s="3"/>
      <c r="G327" s="35"/>
    </row>
    <row r="328" spans="1:9" s="1" customFormat="1" ht="14.5" x14ac:dyDescent="0.35">
      <c r="B328" s="3"/>
      <c r="G328" s="35"/>
    </row>
    <row r="329" spans="1:9" s="1" customFormat="1" ht="14.5" x14ac:dyDescent="0.35">
      <c r="B329" s="3"/>
      <c r="G329" s="35"/>
    </row>
    <row r="330" spans="1:9" s="1" customFormat="1" ht="14.5" x14ac:dyDescent="0.35">
      <c r="B330" s="3"/>
      <c r="G330" s="35"/>
    </row>
    <row r="331" spans="1:9" x14ac:dyDescent="0.35">
      <c r="A331" s="1"/>
      <c r="B331" s="3"/>
      <c r="C331" s="1"/>
      <c r="D331" s="1"/>
      <c r="E331" s="1"/>
      <c r="F331" s="1"/>
      <c r="G331" s="35"/>
      <c r="H331" s="1"/>
      <c r="I331" s="1"/>
    </row>
    <row r="332" spans="1:9" x14ac:dyDescent="0.35">
      <c r="A332" s="1"/>
      <c r="B332" s="3"/>
      <c r="C332" s="1"/>
      <c r="D332" s="1"/>
      <c r="E332" s="1"/>
      <c r="F332" s="1"/>
      <c r="G332" s="35"/>
      <c r="H332" s="1"/>
      <c r="I332" s="1"/>
    </row>
    <row r="333" spans="1:9" x14ac:dyDescent="0.35">
      <c r="A333" s="1"/>
      <c r="B333" s="3"/>
      <c r="C333" s="1"/>
      <c r="D333" s="1"/>
      <c r="E333" s="1"/>
      <c r="F333" s="1"/>
      <c r="G333" s="35"/>
      <c r="H333" s="1"/>
      <c r="I333" s="1"/>
    </row>
    <row r="334" spans="1:9" x14ac:dyDescent="0.35">
      <c r="A334" s="1"/>
      <c r="B334" s="3"/>
      <c r="C334" s="1"/>
      <c r="D334" s="1"/>
      <c r="E334" s="1"/>
      <c r="F334" s="1"/>
      <c r="G334" s="35"/>
      <c r="H334" s="1"/>
      <c r="I334" s="1"/>
    </row>
    <row r="335" spans="1:9" x14ac:dyDescent="0.35">
      <c r="A335" s="1"/>
      <c r="B335" s="3"/>
      <c r="C335" s="1"/>
      <c r="D335" s="1"/>
      <c r="E335" s="1"/>
      <c r="F335" s="1"/>
      <c r="G335" s="35"/>
      <c r="H335" s="1"/>
      <c r="I335" s="1"/>
    </row>
    <row r="336" spans="1:9" x14ac:dyDescent="0.35">
      <c r="A336" s="1"/>
      <c r="B336" s="3"/>
      <c r="C336" s="1"/>
      <c r="D336" s="1"/>
      <c r="E336" s="1"/>
      <c r="F336" s="1"/>
      <c r="G336" s="35"/>
      <c r="H336" s="1"/>
      <c r="I336" s="1"/>
    </row>
    <row r="337" spans="1:9" x14ac:dyDescent="0.35">
      <c r="A337" s="1"/>
      <c r="B337" s="3"/>
      <c r="C337" s="1"/>
      <c r="D337" s="1"/>
      <c r="E337" s="1"/>
      <c r="F337" s="1"/>
      <c r="G337" s="35"/>
      <c r="H337" s="1"/>
      <c r="I337" s="1"/>
    </row>
    <row r="338" spans="1:9" x14ac:dyDescent="0.35">
      <c r="A338" s="1"/>
      <c r="B338" s="3"/>
      <c r="C338" s="1"/>
      <c r="D338" s="1"/>
      <c r="E338" s="1"/>
      <c r="F338" s="1"/>
      <c r="G338" s="35"/>
      <c r="H338" s="1"/>
      <c r="I338" s="1"/>
    </row>
    <row r="339" spans="1:9" x14ac:dyDescent="0.35">
      <c r="A339" s="1"/>
      <c r="B339" s="3"/>
      <c r="C339" s="1"/>
      <c r="D339" s="1"/>
      <c r="E339" s="1"/>
      <c r="F339" s="1"/>
      <c r="G339" s="35"/>
      <c r="H339" s="1"/>
      <c r="I339" s="1"/>
    </row>
    <row r="340" spans="1:9" x14ac:dyDescent="0.35">
      <c r="A340" s="1"/>
      <c r="B340" s="3"/>
      <c r="C340" s="1"/>
      <c r="D340" s="1"/>
      <c r="E340" s="1"/>
      <c r="F340" s="1"/>
      <c r="G340" s="35"/>
      <c r="H340" s="1"/>
      <c r="I340" s="1"/>
    </row>
    <row r="341" spans="1:9" x14ac:dyDescent="0.35">
      <c r="A341" s="1"/>
      <c r="B341" s="3"/>
      <c r="C341" s="1"/>
      <c r="D341" s="1"/>
      <c r="E341" s="1"/>
      <c r="F341" s="1"/>
      <c r="G341" s="35"/>
      <c r="H341" s="1"/>
      <c r="I341" s="1"/>
    </row>
    <row r="342" spans="1:9" x14ac:dyDescent="0.35">
      <c r="A342" s="1"/>
      <c r="B342" s="3"/>
      <c r="C342" s="1"/>
      <c r="D342" s="1"/>
      <c r="E342" s="1"/>
      <c r="F342" s="1"/>
      <c r="G342" s="35"/>
      <c r="H342" s="1"/>
      <c r="I342" s="1"/>
    </row>
    <row r="343" spans="1:9" x14ac:dyDescent="0.35">
      <c r="A343" s="1"/>
      <c r="B343" s="3"/>
      <c r="C343" s="1"/>
      <c r="D343" s="1"/>
      <c r="E343" s="1"/>
      <c r="F343" s="1"/>
      <c r="G343" s="35"/>
      <c r="H343" s="1"/>
      <c r="I343" s="1"/>
    </row>
  </sheetData>
  <mergeCells count="16">
    <mergeCell ref="B66:E66"/>
    <mergeCell ref="E60:F60"/>
    <mergeCell ref="A1:G1"/>
    <mergeCell ref="A2:G2"/>
    <mergeCell ref="B5:G5"/>
    <mergeCell ref="E25:F25"/>
    <mergeCell ref="D23:E23"/>
    <mergeCell ref="D16:E16"/>
    <mergeCell ref="D38:E38"/>
    <mergeCell ref="D31:E31"/>
    <mergeCell ref="E39:F39"/>
    <mergeCell ref="E52:F52"/>
    <mergeCell ref="D44:E44"/>
    <mergeCell ref="D51:E51"/>
    <mergeCell ref="D57:E57"/>
    <mergeCell ref="D59:E59"/>
  </mergeCells>
  <phoneticPr fontId="35" type="noConversion"/>
  <pageMargins left="0.7" right="0.7" top="0.75" bottom="0.75" header="0.3" footer="0.3"/>
  <pageSetup scale="63" fitToHeight="8" orientation="landscape" horizontalDpi="4294967293" r:id="rId1"/>
  <rowBreaks count="3" manualBreakCount="3">
    <brk id="28" max="13" man="1"/>
    <brk id="42" max="13" man="1"/>
    <brk id="55"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R491"/>
  <sheetViews>
    <sheetView showGridLines="0" zoomScaleNormal="100" workbookViewId="0">
      <selection activeCell="K18" sqref="K18"/>
    </sheetView>
  </sheetViews>
  <sheetFormatPr defaultColWidth="8.84375" defaultRowHeight="15.5" x14ac:dyDescent="0.35"/>
  <cols>
    <col min="1" max="1" width="7.765625" customWidth="1"/>
    <col min="2" max="2" width="8" style="86" customWidth="1"/>
    <col min="3" max="4" width="10.53515625" customWidth="1"/>
    <col min="5" max="6" width="12.61328125" customWidth="1"/>
    <col min="7" max="7" width="12.61328125" style="91" customWidth="1"/>
    <col min="8" max="8" width="12.61328125" customWidth="1"/>
    <col min="9" max="9" width="12.61328125" style="188" customWidth="1"/>
    <col min="10" max="10" width="12.61328125" style="187" customWidth="1"/>
    <col min="11" max="14" width="12.61328125" customWidth="1"/>
    <col min="15" max="16" width="8.765625" customWidth="1"/>
  </cols>
  <sheetData>
    <row r="1" spans="1:18" ht="21" x14ac:dyDescent="0.5">
      <c r="A1" s="513" t="s">
        <v>342</v>
      </c>
      <c r="B1" s="514"/>
      <c r="C1" s="514"/>
      <c r="D1" s="514"/>
      <c r="E1" s="514"/>
      <c r="F1" s="514"/>
      <c r="G1" s="514"/>
      <c r="H1" s="514"/>
      <c r="I1" s="436"/>
      <c r="J1" s="437"/>
      <c r="K1" s="1"/>
      <c r="L1" s="1"/>
      <c r="M1" s="1"/>
      <c r="N1" s="1"/>
      <c r="O1" s="1"/>
      <c r="P1" s="1"/>
      <c r="Q1" s="1"/>
      <c r="R1" s="1"/>
    </row>
    <row r="2" spans="1:18" ht="18.5" x14ac:dyDescent="0.35">
      <c r="A2" s="522" t="str">
        <f>SAO!A2</f>
        <v>North Mercer Water District</v>
      </c>
      <c r="B2" s="523"/>
      <c r="C2" s="523"/>
      <c r="D2" s="523"/>
      <c r="E2" s="523"/>
      <c r="F2" s="523"/>
      <c r="G2" s="523"/>
      <c r="H2" s="523"/>
      <c r="I2" s="9"/>
      <c r="J2" s="438"/>
      <c r="K2" s="1"/>
      <c r="L2" s="1"/>
      <c r="M2" s="1"/>
      <c r="N2" s="1"/>
      <c r="O2" s="1"/>
      <c r="P2" s="1"/>
      <c r="Q2" s="1"/>
      <c r="R2" s="1"/>
    </row>
    <row r="3" spans="1:18" ht="18.5" x14ac:dyDescent="0.35">
      <c r="A3" s="411"/>
      <c r="B3" s="83"/>
      <c r="C3" s="23"/>
      <c r="D3" s="23"/>
      <c r="E3" s="23"/>
      <c r="F3" s="23"/>
      <c r="G3" s="412"/>
      <c r="H3" s="23"/>
      <c r="I3" s="9"/>
      <c r="J3" s="438"/>
      <c r="K3" s="1"/>
      <c r="L3" s="1"/>
      <c r="M3" s="1"/>
      <c r="N3" s="1"/>
      <c r="O3" s="1"/>
      <c r="P3" s="1"/>
      <c r="Q3" s="1"/>
      <c r="R3" s="1"/>
    </row>
    <row r="4" spans="1:18" x14ac:dyDescent="0.35">
      <c r="A4" s="413"/>
      <c r="B4" s="84"/>
      <c r="C4" s="414"/>
      <c r="D4" s="414"/>
      <c r="E4" s="414"/>
      <c r="F4" s="414"/>
      <c r="G4" s="415"/>
      <c r="H4" s="414"/>
      <c r="I4" s="9"/>
      <c r="J4" s="438"/>
      <c r="K4" s="1"/>
      <c r="L4" s="1"/>
      <c r="M4" s="1"/>
      <c r="N4" s="1"/>
      <c r="O4" s="1"/>
      <c r="P4" s="1"/>
      <c r="Q4" s="1"/>
      <c r="R4" s="1"/>
    </row>
    <row r="5" spans="1:18" x14ac:dyDescent="0.35">
      <c r="A5" s="38"/>
      <c r="B5" s="516" t="s">
        <v>49</v>
      </c>
      <c r="C5" s="516"/>
      <c r="D5" s="516"/>
      <c r="E5" s="516"/>
      <c r="F5" s="516"/>
      <c r="G5" s="516"/>
      <c r="H5" s="1"/>
      <c r="I5" s="1"/>
      <c r="J5" s="268"/>
      <c r="K5" s="1"/>
      <c r="L5" s="1"/>
      <c r="M5" s="1"/>
      <c r="N5" s="1"/>
      <c r="O5" s="1"/>
      <c r="P5" s="1"/>
      <c r="Q5" s="1"/>
      <c r="R5" s="1"/>
    </row>
    <row r="6" spans="1:18" s="1" customFormat="1" ht="14.5" x14ac:dyDescent="0.35">
      <c r="A6" s="38"/>
      <c r="B6" s="3" t="s">
        <v>113</v>
      </c>
      <c r="C6" s="81"/>
      <c r="D6" s="416" t="s">
        <v>51</v>
      </c>
      <c r="E6" s="416" t="s">
        <v>52</v>
      </c>
      <c r="F6" s="74"/>
      <c r="G6" s="88" t="s">
        <v>55</v>
      </c>
      <c r="J6" s="268"/>
    </row>
    <row r="7" spans="1:18" s="1" customFormat="1" ht="14.5" x14ac:dyDescent="0.35">
      <c r="A7" s="38"/>
      <c r="B7" s="3" t="s">
        <v>192</v>
      </c>
      <c r="D7" s="108">
        <f>C21+C36+C49</f>
        <v>56508</v>
      </c>
      <c r="E7" s="108">
        <f>D21+D36+D49+D65</f>
        <v>247733900</v>
      </c>
      <c r="F7" s="75"/>
      <c r="G7" s="15">
        <f>G28+G42+G55+G65</f>
        <v>3459452</v>
      </c>
      <c r="J7" s="268"/>
      <c r="O7" s="410">
        <f>(G7-ExBA!G7)/ExBA!G7</f>
        <v>0.11249991960432465</v>
      </c>
    </row>
    <row r="8" spans="1:18" s="1" customFormat="1" ht="16" x14ac:dyDescent="0.5">
      <c r="A8" s="38"/>
      <c r="B8" s="3" t="s">
        <v>116</v>
      </c>
      <c r="C8" s="78"/>
      <c r="D8" s="87"/>
      <c r="E8" s="31"/>
      <c r="F8" s="31"/>
      <c r="G8" s="417">
        <f>ExBA!G8</f>
        <v>-154773.69</v>
      </c>
      <c r="J8" s="268"/>
      <c r="K8" s="1" t="s">
        <v>369</v>
      </c>
      <c r="L8" s="79"/>
    </row>
    <row r="9" spans="1:18" s="1" customFormat="1" ht="16" x14ac:dyDescent="0.5">
      <c r="A9" s="38"/>
      <c r="B9" s="3" t="s">
        <v>117</v>
      </c>
      <c r="C9" s="78"/>
      <c r="D9" s="28"/>
      <c r="E9" s="75"/>
      <c r="F9" s="75"/>
      <c r="G9" s="15">
        <f>G7+G8</f>
        <v>3304678.31</v>
      </c>
      <c r="J9" s="268"/>
      <c r="K9" s="77"/>
      <c r="L9" s="79"/>
    </row>
    <row r="10" spans="1:18" s="1" customFormat="1" ht="16" x14ac:dyDescent="0.5">
      <c r="A10" s="38"/>
      <c r="B10" s="309" t="s">
        <v>240</v>
      </c>
      <c r="C10" s="78"/>
      <c r="D10" s="342"/>
      <c r="E10" s="77"/>
      <c r="F10" s="77"/>
      <c r="G10" s="417">
        <f>'Revenue Requirements'!G9</f>
        <v>3287255.2406605426</v>
      </c>
      <c r="J10" s="268"/>
      <c r="K10" s="77"/>
      <c r="L10" s="79"/>
    </row>
    <row r="11" spans="1:18" s="1" customFormat="1" ht="16" x14ac:dyDescent="0.5">
      <c r="A11" s="38"/>
      <c r="B11" s="309" t="s">
        <v>67</v>
      </c>
      <c r="C11" s="78"/>
      <c r="E11" s="75"/>
      <c r="F11" s="75"/>
      <c r="G11" s="15">
        <f>G9-G10</f>
        <v>17423.069339457434</v>
      </c>
      <c r="J11" s="268"/>
      <c r="K11" s="77"/>
      <c r="L11" s="79"/>
    </row>
    <row r="12" spans="1:18" s="1" customFormat="1" ht="16" x14ac:dyDescent="0.5">
      <c r="A12" s="38"/>
      <c r="B12" s="285"/>
      <c r="C12" s="418"/>
      <c r="D12" s="286"/>
      <c r="E12" s="419"/>
      <c r="F12" s="419"/>
      <c r="G12" s="287"/>
      <c r="H12" s="288"/>
      <c r="I12" s="288"/>
      <c r="J12" s="420"/>
      <c r="K12" s="77"/>
      <c r="L12" s="79"/>
    </row>
    <row r="13" spans="1:18" s="1" customFormat="1" ht="16" x14ac:dyDescent="0.5">
      <c r="A13" s="38"/>
      <c r="B13" s="309"/>
      <c r="C13" s="78"/>
      <c r="D13" s="309"/>
      <c r="E13" s="309"/>
      <c r="F13" s="75"/>
      <c r="G13" s="310"/>
      <c r="J13" s="268"/>
      <c r="K13" s="77"/>
      <c r="L13" s="79"/>
    </row>
    <row r="14" spans="1:18" s="1" customFormat="1" ht="16" x14ac:dyDescent="0.5">
      <c r="A14" s="38"/>
      <c r="B14" s="285"/>
      <c r="C14" s="418"/>
      <c r="D14" s="286"/>
      <c r="E14" s="419"/>
      <c r="F14" s="419"/>
      <c r="G14" s="287"/>
      <c r="H14" s="288"/>
      <c r="I14" s="288"/>
      <c r="J14" s="420"/>
      <c r="K14" s="77"/>
      <c r="L14" s="79"/>
    </row>
    <row r="15" spans="1:18" s="1" customFormat="1" ht="16.5" thickBot="1" x14ac:dyDescent="0.55000000000000004">
      <c r="A15" s="38"/>
      <c r="B15" s="3"/>
      <c r="C15" s="78"/>
      <c r="D15" s="28"/>
      <c r="E15" s="75"/>
      <c r="F15" s="75"/>
      <c r="G15" s="35"/>
      <c r="J15" s="268"/>
      <c r="K15" s="77"/>
      <c r="L15" s="79"/>
    </row>
    <row r="16" spans="1:18" s="1" customFormat="1" ht="16" x14ac:dyDescent="0.5">
      <c r="A16" s="421" t="s">
        <v>190</v>
      </c>
      <c r="B16" s="218"/>
      <c r="C16" s="219"/>
      <c r="D16" s="519" t="s">
        <v>186</v>
      </c>
      <c r="E16" s="519"/>
      <c r="F16" s="220"/>
      <c r="G16" s="232"/>
      <c r="H16" s="235"/>
      <c r="I16" s="233"/>
      <c r="J16" s="268"/>
      <c r="K16" s="77"/>
      <c r="L16" s="79"/>
    </row>
    <row r="17" spans="1:14" s="1" customFormat="1" ht="16" x14ac:dyDescent="0.5">
      <c r="A17" s="267"/>
      <c r="B17" s="3"/>
      <c r="C17" s="78"/>
      <c r="D17" s="210"/>
      <c r="E17" s="80" t="s">
        <v>183</v>
      </c>
      <c r="F17" s="80"/>
      <c r="G17" s="80"/>
      <c r="H17" s="199" t="s">
        <v>184</v>
      </c>
      <c r="I17" s="222"/>
      <c r="J17" s="268"/>
      <c r="K17" s="77"/>
      <c r="L17" s="79"/>
    </row>
    <row r="18" spans="1:14" s="1" customFormat="1" ht="16" x14ac:dyDescent="0.5">
      <c r="A18" s="38"/>
      <c r="B18" s="8" t="s">
        <v>50</v>
      </c>
      <c r="C18" s="423" t="s">
        <v>51</v>
      </c>
      <c r="D18" s="423" t="s">
        <v>52</v>
      </c>
      <c r="E18" s="424">
        <f>B19</f>
        <v>1000</v>
      </c>
      <c r="F18" s="424"/>
      <c r="G18" s="424"/>
      <c r="H18" s="215">
        <f>B20</f>
        <v>1000</v>
      </c>
      <c r="I18" s="312" t="s">
        <v>12</v>
      </c>
      <c r="J18" s="268"/>
      <c r="K18" s="80"/>
      <c r="L18" s="80"/>
      <c r="M18" s="199"/>
    </row>
    <row r="19" spans="1:14" s="1" customFormat="1" ht="14.5" x14ac:dyDescent="0.35">
      <c r="A19" s="269" t="s">
        <v>183</v>
      </c>
      <c r="B19" s="3">
        <f>Rates!D9</f>
        <v>1000</v>
      </c>
      <c r="C19" s="14">
        <f>ExBA!C19</f>
        <v>9396</v>
      </c>
      <c r="D19" s="3">
        <f>ExBA!D19</f>
        <v>3453360</v>
      </c>
      <c r="E19" s="212">
        <f>D19</f>
        <v>3453360</v>
      </c>
      <c r="F19" s="212"/>
      <c r="G19" s="212"/>
      <c r="H19" s="212"/>
      <c r="I19" s="225">
        <f>SUM(E19:H19)</f>
        <v>3453360</v>
      </c>
      <c r="J19" s="268"/>
      <c r="K19" s="211"/>
      <c r="L19" s="211"/>
      <c r="M19" s="212"/>
      <c r="N19" s="80"/>
    </row>
    <row r="20" spans="1:14" s="1" customFormat="1" ht="14.4" customHeight="1" x14ac:dyDescent="0.5">
      <c r="A20" s="270" t="s">
        <v>184</v>
      </c>
      <c r="B20" s="3">
        <f>Rates!D10</f>
        <v>1000</v>
      </c>
      <c r="C20" s="76">
        <f>ExBA!C20</f>
        <v>46653</v>
      </c>
      <c r="D20" s="3">
        <f>ExBA!D20</f>
        <v>238629530</v>
      </c>
      <c r="E20" s="31">
        <f>C20*E18</f>
        <v>46653000</v>
      </c>
      <c r="F20" s="31"/>
      <c r="G20" s="31"/>
      <c r="H20" s="31">
        <f>D20-E20-F20-G20</f>
        <v>191976530</v>
      </c>
      <c r="I20" s="226">
        <f>SUM(E20:H20)</f>
        <v>238629530</v>
      </c>
      <c r="J20" s="268"/>
      <c r="K20" s="212"/>
      <c r="L20" s="212"/>
      <c r="M20" s="212"/>
      <c r="N20" s="3"/>
    </row>
    <row r="21" spans="1:14" s="1" customFormat="1" ht="14.4" customHeight="1" x14ac:dyDescent="0.35">
      <c r="A21" s="269"/>
      <c r="B21" s="3"/>
      <c r="C21" s="14">
        <f>SUM(C19:C20)</f>
        <v>56049</v>
      </c>
      <c r="D21" s="3">
        <f>SUM(D19:D20)</f>
        <v>242082890</v>
      </c>
      <c r="E21" s="3">
        <f>SUM(E19:E20)</f>
        <v>50106360</v>
      </c>
      <c r="F21" s="3"/>
      <c r="G21" s="3"/>
      <c r="H21" s="3">
        <f>SUM(H19:H20)</f>
        <v>191976530</v>
      </c>
      <c r="I21" s="225">
        <f>SUM(I19:I20)</f>
        <v>242082890</v>
      </c>
      <c r="J21" s="268"/>
      <c r="K21" s="212"/>
      <c r="L21" s="212"/>
      <c r="M21" s="212"/>
      <c r="N21" s="3"/>
    </row>
    <row r="22" spans="1:14" s="1" customFormat="1" ht="14.4" customHeight="1" x14ac:dyDescent="0.35">
      <c r="A22" s="38"/>
      <c r="B22" s="3"/>
      <c r="C22" s="78"/>
      <c r="D22" s="28"/>
      <c r="E22" s="75"/>
      <c r="F22" s="75"/>
      <c r="G22" s="35"/>
      <c r="I22" s="222"/>
      <c r="J22" s="268"/>
      <c r="K22" s="212"/>
      <c r="L22" s="212"/>
      <c r="M22" s="212"/>
      <c r="N22" s="3"/>
    </row>
    <row r="23" spans="1:14" s="1" customFormat="1" ht="14.4" customHeight="1" x14ac:dyDescent="0.35">
      <c r="A23" s="267" t="s">
        <v>189</v>
      </c>
      <c r="D23" s="518" t="s">
        <v>186</v>
      </c>
      <c r="E23" s="518"/>
      <c r="F23" s="100"/>
      <c r="G23" s="100"/>
      <c r="H23" s="3"/>
      <c r="I23" s="240"/>
      <c r="J23" s="268"/>
      <c r="K23" s="212"/>
      <c r="L23" s="212"/>
      <c r="M23" s="212"/>
      <c r="N23" s="3"/>
    </row>
    <row r="24" spans="1:14" s="1" customFormat="1" ht="14.4" customHeight="1" x14ac:dyDescent="0.35">
      <c r="A24" s="267"/>
      <c r="D24" s="210"/>
      <c r="E24" s="210"/>
      <c r="F24" s="100"/>
      <c r="G24" s="100"/>
      <c r="H24" s="3"/>
      <c r="I24" s="240"/>
      <c r="J24" s="268"/>
      <c r="K24" s="212"/>
      <c r="L24" s="212"/>
      <c r="M24" s="212"/>
      <c r="N24" s="3"/>
    </row>
    <row r="25" spans="1:14" s="1" customFormat="1" ht="14.4" customHeight="1" x14ac:dyDescent="0.5">
      <c r="A25" s="38"/>
      <c r="B25" s="8" t="s">
        <v>50</v>
      </c>
      <c r="C25" s="423" t="s">
        <v>51</v>
      </c>
      <c r="D25" s="423" t="s">
        <v>52</v>
      </c>
      <c r="E25" s="517" t="s">
        <v>54</v>
      </c>
      <c r="F25" s="517"/>
      <c r="G25" s="428" t="s">
        <v>55</v>
      </c>
      <c r="I25" s="222"/>
      <c r="J25" s="268"/>
      <c r="K25" s="212"/>
      <c r="L25" s="212"/>
      <c r="M25" s="212"/>
      <c r="N25" s="3"/>
    </row>
    <row r="26" spans="1:14" s="1" customFormat="1" ht="14.4" customHeight="1" x14ac:dyDescent="0.35">
      <c r="A26" s="269" t="s">
        <v>183</v>
      </c>
      <c r="B26" s="3">
        <f>Rates!D9</f>
        <v>1000</v>
      </c>
      <c r="C26" s="14">
        <f>C21</f>
        <v>56049</v>
      </c>
      <c r="D26" s="14">
        <f>E21</f>
        <v>50106360</v>
      </c>
      <c r="E26" s="200">
        <f>Rates!H9</f>
        <v>22.783999999999999</v>
      </c>
      <c r="F26" s="37" t="s">
        <v>110</v>
      </c>
      <c r="G26" s="89">
        <f>ROUND(C26*E26,0)</f>
        <v>1277020</v>
      </c>
      <c r="I26" s="222"/>
      <c r="J26" s="268"/>
      <c r="K26" s="212"/>
      <c r="L26" s="212"/>
      <c r="M26" s="212"/>
      <c r="N26" s="3"/>
    </row>
    <row r="27" spans="1:14" s="1" customFormat="1" ht="14.4" customHeight="1" x14ac:dyDescent="0.5">
      <c r="A27" s="270" t="s">
        <v>184</v>
      </c>
      <c r="B27" s="3">
        <f>Rates!D10</f>
        <v>1000</v>
      </c>
      <c r="C27" s="76"/>
      <c r="D27" s="76">
        <f>H21</f>
        <v>191976530</v>
      </c>
      <c r="E27" s="201">
        <f>Rates!H10</f>
        <v>1.09915E-2</v>
      </c>
      <c r="F27" s="37" t="s">
        <v>182</v>
      </c>
      <c r="G27" s="90">
        <f t="shared" ref="G27" si="0">ROUND(D27*E27,0)</f>
        <v>2110110</v>
      </c>
      <c r="I27" s="222"/>
      <c r="J27" s="268"/>
      <c r="K27" s="3"/>
      <c r="L27" s="213"/>
      <c r="M27" s="3"/>
      <c r="N27" s="3"/>
    </row>
    <row r="28" spans="1:14" s="1" customFormat="1" ht="14.4" customHeight="1" thickBot="1" x14ac:dyDescent="0.55000000000000004">
      <c r="A28" s="429"/>
      <c r="B28" s="229"/>
      <c r="C28" s="239"/>
      <c r="D28" s="241">
        <f>SUM(D26:D27)</f>
        <v>242082890</v>
      </c>
      <c r="E28" s="239"/>
      <c r="F28" s="239"/>
      <c r="G28" s="237">
        <f>SUM(G26:G27)</f>
        <v>3387130</v>
      </c>
      <c r="H28" s="231"/>
      <c r="I28" s="234"/>
      <c r="J28" s="268"/>
      <c r="K28" s="31"/>
      <c r="L28" s="214"/>
      <c r="M28" s="31"/>
      <c r="N28" s="31"/>
    </row>
    <row r="29" spans="1:14" s="1" customFormat="1" ht="14.4" customHeight="1" x14ac:dyDescent="0.35">
      <c r="A29" s="269"/>
      <c r="B29" s="3"/>
      <c r="C29" s="14"/>
      <c r="D29" s="205"/>
      <c r="E29" s="14"/>
      <c r="F29" s="14"/>
      <c r="G29" s="89"/>
      <c r="J29" s="268"/>
      <c r="K29" s="3"/>
      <c r="L29" s="3"/>
      <c r="M29" s="3"/>
      <c r="N29" s="3"/>
    </row>
    <row r="30" spans="1:14" s="1" customFormat="1" ht="14.4" customHeight="1" x14ac:dyDescent="0.5">
      <c r="A30" s="269"/>
      <c r="B30" s="3"/>
      <c r="C30" s="14"/>
      <c r="D30" s="3"/>
      <c r="E30" s="14"/>
      <c r="F30" s="14"/>
      <c r="G30" s="89"/>
      <c r="I30" s="222"/>
      <c r="J30" s="268"/>
      <c r="K30" s="77"/>
      <c r="L30" s="79"/>
    </row>
    <row r="31" spans="1:14" s="1" customFormat="1" ht="14.4" customHeight="1" x14ac:dyDescent="0.35">
      <c r="A31" s="261" t="s">
        <v>190</v>
      </c>
      <c r="B31" s="5"/>
      <c r="C31" s="262"/>
      <c r="D31" s="520" t="s">
        <v>114</v>
      </c>
      <c r="E31" s="520"/>
      <c r="F31" s="263"/>
      <c r="G31" s="264"/>
      <c r="H31" s="265"/>
      <c r="I31" s="266"/>
      <c r="J31" s="268"/>
      <c r="K31" s="3"/>
      <c r="M31" s="3"/>
      <c r="N31" s="79"/>
    </row>
    <row r="32" spans="1:14" s="1" customFormat="1" ht="14.4" customHeight="1" x14ac:dyDescent="0.35">
      <c r="A32" s="267"/>
      <c r="B32" s="3"/>
      <c r="C32" s="78"/>
      <c r="D32" s="210"/>
      <c r="E32" s="80" t="s">
        <v>183</v>
      </c>
      <c r="F32" s="80"/>
      <c r="G32" s="80" t="s">
        <v>184</v>
      </c>
      <c r="I32" s="268"/>
      <c r="J32" s="268"/>
      <c r="K32" s="3"/>
      <c r="M32" s="3"/>
      <c r="N32" s="79"/>
    </row>
    <row r="33" spans="1:13" s="1" customFormat="1" ht="14.4" customHeight="1" x14ac:dyDescent="0.5">
      <c r="A33" s="38"/>
      <c r="B33" s="8" t="s">
        <v>50</v>
      </c>
      <c r="C33" s="423" t="s">
        <v>51</v>
      </c>
      <c r="D33" s="423" t="s">
        <v>52</v>
      </c>
      <c r="E33" s="424">
        <f>B34</f>
        <v>2500</v>
      </c>
      <c r="F33" s="424"/>
      <c r="G33" s="424">
        <f>B35</f>
        <v>2500</v>
      </c>
      <c r="H33" s="431" t="s">
        <v>12</v>
      </c>
      <c r="I33" s="268"/>
      <c r="J33" s="268"/>
    </row>
    <row r="34" spans="1:13" s="1" customFormat="1" ht="14.4" customHeight="1" x14ac:dyDescent="0.35">
      <c r="A34" s="269" t="s">
        <v>183</v>
      </c>
      <c r="B34" s="3">
        <f>Rates!D13</f>
        <v>2500</v>
      </c>
      <c r="C34" s="14">
        <f>ExBA!C34</f>
        <v>126</v>
      </c>
      <c r="D34" s="3">
        <f>ExBA!D34</f>
        <v>130300</v>
      </c>
      <c r="E34" s="212">
        <f>D34</f>
        <v>130300</v>
      </c>
      <c r="F34" s="212"/>
      <c r="G34" s="212"/>
      <c r="H34" s="3">
        <f>SUM(D34:G34)</f>
        <v>260600</v>
      </c>
      <c r="I34" s="268"/>
      <c r="J34" s="268"/>
    </row>
    <row r="35" spans="1:13" s="1" customFormat="1" ht="14.4" customHeight="1" x14ac:dyDescent="0.5">
      <c r="A35" s="269" t="s">
        <v>184</v>
      </c>
      <c r="B35" s="3">
        <f>Rates!D14</f>
        <v>2500</v>
      </c>
      <c r="C35" s="76">
        <f>ExBA!C35</f>
        <v>261</v>
      </c>
      <c r="D35" s="31">
        <f>ExBA!D35</f>
        <v>3964760</v>
      </c>
      <c r="E35" s="215">
        <f>C35*E33</f>
        <v>652500</v>
      </c>
      <c r="F35" s="215"/>
      <c r="G35" s="215">
        <f>D35-E35-F35</f>
        <v>3312260</v>
      </c>
      <c r="H35" s="31">
        <f>SUM(E35:G35)</f>
        <v>3964760</v>
      </c>
      <c r="I35" s="268"/>
      <c r="J35" s="268"/>
    </row>
    <row r="36" spans="1:13" s="1" customFormat="1" ht="14.4" customHeight="1" x14ac:dyDescent="0.35">
      <c r="A36" s="269"/>
      <c r="B36" s="3"/>
      <c r="C36" s="14">
        <f>SUM(C34:C35)</f>
        <v>387</v>
      </c>
      <c r="D36" s="3">
        <f>SUM(D34:D35)</f>
        <v>4095060</v>
      </c>
      <c r="E36" s="3">
        <f>SUM(E34:E35)</f>
        <v>782800</v>
      </c>
      <c r="F36" s="3"/>
      <c r="G36" s="3">
        <f>SUM(G34:G35)</f>
        <v>3312260</v>
      </c>
      <c r="H36" s="3">
        <f>SUM(E36:G36)</f>
        <v>4095060</v>
      </c>
      <c r="I36" s="268"/>
      <c r="J36" s="268"/>
    </row>
    <row r="37" spans="1:13" s="1" customFormat="1" ht="14.4" customHeight="1" x14ac:dyDescent="0.35">
      <c r="A37" s="269"/>
      <c r="B37" s="3"/>
      <c r="C37" s="14"/>
      <c r="D37" s="3"/>
      <c r="E37" s="3"/>
      <c r="F37" s="3"/>
      <c r="G37" s="3"/>
      <c r="H37" s="3"/>
      <c r="I37" s="268"/>
      <c r="J37" s="268"/>
    </row>
    <row r="38" spans="1:13" s="1" customFormat="1" ht="14.4" customHeight="1" x14ac:dyDescent="0.35">
      <c r="A38" s="267" t="s">
        <v>189</v>
      </c>
      <c r="C38" s="100"/>
      <c r="D38" s="518" t="s">
        <v>114</v>
      </c>
      <c r="E38" s="518"/>
      <c r="F38" s="100"/>
      <c r="G38" s="100"/>
      <c r="I38" s="268"/>
      <c r="J38" s="268"/>
    </row>
    <row r="39" spans="1:13" s="1" customFormat="1" ht="14.4" customHeight="1" x14ac:dyDescent="0.5">
      <c r="A39" s="38"/>
      <c r="B39" s="8" t="s">
        <v>50</v>
      </c>
      <c r="C39" s="423" t="s">
        <v>51</v>
      </c>
      <c r="D39" s="423" t="s">
        <v>52</v>
      </c>
      <c r="E39" s="517" t="s">
        <v>54</v>
      </c>
      <c r="F39" s="517"/>
      <c r="G39" s="428" t="s">
        <v>55</v>
      </c>
      <c r="I39" s="268"/>
      <c r="J39" s="268"/>
    </row>
    <row r="40" spans="1:13" s="1" customFormat="1" ht="14.4" customHeight="1" x14ac:dyDescent="0.35">
      <c r="A40" s="269" t="s">
        <v>183</v>
      </c>
      <c r="B40" s="3">
        <f>Rates!D13</f>
        <v>2500</v>
      </c>
      <c r="C40" s="75">
        <f>C36</f>
        <v>387</v>
      </c>
      <c r="D40" s="75">
        <f>E36</f>
        <v>782800</v>
      </c>
      <c r="E40" s="200">
        <f>Rates!H13</f>
        <v>40.829000000000001</v>
      </c>
      <c r="F40" s="37" t="s">
        <v>110</v>
      </c>
      <c r="G40" s="89">
        <f>ROUND(C40*E40,0)</f>
        <v>15801</v>
      </c>
      <c r="I40" s="268"/>
      <c r="J40" s="268"/>
    </row>
    <row r="41" spans="1:13" s="1" customFormat="1" ht="14.4" customHeight="1" x14ac:dyDescent="0.5">
      <c r="A41" s="270" t="s">
        <v>184</v>
      </c>
      <c r="B41" s="3">
        <f>Rates!D14</f>
        <v>2500</v>
      </c>
      <c r="C41" s="68"/>
      <c r="D41" s="216">
        <f>G36</f>
        <v>3312260</v>
      </c>
      <c r="E41" s="201">
        <f>Rates!H14</f>
        <v>1.09915E-2</v>
      </c>
      <c r="F41" s="37" t="s">
        <v>182</v>
      </c>
      <c r="G41" s="90">
        <f t="shared" ref="G41" si="1">ROUND(D41*E41,0)</f>
        <v>36407</v>
      </c>
      <c r="I41" s="268"/>
      <c r="J41" s="268"/>
    </row>
    <row r="42" spans="1:13" s="1" customFormat="1" ht="14.4" customHeight="1" x14ac:dyDescent="0.35">
      <c r="A42" s="70"/>
      <c r="B42" s="2"/>
      <c r="C42" s="273"/>
      <c r="D42" s="2">
        <f>SUM(D40:D41)</f>
        <v>4095060</v>
      </c>
      <c r="E42" s="249"/>
      <c r="F42" s="249"/>
      <c r="G42" s="271">
        <f>SUM(G40:G41)</f>
        <v>52208</v>
      </c>
      <c r="H42" s="249"/>
      <c r="I42" s="272"/>
      <c r="J42" s="268"/>
    </row>
    <row r="43" spans="1:13" s="1" customFormat="1" ht="14.4" customHeight="1" x14ac:dyDescent="0.35">
      <c r="A43" s="38"/>
      <c r="B43" s="3"/>
      <c r="C43" s="9"/>
      <c r="D43" s="3"/>
      <c r="G43" s="89"/>
      <c r="J43" s="268"/>
    </row>
    <row r="44" spans="1:13" s="1" customFormat="1" ht="14.5" x14ac:dyDescent="0.35">
      <c r="A44" s="261" t="s">
        <v>190</v>
      </c>
      <c r="B44" s="5"/>
      <c r="C44" s="262"/>
      <c r="D44" s="520" t="s">
        <v>115</v>
      </c>
      <c r="E44" s="520"/>
      <c r="F44" s="263"/>
      <c r="G44" s="264"/>
      <c r="H44" s="265"/>
      <c r="I44" s="266"/>
      <c r="J44" s="268"/>
    </row>
    <row r="45" spans="1:13" s="1" customFormat="1" ht="14.4" customHeight="1" x14ac:dyDescent="0.5">
      <c r="A45" s="267"/>
      <c r="B45" s="3"/>
      <c r="C45" s="78"/>
      <c r="D45" s="210"/>
      <c r="E45" s="80" t="s">
        <v>183</v>
      </c>
      <c r="F45" s="80"/>
      <c r="G45" s="80" t="s">
        <v>184</v>
      </c>
      <c r="I45" s="268"/>
      <c r="J45" s="268"/>
      <c r="K45" s="77"/>
      <c r="L45" s="79"/>
    </row>
    <row r="46" spans="1:13" s="1" customFormat="1" ht="14.4" customHeight="1" x14ac:dyDescent="0.35">
      <c r="A46" s="38"/>
      <c r="B46" s="313" t="s">
        <v>50</v>
      </c>
      <c r="C46" s="432" t="s">
        <v>51</v>
      </c>
      <c r="D46" s="432" t="s">
        <v>52</v>
      </c>
      <c r="E46" s="433">
        <f>B47</f>
        <v>10000</v>
      </c>
      <c r="F46" s="433"/>
      <c r="G46" s="433">
        <f>B48</f>
        <v>10000</v>
      </c>
      <c r="H46" s="434" t="s">
        <v>12</v>
      </c>
      <c r="I46" s="268"/>
      <c r="J46" s="268"/>
      <c r="K46" s="80"/>
      <c r="L46" s="80"/>
    </row>
    <row r="47" spans="1:13" s="1" customFormat="1" ht="14.4" customHeight="1" x14ac:dyDescent="0.35">
      <c r="A47" s="269" t="s">
        <v>183</v>
      </c>
      <c r="B47" s="3">
        <f>Rates!D17</f>
        <v>10000</v>
      </c>
      <c r="C47" s="14">
        <f>ExBA!C47</f>
        <v>33</v>
      </c>
      <c r="D47" s="3">
        <f>ExBA!D47</f>
        <v>74890</v>
      </c>
      <c r="E47" s="212">
        <f>D47</f>
        <v>74890</v>
      </c>
      <c r="F47" s="212"/>
      <c r="G47" s="212"/>
      <c r="H47" s="3">
        <f>SUM(D47:G47)</f>
        <v>149780</v>
      </c>
      <c r="I47" s="268"/>
      <c r="J47" s="268"/>
      <c r="K47" s="211"/>
      <c r="L47" s="211"/>
      <c r="M47" s="80"/>
    </row>
    <row r="48" spans="1:13" s="1" customFormat="1" ht="14.4" customHeight="1" x14ac:dyDescent="0.5">
      <c r="A48" s="269" t="s">
        <v>184</v>
      </c>
      <c r="B48" s="3">
        <f>Rates!D18</f>
        <v>10000</v>
      </c>
      <c r="C48" s="76">
        <f>ExBA!C48</f>
        <v>39</v>
      </c>
      <c r="D48" s="31">
        <f>ExBA!D48</f>
        <v>1288760</v>
      </c>
      <c r="E48" s="215">
        <f>C48*E46</f>
        <v>390000</v>
      </c>
      <c r="F48" s="215"/>
      <c r="G48" s="215">
        <f>D48-E48-F48</f>
        <v>898760</v>
      </c>
      <c r="H48" s="31">
        <f>SUM(E48:G48)</f>
        <v>1288760</v>
      </c>
      <c r="I48" s="268"/>
      <c r="J48" s="268"/>
      <c r="K48" s="212"/>
      <c r="L48" s="212"/>
      <c r="M48" s="3"/>
    </row>
    <row r="49" spans="1:13" s="1" customFormat="1" ht="14.4" customHeight="1" x14ac:dyDescent="0.35">
      <c r="A49" s="269"/>
      <c r="B49" s="3"/>
      <c r="C49" s="14">
        <f>SUM(C47:C48)</f>
        <v>72</v>
      </c>
      <c r="D49" s="3">
        <f>SUM(D47:D48)</f>
        <v>1363650</v>
      </c>
      <c r="E49" s="3">
        <f>SUM(E47:E48)</f>
        <v>464890</v>
      </c>
      <c r="F49" s="3"/>
      <c r="G49" s="3">
        <f>SUM(G47:G48)</f>
        <v>898760</v>
      </c>
      <c r="H49" s="3">
        <f>SUM(E49:G49)</f>
        <v>1363650</v>
      </c>
      <c r="I49" s="268"/>
      <c r="J49" s="268"/>
      <c r="K49" s="212"/>
      <c r="L49" s="212"/>
      <c r="M49" s="3"/>
    </row>
    <row r="50" spans="1:13" s="1" customFormat="1" ht="14.4" customHeight="1" x14ac:dyDescent="0.35">
      <c r="A50" s="38"/>
      <c r="B50" s="3"/>
      <c r="G50" s="3"/>
      <c r="H50" s="3"/>
      <c r="I50" s="268"/>
      <c r="J50" s="268"/>
      <c r="K50" s="212"/>
      <c r="L50" s="212"/>
      <c r="M50" s="3"/>
    </row>
    <row r="51" spans="1:13" s="1" customFormat="1" ht="14.4" customHeight="1" x14ac:dyDescent="0.35">
      <c r="A51" s="267" t="s">
        <v>189</v>
      </c>
      <c r="B51" s="100"/>
      <c r="C51" s="100"/>
      <c r="D51" s="518" t="s">
        <v>115</v>
      </c>
      <c r="E51" s="518"/>
      <c r="F51" s="100"/>
      <c r="G51" s="100"/>
      <c r="I51" s="268"/>
      <c r="J51" s="268"/>
      <c r="K51" s="212"/>
      <c r="L51" s="212"/>
      <c r="M51" s="3"/>
    </row>
    <row r="52" spans="1:13" s="1" customFormat="1" ht="14.4" customHeight="1" x14ac:dyDescent="0.5">
      <c r="A52" s="38"/>
      <c r="B52" s="8" t="s">
        <v>50</v>
      </c>
      <c r="C52" s="423" t="s">
        <v>51</v>
      </c>
      <c r="D52" s="423" t="s">
        <v>52</v>
      </c>
      <c r="E52" s="517" t="s">
        <v>54</v>
      </c>
      <c r="F52" s="517"/>
      <c r="G52" s="428" t="s">
        <v>55</v>
      </c>
      <c r="I52" s="268"/>
      <c r="J52" s="268"/>
      <c r="K52" s="212"/>
      <c r="L52" s="212"/>
      <c r="M52" s="3"/>
    </row>
    <row r="53" spans="1:13" s="1" customFormat="1" ht="14.4" customHeight="1" x14ac:dyDescent="0.35">
      <c r="A53" s="269" t="s">
        <v>183</v>
      </c>
      <c r="B53" s="3">
        <f>Rates!D17</f>
        <v>10000</v>
      </c>
      <c r="C53" s="75">
        <f>C49</f>
        <v>72</v>
      </c>
      <c r="D53" s="75">
        <f>E49</f>
        <v>464890</v>
      </c>
      <c r="E53" s="67">
        <f>Rates!H17</f>
        <v>122.15</v>
      </c>
      <c r="F53" s="37" t="s">
        <v>110</v>
      </c>
      <c r="G53" s="89">
        <f>ROUND(C53*E53,0)</f>
        <v>8795</v>
      </c>
      <c r="I53" s="268"/>
      <c r="J53" s="268"/>
      <c r="K53" s="212"/>
      <c r="L53" s="212"/>
      <c r="M53" s="3"/>
    </row>
    <row r="54" spans="1:13" s="1" customFormat="1" ht="14.4" customHeight="1" x14ac:dyDescent="0.5">
      <c r="A54" s="270" t="s">
        <v>184</v>
      </c>
      <c r="B54" s="3">
        <f>Rates!D18</f>
        <v>10000</v>
      </c>
      <c r="C54" s="68"/>
      <c r="D54" s="216">
        <f>G49</f>
        <v>898760</v>
      </c>
      <c r="E54" s="203">
        <f>Rates!H18</f>
        <v>1.09915E-2</v>
      </c>
      <c r="F54" s="37" t="s">
        <v>182</v>
      </c>
      <c r="G54" s="90">
        <f t="shared" ref="G54" si="2">ROUND(D54*E54,0)</f>
        <v>9879</v>
      </c>
      <c r="I54" s="268"/>
      <c r="J54" s="268"/>
      <c r="K54" s="212"/>
      <c r="L54" s="212"/>
      <c r="M54" s="3"/>
    </row>
    <row r="55" spans="1:13" s="1" customFormat="1" ht="14.4" customHeight="1" x14ac:dyDescent="0.5">
      <c r="A55" s="70"/>
      <c r="B55" s="2"/>
      <c r="C55" s="248"/>
      <c r="D55" s="2">
        <f>SUM(D53:D54)</f>
        <v>1363650</v>
      </c>
      <c r="E55" s="249"/>
      <c r="F55" s="249"/>
      <c r="G55" s="271">
        <f>SUM(G53:G54)</f>
        <v>18674</v>
      </c>
      <c r="H55" s="249"/>
      <c r="I55" s="272"/>
      <c r="J55" s="268"/>
      <c r="K55" s="31"/>
      <c r="L55" s="214"/>
      <c r="M55" s="31"/>
    </row>
    <row r="56" spans="1:13" s="1" customFormat="1" ht="14.4" customHeight="1" thickBot="1" x14ac:dyDescent="0.4">
      <c r="A56" s="38"/>
      <c r="B56" s="3"/>
      <c r="C56" s="173"/>
      <c r="D56" s="3"/>
      <c r="G56" s="173"/>
      <c r="J56" s="268"/>
      <c r="K56" s="3"/>
      <c r="L56" s="3"/>
      <c r="M56" s="3"/>
    </row>
    <row r="57" spans="1:13" s="1" customFormat="1" ht="14.4" customHeight="1" x14ac:dyDescent="0.35">
      <c r="A57" s="421" t="s">
        <v>190</v>
      </c>
      <c r="B57" s="218"/>
      <c r="C57" s="219"/>
      <c r="D57" s="519" t="s">
        <v>227</v>
      </c>
      <c r="E57" s="519"/>
      <c r="F57" s="220"/>
      <c r="G57" s="232"/>
      <c r="J57" s="268"/>
    </row>
    <row r="58" spans="1:13" s="1" customFormat="1" ht="14.4" customHeight="1" x14ac:dyDescent="0.35">
      <c r="A58" s="267"/>
      <c r="B58" s="3"/>
      <c r="C58" s="78"/>
      <c r="D58" s="210"/>
      <c r="E58" s="80"/>
      <c r="F58" s="80"/>
      <c r="G58" s="80"/>
      <c r="J58" s="268"/>
    </row>
    <row r="59" spans="1:13" s="1" customFormat="1" ht="14.4" customHeight="1" x14ac:dyDescent="0.35">
      <c r="A59" s="38"/>
      <c r="B59" s="85"/>
      <c r="C59" s="74"/>
      <c r="D59" s="74"/>
      <c r="E59" s="211"/>
      <c r="F59" s="211"/>
      <c r="G59" s="211"/>
      <c r="J59" s="268"/>
    </row>
    <row r="60" spans="1:13" s="1" customFormat="1" ht="14.4" customHeight="1" x14ac:dyDescent="0.35">
      <c r="A60" s="269"/>
      <c r="B60" s="3"/>
      <c r="C60" s="14"/>
      <c r="D60" s="3"/>
      <c r="E60" s="212"/>
      <c r="F60" s="212"/>
      <c r="G60" s="212"/>
      <c r="J60" s="268"/>
    </row>
    <row r="61" spans="1:13" s="1" customFormat="1" ht="14.4" customHeight="1" x14ac:dyDescent="0.35">
      <c r="A61" s="269"/>
      <c r="B61" s="3"/>
      <c r="C61" s="14"/>
      <c r="D61" s="14"/>
      <c r="E61" s="3"/>
      <c r="F61" s="3"/>
      <c r="G61" s="3"/>
      <c r="J61" s="268"/>
    </row>
    <row r="62" spans="1:13" s="1" customFormat="1" ht="14.4" customHeight="1" thickBot="1" x14ac:dyDescent="0.4">
      <c r="A62" s="38"/>
      <c r="B62" s="3"/>
      <c r="G62" s="35"/>
      <c r="J62" s="268"/>
    </row>
    <row r="63" spans="1:13" s="1" customFormat="1" ht="14.4" customHeight="1" x14ac:dyDescent="0.35">
      <c r="A63" s="267" t="s">
        <v>189</v>
      </c>
      <c r="B63" s="100"/>
      <c r="C63" s="100"/>
      <c r="D63" s="519" t="s">
        <v>228</v>
      </c>
      <c r="E63" s="519"/>
      <c r="F63" s="100"/>
      <c r="G63" s="100"/>
      <c r="J63" s="268"/>
    </row>
    <row r="64" spans="1:13" s="1" customFormat="1" ht="14.4" customHeight="1" x14ac:dyDescent="0.35">
      <c r="A64" s="38"/>
      <c r="B64" s="85"/>
      <c r="C64" s="74"/>
      <c r="D64" s="432" t="s">
        <v>52</v>
      </c>
      <c r="E64" s="512" t="s">
        <v>54</v>
      </c>
      <c r="F64" s="512"/>
      <c r="G64" s="435" t="s">
        <v>55</v>
      </c>
      <c r="J64" s="439"/>
    </row>
    <row r="65" spans="1:12" s="1" customFormat="1" ht="14.4" customHeight="1" x14ac:dyDescent="0.35">
      <c r="A65" s="269"/>
      <c r="B65" s="3"/>
      <c r="C65" s="75"/>
      <c r="D65" s="75">
        <f>ExBA!D61</f>
        <v>192300</v>
      </c>
      <c r="E65" s="204">
        <f>Rates!H21</f>
        <v>7.4871E-3</v>
      </c>
      <c r="F65" s="37" t="s">
        <v>182</v>
      </c>
      <c r="G65" s="172">
        <f>ROUND(D65*E65,0)</f>
        <v>1440</v>
      </c>
      <c r="J65" s="440"/>
    </row>
    <row r="66" spans="1:12" s="1" customFormat="1" ht="14.4" customHeight="1" x14ac:dyDescent="0.35">
      <c r="A66" s="70"/>
      <c r="B66" s="2"/>
      <c r="C66" s="248"/>
      <c r="D66" s="2"/>
      <c r="E66" s="249"/>
      <c r="F66" s="249"/>
      <c r="G66" s="248"/>
      <c r="H66" s="249"/>
      <c r="I66" s="249"/>
      <c r="J66" s="272"/>
    </row>
    <row r="67" spans="1:12" s="1" customFormat="1" ht="14.4" customHeight="1" x14ac:dyDescent="0.5">
      <c r="A67" s="227"/>
      <c r="B67" s="3"/>
      <c r="C67" s="76"/>
      <c r="D67" s="76"/>
      <c r="E67" s="201"/>
      <c r="F67" s="37"/>
      <c r="G67" s="90"/>
      <c r="I67" s="9"/>
      <c r="J67" s="186"/>
    </row>
    <row r="68" spans="1:12" s="1" customFormat="1" ht="14.4" customHeight="1" thickBot="1" x14ac:dyDescent="0.4">
      <c r="A68" s="238"/>
      <c r="B68" s="229"/>
      <c r="C68" s="239"/>
      <c r="D68" s="229"/>
      <c r="E68" s="239"/>
      <c r="F68" s="239"/>
      <c r="G68" s="89"/>
      <c r="I68" s="9"/>
      <c r="J68" s="186"/>
    </row>
    <row r="69" spans="1:12" s="1" customFormat="1" ht="14.4" customHeight="1" thickBot="1" x14ac:dyDescent="0.4">
      <c r="A69" s="80"/>
      <c r="B69" s="3"/>
      <c r="C69" s="14"/>
      <c r="D69" s="3"/>
      <c r="E69" s="14"/>
      <c r="F69" s="14"/>
      <c r="G69" s="89"/>
      <c r="I69" s="9"/>
      <c r="J69" s="186"/>
    </row>
    <row r="70" spans="1:12" s="1" customFormat="1" ht="14.4" customHeight="1" x14ac:dyDescent="0.5">
      <c r="A70" s="217"/>
      <c r="B70" s="218"/>
      <c r="C70" s="219"/>
      <c r="D70" s="519"/>
      <c r="E70" s="519"/>
      <c r="F70" s="220"/>
      <c r="G70" s="35"/>
      <c r="I70" s="9"/>
      <c r="J70" s="193"/>
      <c r="K70" s="77"/>
      <c r="L70" s="79"/>
    </row>
    <row r="71" spans="1:12" s="1" customFormat="1" ht="14.4" customHeight="1" x14ac:dyDescent="0.35">
      <c r="A71" s="221"/>
      <c r="B71" s="3"/>
      <c r="C71" s="78"/>
      <c r="D71" s="210"/>
      <c r="E71" s="80"/>
      <c r="F71" s="80"/>
      <c r="G71" s="80"/>
      <c r="H71" s="80"/>
      <c r="I71" s="80"/>
      <c r="J71" s="80"/>
      <c r="K71" s="80"/>
    </row>
    <row r="72" spans="1:12" s="1" customFormat="1" ht="14.4" customHeight="1" x14ac:dyDescent="0.35">
      <c r="A72" s="202"/>
      <c r="B72" s="85"/>
      <c r="C72" s="74"/>
      <c r="D72" s="74"/>
      <c r="E72" s="211"/>
      <c r="F72" s="211"/>
      <c r="G72" s="211"/>
      <c r="H72" s="211"/>
      <c r="I72" s="211"/>
      <c r="J72" s="211"/>
      <c r="K72" s="211"/>
      <c r="L72" s="80"/>
    </row>
    <row r="73" spans="1:12" s="1" customFormat="1" ht="14.4" customHeight="1" x14ac:dyDescent="0.35">
      <c r="A73" s="224"/>
      <c r="B73" s="3"/>
      <c r="C73" s="14"/>
      <c r="D73" s="14"/>
      <c r="E73" s="212"/>
      <c r="F73" s="212"/>
      <c r="G73" s="212"/>
      <c r="H73" s="212"/>
      <c r="I73" s="212"/>
      <c r="J73" s="212"/>
      <c r="K73" s="212"/>
      <c r="L73" s="3"/>
    </row>
    <row r="74" spans="1:12" s="1" customFormat="1" ht="14.4" customHeight="1" x14ac:dyDescent="0.35">
      <c r="A74" s="224"/>
      <c r="B74" s="3"/>
      <c r="C74" s="14"/>
      <c r="D74" s="14"/>
      <c r="E74" s="212"/>
      <c r="F74" s="212"/>
      <c r="G74" s="212"/>
      <c r="H74" s="212"/>
      <c r="I74" s="212"/>
      <c r="J74" s="212"/>
      <c r="K74" s="212"/>
      <c r="L74" s="3"/>
    </row>
    <row r="75" spans="1:12" s="1" customFormat="1" ht="14.4" customHeight="1" x14ac:dyDescent="0.35">
      <c r="A75" s="224"/>
      <c r="B75" s="3"/>
      <c r="C75" s="14"/>
      <c r="D75" s="14"/>
      <c r="E75" s="212"/>
      <c r="F75" s="212"/>
      <c r="G75" s="212"/>
      <c r="H75" s="212"/>
      <c r="I75" s="212"/>
      <c r="J75" s="212"/>
      <c r="K75" s="212"/>
      <c r="L75" s="3"/>
    </row>
    <row r="76" spans="1:12" s="1" customFormat="1" ht="14.4" customHeight="1" x14ac:dyDescent="0.35">
      <c r="A76" s="224"/>
      <c r="B76" s="3"/>
      <c r="C76" s="14"/>
      <c r="D76" s="14"/>
      <c r="E76" s="212"/>
      <c r="F76" s="212"/>
      <c r="G76" s="212"/>
      <c r="H76" s="212"/>
      <c r="I76" s="212"/>
      <c r="J76" s="212"/>
      <c r="K76" s="212"/>
      <c r="L76" s="3"/>
    </row>
    <row r="77" spans="1:12" s="1" customFormat="1" ht="14.4" customHeight="1" x14ac:dyDescent="0.35">
      <c r="A77" s="224"/>
      <c r="B77" s="3"/>
      <c r="C77" s="14"/>
      <c r="D77" s="14"/>
      <c r="E77" s="212"/>
      <c r="F77" s="212"/>
      <c r="G77" s="212"/>
      <c r="H77" s="212"/>
      <c r="I77" s="212"/>
      <c r="J77" s="212"/>
      <c r="K77" s="212"/>
      <c r="L77" s="3"/>
    </row>
    <row r="78" spans="1:12" s="1" customFormat="1" ht="14.4" customHeight="1" x14ac:dyDescent="0.35">
      <c r="A78" s="224"/>
      <c r="B78" s="3"/>
      <c r="C78" s="14"/>
      <c r="D78" s="14"/>
      <c r="E78" s="212"/>
      <c r="F78" s="212"/>
      <c r="G78" s="212"/>
      <c r="H78" s="212"/>
      <c r="I78" s="212"/>
      <c r="J78" s="212"/>
      <c r="K78" s="212"/>
      <c r="L78" s="3"/>
    </row>
    <row r="79" spans="1:12" s="1" customFormat="1" ht="14.4" customHeight="1" x14ac:dyDescent="0.5">
      <c r="A79" s="224"/>
      <c r="B79" s="3"/>
      <c r="C79" s="76"/>
      <c r="D79" s="76"/>
      <c r="E79" s="215"/>
      <c r="F79" s="215"/>
      <c r="G79" s="215"/>
      <c r="H79" s="215"/>
      <c r="I79" s="215"/>
      <c r="J79" s="215"/>
      <c r="K79" s="215"/>
      <c r="L79" s="31"/>
    </row>
    <row r="80" spans="1:12" s="1" customFormat="1" ht="14.4" customHeight="1" x14ac:dyDescent="0.35">
      <c r="A80" s="224"/>
      <c r="B80" s="3"/>
      <c r="C80" s="14"/>
      <c r="D80" s="3"/>
      <c r="E80" s="3"/>
      <c r="F80" s="3"/>
      <c r="G80" s="3"/>
      <c r="H80" s="3"/>
      <c r="I80" s="3"/>
      <c r="J80" s="3"/>
      <c r="K80" s="3"/>
      <c r="L80" s="3"/>
    </row>
    <row r="81" spans="1:13" s="1" customFormat="1" ht="14.4" customHeight="1" x14ac:dyDescent="0.35">
      <c r="A81" s="224"/>
      <c r="B81" s="3"/>
      <c r="C81" s="14"/>
      <c r="D81" s="3"/>
      <c r="E81" s="3"/>
      <c r="F81" s="3"/>
      <c r="G81" s="3"/>
      <c r="H81" s="3"/>
      <c r="I81" s="3"/>
      <c r="J81" s="3"/>
      <c r="K81" s="3"/>
      <c r="L81" s="3"/>
      <c r="M81" s="3"/>
    </row>
    <row r="82" spans="1:13" s="1" customFormat="1" ht="14.4" customHeight="1" x14ac:dyDescent="0.35">
      <c r="A82" s="221"/>
      <c r="C82" s="100"/>
      <c r="D82" s="518"/>
      <c r="E82" s="518"/>
      <c r="F82" s="100"/>
      <c r="G82" s="100"/>
      <c r="I82" s="9"/>
      <c r="J82" s="186"/>
    </row>
    <row r="83" spans="1:13" s="1" customFormat="1" ht="14.4" customHeight="1" x14ac:dyDescent="0.35">
      <c r="A83" s="202"/>
      <c r="B83" s="85"/>
      <c r="C83" s="74"/>
      <c r="D83" s="74"/>
      <c r="E83" s="521"/>
      <c r="F83" s="521"/>
      <c r="G83" s="88"/>
      <c r="I83" s="9"/>
      <c r="J83" s="186"/>
    </row>
    <row r="84" spans="1:13" s="1" customFormat="1" ht="14.4" customHeight="1" x14ac:dyDescent="0.35">
      <c r="A84" s="224"/>
      <c r="B84" s="3"/>
      <c r="C84" s="75"/>
      <c r="D84" s="75"/>
      <c r="E84" s="200"/>
      <c r="F84" s="37"/>
      <c r="G84" s="89"/>
      <c r="I84" s="9"/>
      <c r="J84" s="186"/>
    </row>
    <row r="85" spans="1:13" s="1" customFormat="1" ht="14.4" customHeight="1" x14ac:dyDescent="0.35">
      <c r="A85" s="224"/>
      <c r="B85" s="3"/>
      <c r="D85" s="75"/>
      <c r="E85" s="201"/>
      <c r="F85" s="37"/>
      <c r="G85" s="89"/>
      <c r="I85" s="9"/>
      <c r="J85" s="186"/>
    </row>
    <row r="86" spans="1:13" s="1" customFormat="1" ht="14.4" customHeight="1" x14ac:dyDescent="0.35">
      <c r="A86" s="224"/>
      <c r="B86" s="3"/>
      <c r="D86" s="75"/>
      <c r="E86" s="201"/>
      <c r="F86" s="37"/>
      <c r="G86" s="89"/>
      <c r="I86" s="9"/>
      <c r="J86" s="186"/>
    </row>
    <row r="87" spans="1:13" s="1" customFormat="1" ht="14.4" customHeight="1" x14ac:dyDescent="0.35">
      <c r="A87" s="224"/>
      <c r="B87" s="3"/>
      <c r="D87" s="75"/>
      <c r="E87" s="201"/>
      <c r="F87" s="37"/>
      <c r="G87" s="89"/>
      <c r="I87" s="9"/>
      <c r="J87" s="186"/>
    </row>
    <row r="88" spans="1:13" s="1" customFormat="1" ht="14.4" customHeight="1" x14ac:dyDescent="0.35">
      <c r="A88" s="224"/>
      <c r="B88" s="3"/>
      <c r="D88" s="75"/>
      <c r="E88" s="201"/>
      <c r="F88" s="37"/>
      <c r="G88" s="89"/>
      <c r="I88" s="9"/>
      <c r="J88" s="186"/>
    </row>
    <row r="89" spans="1:13" s="1" customFormat="1" ht="14.4" customHeight="1" x14ac:dyDescent="0.35">
      <c r="A89" s="224"/>
      <c r="B89" s="3"/>
      <c r="D89" s="75"/>
      <c r="E89" s="201"/>
      <c r="F89" s="37"/>
      <c r="G89" s="89"/>
      <c r="I89" s="9"/>
      <c r="J89" s="186"/>
    </row>
    <row r="90" spans="1:13" s="1" customFormat="1" ht="14.4" customHeight="1" x14ac:dyDescent="0.5">
      <c r="A90" s="227"/>
      <c r="B90" s="3"/>
      <c r="C90" s="68"/>
      <c r="D90" s="216"/>
      <c r="E90" s="201"/>
      <c r="F90" s="37"/>
      <c r="G90" s="90"/>
      <c r="I90" s="9"/>
      <c r="J90" s="186"/>
    </row>
    <row r="91" spans="1:13" s="1" customFormat="1" ht="14.4" customHeight="1" thickBot="1" x14ac:dyDescent="0.4">
      <c r="A91" s="228"/>
      <c r="B91" s="229"/>
      <c r="C91" s="236"/>
      <c r="D91" s="229"/>
      <c r="E91" s="231"/>
      <c r="F91" s="231"/>
      <c r="G91" s="89"/>
      <c r="I91" s="9"/>
      <c r="J91" s="186"/>
    </row>
    <row r="92" spans="1:13" s="1" customFormat="1" ht="14.4" customHeight="1" thickBot="1" x14ac:dyDescent="0.4">
      <c r="B92" s="3"/>
      <c r="C92" s="9"/>
      <c r="D92" s="3"/>
      <c r="G92" s="89"/>
      <c r="I92" s="9"/>
      <c r="J92" s="186"/>
    </row>
    <row r="93" spans="1:13" s="1" customFormat="1" ht="14.4" customHeight="1" x14ac:dyDescent="0.5">
      <c r="A93" s="217"/>
      <c r="B93" s="218"/>
      <c r="C93" s="219"/>
      <c r="D93" s="519"/>
      <c r="E93" s="519"/>
      <c r="F93" s="220"/>
      <c r="G93" s="35"/>
      <c r="I93" s="9"/>
      <c r="J93" s="193"/>
      <c r="K93" s="77"/>
      <c r="L93" s="79"/>
    </row>
    <row r="94" spans="1:13" s="1" customFormat="1" ht="14.4" customHeight="1" x14ac:dyDescent="0.35">
      <c r="A94" s="221"/>
      <c r="B94" s="3"/>
      <c r="C94" s="78"/>
      <c r="D94" s="210"/>
      <c r="E94" s="80"/>
      <c r="F94" s="80"/>
      <c r="G94" s="80"/>
      <c r="H94" s="80"/>
      <c r="I94" s="80"/>
      <c r="J94" s="80"/>
    </row>
    <row r="95" spans="1:13" s="1" customFormat="1" ht="14.4" customHeight="1" x14ac:dyDescent="0.35">
      <c r="A95" s="202"/>
      <c r="B95" s="85"/>
      <c r="C95" s="74"/>
      <c r="D95" s="74"/>
      <c r="E95" s="211"/>
      <c r="F95" s="211"/>
      <c r="G95" s="211"/>
      <c r="H95" s="211"/>
      <c r="I95" s="211"/>
      <c r="J95" s="211"/>
      <c r="K95" s="80"/>
    </row>
    <row r="96" spans="1:13" s="1" customFormat="1" ht="14.4" customHeight="1" x14ac:dyDescent="0.35">
      <c r="A96" s="224"/>
      <c r="B96" s="3"/>
      <c r="C96" s="14"/>
      <c r="D96" s="14"/>
      <c r="E96" s="212"/>
      <c r="F96" s="212"/>
      <c r="G96" s="212"/>
      <c r="H96" s="212"/>
      <c r="I96" s="212"/>
      <c r="J96" s="212"/>
      <c r="K96" s="3"/>
    </row>
    <row r="97" spans="1:11" s="1" customFormat="1" ht="14.4" customHeight="1" x14ac:dyDescent="0.35">
      <c r="A97" s="224"/>
      <c r="B97" s="3"/>
      <c r="C97" s="14"/>
      <c r="D97" s="14"/>
      <c r="E97" s="212"/>
      <c r="F97" s="212"/>
      <c r="G97" s="212"/>
      <c r="H97" s="212"/>
      <c r="I97" s="212"/>
      <c r="J97" s="212"/>
      <c r="K97" s="3"/>
    </row>
    <row r="98" spans="1:11" s="1" customFormat="1" ht="14.4" customHeight="1" x14ac:dyDescent="0.35">
      <c r="A98" s="224"/>
      <c r="B98" s="3"/>
      <c r="C98" s="14"/>
      <c r="D98" s="14"/>
      <c r="E98" s="212"/>
      <c r="F98" s="212"/>
      <c r="G98" s="212"/>
      <c r="H98" s="212"/>
      <c r="I98" s="212"/>
      <c r="J98" s="212"/>
      <c r="K98" s="3"/>
    </row>
    <row r="99" spans="1:11" s="1" customFormat="1" ht="14.4" customHeight="1" x14ac:dyDescent="0.35">
      <c r="A99" s="224"/>
      <c r="B99" s="3"/>
      <c r="C99" s="14"/>
      <c r="D99" s="14"/>
      <c r="E99" s="212"/>
      <c r="F99" s="212"/>
      <c r="G99" s="212"/>
      <c r="H99" s="212"/>
      <c r="I99" s="212"/>
      <c r="J99" s="212"/>
      <c r="K99" s="3"/>
    </row>
    <row r="100" spans="1:11" s="1" customFormat="1" ht="14.4" customHeight="1" x14ac:dyDescent="0.35">
      <c r="A100" s="224"/>
      <c r="B100" s="3"/>
      <c r="C100" s="14"/>
      <c r="D100" s="14"/>
      <c r="E100" s="212"/>
      <c r="F100" s="212"/>
      <c r="G100" s="212"/>
      <c r="H100" s="212"/>
      <c r="I100" s="212"/>
      <c r="J100" s="212"/>
      <c r="K100" s="3"/>
    </row>
    <row r="101" spans="1:11" s="1" customFormat="1" ht="14.4" customHeight="1" x14ac:dyDescent="0.5">
      <c r="A101" s="224"/>
      <c r="B101" s="3"/>
      <c r="C101" s="76"/>
      <c r="D101" s="76"/>
      <c r="E101" s="215"/>
      <c r="F101" s="215"/>
      <c r="G101" s="215"/>
      <c r="H101" s="215"/>
      <c r="I101" s="215"/>
      <c r="J101" s="215"/>
      <c r="K101" s="31"/>
    </row>
    <row r="102" spans="1:11" s="1" customFormat="1" ht="14.4" customHeight="1" x14ac:dyDescent="0.35">
      <c r="A102" s="224"/>
      <c r="B102" s="3"/>
      <c r="C102" s="14"/>
      <c r="D102" s="3"/>
      <c r="E102" s="3"/>
      <c r="F102" s="3"/>
      <c r="G102" s="3"/>
      <c r="H102" s="3"/>
      <c r="I102" s="3"/>
      <c r="J102" s="3"/>
      <c r="K102" s="3"/>
    </row>
    <row r="103" spans="1:11" s="1" customFormat="1" ht="14.4" customHeight="1" x14ac:dyDescent="0.35">
      <c r="A103" s="202"/>
      <c r="B103" s="3"/>
      <c r="G103" s="35"/>
      <c r="I103" s="9"/>
      <c r="J103" s="186"/>
    </row>
    <row r="104" spans="1:11" s="1" customFormat="1" ht="14.4" customHeight="1" x14ac:dyDescent="0.35">
      <c r="A104" s="221"/>
      <c r="B104" s="3"/>
      <c r="C104" s="78"/>
      <c r="D104" s="518"/>
      <c r="E104" s="518"/>
      <c r="F104" s="100"/>
      <c r="G104" s="100"/>
      <c r="I104" s="9"/>
      <c r="J104" s="186"/>
    </row>
    <row r="105" spans="1:11" s="1" customFormat="1" ht="14.4" customHeight="1" x14ac:dyDescent="0.35">
      <c r="A105" s="202"/>
      <c r="B105" s="85"/>
      <c r="C105" s="74"/>
      <c r="D105" s="74"/>
      <c r="E105" s="521"/>
      <c r="F105" s="521"/>
      <c r="G105" s="88"/>
      <c r="I105" s="9"/>
      <c r="J105" s="186"/>
    </row>
    <row r="106" spans="1:11" s="1" customFormat="1" ht="14.4" customHeight="1" x14ac:dyDescent="0.35">
      <c r="A106" s="224"/>
      <c r="B106" s="3"/>
      <c r="C106" s="75"/>
      <c r="D106" s="75"/>
      <c r="E106" s="67"/>
      <c r="F106" s="37"/>
      <c r="G106" s="89"/>
      <c r="I106" s="9"/>
      <c r="J106" s="186"/>
    </row>
    <row r="107" spans="1:11" s="1" customFormat="1" ht="14.4" customHeight="1" x14ac:dyDescent="0.35">
      <c r="A107" s="224"/>
      <c r="B107" s="3"/>
      <c r="D107" s="75"/>
      <c r="E107" s="203"/>
      <c r="F107" s="37"/>
      <c r="G107" s="89"/>
      <c r="I107" s="9"/>
      <c r="J107" s="186"/>
    </row>
    <row r="108" spans="1:11" s="1" customFormat="1" ht="14.4" customHeight="1" x14ac:dyDescent="0.35">
      <c r="A108" s="224"/>
      <c r="B108" s="3"/>
      <c r="D108" s="75"/>
      <c r="E108" s="203"/>
      <c r="F108" s="37"/>
      <c r="G108" s="89"/>
      <c r="I108" s="9"/>
      <c r="J108" s="186"/>
    </row>
    <row r="109" spans="1:11" s="1" customFormat="1" ht="14.4" customHeight="1" x14ac:dyDescent="0.35">
      <c r="A109" s="224"/>
      <c r="B109" s="3"/>
      <c r="D109" s="75"/>
      <c r="E109" s="203"/>
      <c r="F109" s="37"/>
      <c r="G109" s="89"/>
      <c r="I109" s="9"/>
      <c r="J109" s="186"/>
    </row>
    <row r="110" spans="1:11" s="1" customFormat="1" ht="14.4" customHeight="1" x14ac:dyDescent="0.35">
      <c r="A110" s="224"/>
      <c r="B110" s="3"/>
      <c r="D110" s="75"/>
      <c r="E110" s="203"/>
      <c r="F110" s="37"/>
      <c r="G110" s="89"/>
      <c r="I110" s="9"/>
      <c r="J110" s="186"/>
    </row>
    <row r="111" spans="1:11" s="1" customFormat="1" ht="14.4" customHeight="1" x14ac:dyDescent="0.5">
      <c r="A111" s="227"/>
      <c r="B111" s="3"/>
      <c r="C111" s="68"/>
      <c r="D111" s="216"/>
      <c r="E111" s="203"/>
      <c r="F111" s="37"/>
      <c r="G111" s="90"/>
      <c r="I111" s="9"/>
      <c r="J111" s="186"/>
    </row>
    <row r="112" spans="1:11" s="1" customFormat="1" ht="14.4" customHeight="1" thickBot="1" x14ac:dyDescent="0.4">
      <c r="A112" s="228"/>
      <c r="B112" s="229"/>
      <c r="C112" s="230"/>
      <c r="D112" s="229"/>
      <c r="E112" s="231"/>
      <c r="F112" s="231"/>
      <c r="G112" s="173"/>
      <c r="I112" s="9"/>
      <c r="J112" s="186"/>
    </row>
    <row r="113" spans="1:11" s="1" customFormat="1" ht="14.4" customHeight="1" thickBot="1" x14ac:dyDescent="0.4">
      <c r="B113" s="3"/>
      <c r="C113" s="173"/>
      <c r="D113" s="3"/>
      <c r="G113" s="173"/>
      <c r="I113" s="9"/>
      <c r="J113" s="186"/>
    </row>
    <row r="114" spans="1:11" s="1" customFormat="1" ht="14.4" customHeight="1" x14ac:dyDescent="0.5">
      <c r="A114" s="217"/>
      <c r="B114" s="218"/>
      <c r="C114" s="219"/>
      <c r="D114" s="519"/>
      <c r="E114" s="519"/>
      <c r="F114" s="220"/>
      <c r="G114" s="35"/>
      <c r="I114" s="9"/>
      <c r="J114" s="193"/>
      <c r="K114" s="77"/>
    </row>
    <row r="115" spans="1:11" s="1" customFormat="1" ht="14.4" customHeight="1" x14ac:dyDescent="0.35">
      <c r="A115" s="221"/>
      <c r="B115" s="3"/>
      <c r="C115" s="78"/>
      <c r="D115" s="210"/>
      <c r="E115" s="80"/>
      <c r="F115" s="80"/>
      <c r="G115" s="80"/>
      <c r="H115" s="80"/>
      <c r="I115" s="80"/>
    </row>
    <row r="116" spans="1:11" s="1" customFormat="1" ht="14.4" customHeight="1" x14ac:dyDescent="0.35">
      <c r="A116" s="202"/>
      <c r="B116" s="85"/>
      <c r="C116" s="74"/>
      <c r="D116" s="74"/>
      <c r="E116" s="211"/>
      <c r="F116" s="211"/>
      <c r="G116" s="211"/>
      <c r="H116" s="211"/>
      <c r="I116" s="211"/>
      <c r="J116" s="80"/>
    </row>
    <row r="117" spans="1:11" s="1" customFormat="1" ht="14.4" customHeight="1" x14ac:dyDescent="0.35">
      <c r="A117" s="224"/>
      <c r="B117" s="3"/>
      <c r="C117" s="14"/>
      <c r="D117" s="14"/>
      <c r="E117" s="212"/>
      <c r="F117" s="212"/>
      <c r="G117" s="212"/>
      <c r="H117" s="212"/>
      <c r="I117" s="212"/>
      <c r="J117" s="3"/>
    </row>
    <row r="118" spans="1:11" s="1" customFormat="1" ht="14.4" customHeight="1" x14ac:dyDescent="0.35">
      <c r="A118" s="224"/>
      <c r="B118" s="3"/>
      <c r="C118" s="14"/>
      <c r="D118" s="14"/>
      <c r="E118" s="212"/>
      <c r="F118" s="212"/>
      <c r="G118" s="212"/>
      <c r="H118" s="212"/>
      <c r="I118" s="212"/>
      <c r="J118" s="3"/>
    </row>
    <row r="119" spans="1:11" s="1" customFormat="1" ht="14.4" customHeight="1" x14ac:dyDescent="0.35">
      <c r="A119" s="224"/>
      <c r="B119" s="3"/>
      <c r="C119" s="14"/>
      <c r="D119" s="14"/>
      <c r="E119" s="212"/>
      <c r="F119" s="212"/>
      <c r="G119" s="212"/>
      <c r="H119" s="212"/>
      <c r="I119" s="212"/>
      <c r="J119" s="3"/>
    </row>
    <row r="120" spans="1:11" s="1" customFormat="1" ht="14.4" customHeight="1" x14ac:dyDescent="0.35">
      <c r="A120" s="224"/>
      <c r="B120" s="3"/>
      <c r="C120" s="14"/>
      <c r="D120" s="14"/>
      <c r="E120" s="212"/>
      <c r="F120" s="212"/>
      <c r="G120" s="212"/>
      <c r="H120" s="212"/>
      <c r="I120" s="212"/>
      <c r="J120" s="3"/>
    </row>
    <row r="121" spans="1:11" s="1" customFormat="1" ht="14.4" customHeight="1" x14ac:dyDescent="0.5">
      <c r="A121" s="224"/>
      <c r="B121" s="3"/>
      <c r="C121" s="76"/>
      <c r="D121" s="76"/>
      <c r="E121" s="215"/>
      <c r="F121" s="215"/>
      <c r="G121" s="215"/>
      <c r="H121" s="215"/>
      <c r="I121" s="215"/>
      <c r="J121" s="31"/>
    </row>
    <row r="122" spans="1:11" s="1" customFormat="1" ht="14.4" customHeight="1" x14ac:dyDescent="0.35">
      <c r="A122" s="224"/>
      <c r="B122" s="3"/>
      <c r="C122" s="14"/>
      <c r="D122" s="3"/>
      <c r="E122" s="3"/>
      <c r="F122" s="3"/>
      <c r="G122" s="3"/>
      <c r="H122" s="3"/>
      <c r="I122" s="3"/>
      <c r="J122" s="3"/>
    </row>
    <row r="123" spans="1:11" s="1" customFormat="1" ht="14.4" customHeight="1" x14ac:dyDescent="0.35">
      <c r="A123" s="202"/>
      <c r="B123" s="3"/>
      <c r="G123" s="35"/>
      <c r="I123" s="9"/>
      <c r="J123" s="186"/>
    </row>
    <row r="124" spans="1:11" s="1" customFormat="1" ht="14.4" customHeight="1" x14ac:dyDescent="0.35">
      <c r="A124" s="221"/>
      <c r="B124" s="100"/>
      <c r="C124" s="100"/>
      <c r="D124" s="518"/>
      <c r="E124" s="518"/>
      <c r="F124" s="100"/>
      <c r="G124" s="100"/>
      <c r="I124" s="9"/>
      <c r="J124" s="186"/>
    </row>
    <row r="125" spans="1:11" s="1" customFormat="1" ht="14.4" customHeight="1" x14ac:dyDescent="0.35">
      <c r="A125" s="202"/>
      <c r="B125" s="85"/>
      <c r="C125" s="74"/>
      <c r="D125" s="74"/>
      <c r="E125" s="521"/>
      <c r="F125" s="521"/>
      <c r="G125" s="88"/>
      <c r="I125" s="9"/>
      <c r="J125" s="186"/>
    </row>
    <row r="126" spans="1:11" s="1" customFormat="1" ht="14.4" customHeight="1" x14ac:dyDescent="0.35">
      <c r="A126" s="224"/>
      <c r="B126" s="3"/>
      <c r="C126" s="75"/>
      <c r="D126" s="75"/>
      <c r="E126" s="67"/>
      <c r="F126" s="37"/>
      <c r="G126" s="89"/>
      <c r="I126" s="9"/>
      <c r="J126" s="186"/>
    </row>
    <row r="127" spans="1:11" s="1" customFormat="1" ht="14.4" customHeight="1" x14ac:dyDescent="0.35">
      <c r="A127" s="224"/>
      <c r="B127" s="3"/>
      <c r="D127" s="75"/>
      <c r="E127" s="203"/>
      <c r="F127" s="37"/>
      <c r="G127" s="89"/>
      <c r="I127" s="9"/>
      <c r="J127" s="186"/>
    </row>
    <row r="128" spans="1:11" s="1" customFormat="1" ht="14.4" customHeight="1" x14ac:dyDescent="0.35">
      <c r="A128" s="224"/>
      <c r="B128" s="3"/>
      <c r="D128" s="75"/>
      <c r="E128" s="203"/>
      <c r="F128" s="37"/>
      <c r="G128" s="89"/>
      <c r="I128" s="9"/>
      <c r="J128" s="186"/>
    </row>
    <row r="129" spans="1:10" s="1" customFormat="1" ht="14.4" customHeight="1" x14ac:dyDescent="0.35">
      <c r="A129" s="224"/>
      <c r="B129" s="3"/>
      <c r="D129" s="75"/>
      <c r="E129" s="203"/>
      <c r="F129" s="37"/>
      <c r="G129" s="89"/>
      <c r="I129" s="9"/>
      <c r="J129" s="186"/>
    </row>
    <row r="130" spans="1:10" s="1" customFormat="1" ht="14.4" customHeight="1" x14ac:dyDescent="0.5">
      <c r="A130" s="199"/>
      <c r="B130" s="3"/>
      <c r="C130" s="68"/>
      <c r="D130" s="216"/>
      <c r="E130" s="203"/>
      <c r="F130" s="37"/>
      <c r="G130" s="90"/>
      <c r="I130" s="9"/>
      <c r="J130" s="186"/>
    </row>
    <row r="131" spans="1:10" s="1" customFormat="1" ht="14.4" customHeight="1" x14ac:dyDescent="0.35">
      <c r="B131" s="3"/>
      <c r="C131" s="173"/>
      <c r="D131" s="3"/>
      <c r="G131" s="173"/>
      <c r="I131" s="9"/>
      <c r="J131" s="186"/>
    </row>
    <row r="132" spans="1:10" s="1" customFormat="1" ht="14.4" customHeight="1" x14ac:dyDescent="0.35">
      <c r="B132" s="3"/>
      <c r="C132" s="173"/>
      <c r="D132" s="3"/>
      <c r="G132" s="173"/>
      <c r="I132" s="9"/>
      <c r="J132" s="186"/>
    </row>
    <row r="133" spans="1:10" s="1" customFormat="1" ht="14.4" customHeight="1" x14ac:dyDescent="0.35">
      <c r="A133" s="100"/>
      <c r="B133" s="3"/>
      <c r="C133" s="78"/>
      <c r="D133" s="518"/>
      <c r="E133" s="518"/>
      <c r="F133" s="75"/>
      <c r="G133" s="35"/>
      <c r="I133" s="9"/>
      <c r="J133" s="193"/>
    </row>
    <row r="134" spans="1:10" s="1" customFormat="1" ht="14.4" customHeight="1" x14ac:dyDescent="0.35">
      <c r="A134" s="100"/>
      <c r="B134" s="3"/>
      <c r="C134" s="78"/>
      <c r="D134" s="210"/>
      <c r="E134" s="80"/>
      <c r="F134" s="80"/>
      <c r="G134" s="80"/>
      <c r="H134" s="80"/>
      <c r="I134" s="80"/>
    </row>
    <row r="135" spans="1:10" s="1" customFormat="1" ht="14.4" customHeight="1" x14ac:dyDescent="0.35">
      <c r="A135" s="202"/>
      <c r="B135" s="85"/>
      <c r="C135" s="74"/>
      <c r="D135" s="74"/>
      <c r="E135" s="211"/>
      <c r="F135" s="211"/>
      <c r="G135" s="211"/>
      <c r="H135" s="211"/>
      <c r="I135" s="211"/>
      <c r="J135" s="80"/>
    </row>
    <row r="136" spans="1:10" s="1" customFormat="1" ht="14.4" customHeight="1" x14ac:dyDescent="0.35">
      <c r="A136" s="224"/>
      <c r="B136" s="3"/>
      <c r="C136" s="14"/>
      <c r="D136" s="3"/>
      <c r="E136" s="212"/>
      <c r="F136" s="212"/>
      <c r="G136" s="212"/>
      <c r="H136" s="212"/>
      <c r="I136" s="212"/>
      <c r="J136" s="3"/>
    </row>
    <row r="137" spans="1:10" s="1" customFormat="1" ht="14.4" customHeight="1" x14ac:dyDescent="0.35">
      <c r="A137" s="224"/>
      <c r="B137" s="3"/>
      <c r="C137" s="14"/>
      <c r="D137" s="3"/>
      <c r="E137" s="212"/>
      <c r="F137" s="212"/>
      <c r="G137" s="212"/>
      <c r="H137" s="212"/>
      <c r="I137" s="212"/>
      <c r="J137" s="3"/>
    </row>
    <row r="138" spans="1:10" s="1" customFormat="1" ht="14.4" customHeight="1" x14ac:dyDescent="0.35">
      <c r="A138" s="224"/>
      <c r="B138" s="3"/>
      <c r="C138" s="14"/>
      <c r="D138" s="3"/>
      <c r="E138" s="212"/>
      <c r="F138" s="212"/>
      <c r="G138" s="212"/>
      <c r="H138" s="212"/>
      <c r="I138" s="212"/>
      <c r="J138" s="3"/>
    </row>
    <row r="139" spans="1:10" s="1" customFormat="1" ht="14.4" customHeight="1" x14ac:dyDescent="0.35">
      <c r="A139" s="224"/>
      <c r="B139" s="3"/>
      <c r="C139" s="14"/>
      <c r="D139" s="3"/>
      <c r="E139" s="212"/>
      <c r="F139" s="212"/>
      <c r="G139" s="212"/>
      <c r="H139" s="212"/>
      <c r="I139" s="212"/>
      <c r="J139" s="3"/>
    </row>
    <row r="140" spans="1:10" s="1" customFormat="1" ht="14.4" customHeight="1" x14ac:dyDescent="0.5">
      <c r="A140" s="224"/>
      <c r="B140" s="3"/>
      <c r="C140" s="76"/>
      <c r="D140" s="31"/>
      <c r="E140" s="215"/>
      <c r="F140" s="215"/>
      <c r="G140" s="215"/>
      <c r="H140" s="215"/>
      <c r="I140" s="215"/>
      <c r="J140" s="31"/>
    </row>
    <row r="141" spans="1:10" s="1" customFormat="1" ht="14.4" customHeight="1" x14ac:dyDescent="0.35">
      <c r="A141" s="224"/>
      <c r="B141" s="3"/>
      <c r="C141" s="14"/>
      <c r="D141" s="3"/>
      <c r="E141" s="3"/>
      <c r="F141" s="3"/>
      <c r="G141" s="3"/>
      <c r="H141" s="3"/>
      <c r="I141" s="3"/>
      <c r="J141" s="3"/>
    </row>
    <row r="142" spans="1:10" s="1" customFormat="1" ht="14.4" customHeight="1" x14ac:dyDescent="0.35">
      <c r="A142" s="202"/>
      <c r="B142" s="3"/>
      <c r="C142" s="173"/>
      <c r="D142" s="3"/>
      <c r="G142" s="173"/>
      <c r="I142" s="9"/>
      <c r="J142" s="186"/>
    </row>
    <row r="143" spans="1:10" s="1" customFormat="1" ht="14.4" customHeight="1" x14ac:dyDescent="0.35">
      <c r="A143" s="221"/>
      <c r="B143" s="100"/>
      <c r="C143" s="100"/>
      <c r="D143" s="518"/>
      <c r="E143" s="518"/>
      <c r="F143" s="100"/>
      <c r="G143" s="100"/>
      <c r="I143" s="9"/>
      <c r="J143" s="186"/>
    </row>
    <row r="144" spans="1:10" s="1" customFormat="1" ht="14.4" customHeight="1" x14ac:dyDescent="0.35">
      <c r="A144" s="202"/>
      <c r="B144" s="85"/>
      <c r="C144" s="74"/>
      <c r="D144" s="74"/>
      <c r="E144" s="521"/>
      <c r="F144" s="521"/>
      <c r="G144" s="88"/>
      <c r="I144" s="9"/>
      <c r="J144" s="186"/>
    </row>
    <row r="145" spans="1:10" s="1" customFormat="1" ht="14.4" customHeight="1" x14ac:dyDescent="0.35">
      <c r="A145" s="224"/>
      <c r="B145" s="3"/>
      <c r="C145" s="75"/>
      <c r="D145" s="75"/>
      <c r="E145" s="67"/>
      <c r="F145" s="37"/>
      <c r="G145" s="89"/>
      <c r="I145" s="9"/>
      <c r="J145" s="186"/>
    </row>
    <row r="146" spans="1:10" s="1" customFormat="1" ht="14.4" customHeight="1" x14ac:dyDescent="0.35">
      <c r="A146" s="224"/>
      <c r="B146" s="3"/>
      <c r="D146" s="75"/>
      <c r="E146" s="204"/>
      <c r="F146" s="37"/>
      <c r="G146" s="89"/>
      <c r="I146" s="9"/>
      <c r="J146" s="186"/>
    </row>
    <row r="147" spans="1:10" s="1" customFormat="1" ht="14.4" customHeight="1" x14ac:dyDescent="0.35">
      <c r="A147" s="224"/>
      <c r="B147" s="3"/>
      <c r="D147" s="75"/>
      <c r="E147" s="204"/>
      <c r="F147" s="37"/>
      <c r="G147" s="89"/>
      <c r="I147" s="9"/>
      <c r="J147" s="186"/>
    </row>
    <row r="148" spans="1:10" s="1" customFormat="1" ht="14.4" customHeight="1" x14ac:dyDescent="0.35">
      <c r="A148" s="80"/>
      <c r="B148" s="3"/>
      <c r="D148" s="75"/>
      <c r="E148" s="204"/>
      <c r="F148" s="37"/>
      <c r="G148" s="89"/>
      <c r="I148" s="9"/>
      <c r="J148" s="186"/>
    </row>
    <row r="149" spans="1:10" s="1" customFormat="1" ht="14.4" customHeight="1" x14ac:dyDescent="0.5">
      <c r="A149" s="199"/>
      <c r="B149" s="3"/>
      <c r="C149" s="68"/>
      <c r="D149" s="216"/>
      <c r="E149" s="204"/>
      <c r="F149" s="37"/>
      <c r="G149" s="90"/>
      <c r="I149" s="9"/>
      <c r="J149" s="186"/>
    </row>
    <row r="150" spans="1:10" s="1" customFormat="1" ht="14.4" customHeight="1" x14ac:dyDescent="0.35">
      <c r="B150" s="3"/>
      <c r="C150" s="173"/>
      <c r="D150" s="3"/>
      <c r="G150" s="173"/>
      <c r="I150" s="9"/>
      <c r="J150" s="186"/>
    </row>
    <row r="151" spans="1:10" s="1" customFormat="1" ht="14.4" customHeight="1" x14ac:dyDescent="0.35">
      <c r="B151" s="3"/>
      <c r="C151" s="173"/>
      <c r="D151" s="3"/>
      <c r="G151" s="173"/>
      <c r="I151" s="9"/>
      <c r="J151" s="186"/>
    </row>
    <row r="152" spans="1:10" s="1" customFormat="1" ht="14.4" customHeight="1" x14ac:dyDescent="0.35">
      <c r="A152" s="100"/>
      <c r="B152" s="3"/>
      <c r="C152" s="78"/>
      <c r="D152" s="518"/>
      <c r="E152" s="518"/>
      <c r="F152" s="75"/>
      <c r="G152" s="35"/>
      <c r="I152" s="9"/>
      <c r="J152" s="193"/>
    </row>
    <row r="153" spans="1:10" s="1" customFormat="1" ht="14.4" customHeight="1" x14ac:dyDescent="0.35">
      <c r="A153" s="100"/>
      <c r="B153" s="3"/>
      <c r="C153" s="78"/>
      <c r="D153" s="210"/>
      <c r="E153" s="80"/>
      <c r="F153" s="80"/>
      <c r="G153" s="80"/>
      <c r="H153" s="80"/>
    </row>
    <row r="154" spans="1:10" s="1" customFormat="1" ht="14.4" customHeight="1" x14ac:dyDescent="0.35">
      <c r="B154" s="85"/>
      <c r="C154" s="74"/>
      <c r="D154" s="74"/>
      <c r="E154" s="211"/>
      <c r="F154" s="211"/>
      <c r="G154" s="211"/>
      <c r="H154" s="211"/>
      <c r="I154" s="80"/>
    </row>
    <row r="155" spans="1:10" s="1" customFormat="1" ht="14.4" customHeight="1" x14ac:dyDescent="0.35">
      <c r="A155" s="80"/>
      <c r="B155" s="3"/>
      <c r="C155" s="14"/>
      <c r="D155" s="14"/>
      <c r="E155" s="212"/>
      <c r="F155" s="212"/>
      <c r="G155" s="212"/>
      <c r="H155" s="212"/>
      <c r="I155" s="3"/>
    </row>
    <row r="156" spans="1:10" s="1" customFormat="1" ht="14.4" customHeight="1" x14ac:dyDescent="0.35">
      <c r="A156" s="80"/>
      <c r="B156" s="3"/>
      <c r="C156" s="14"/>
      <c r="D156" s="14"/>
      <c r="E156" s="212"/>
      <c r="F156" s="212"/>
      <c r="G156" s="212"/>
      <c r="H156" s="212"/>
      <c r="I156" s="3"/>
    </row>
    <row r="157" spans="1:10" s="1" customFormat="1" ht="14.4" customHeight="1" x14ac:dyDescent="0.35">
      <c r="A157" s="80"/>
      <c r="B157" s="3"/>
      <c r="C157" s="14"/>
      <c r="D157" s="14"/>
      <c r="E157" s="212"/>
      <c r="F157" s="212"/>
      <c r="G157" s="212"/>
      <c r="H157" s="212"/>
      <c r="I157" s="3"/>
    </row>
    <row r="158" spans="1:10" s="1" customFormat="1" ht="14.4" customHeight="1" x14ac:dyDescent="0.5">
      <c r="A158" s="80"/>
      <c r="B158" s="3"/>
      <c r="C158" s="76"/>
      <c r="D158" s="76"/>
      <c r="E158" s="215"/>
      <c r="F158" s="215"/>
      <c r="G158" s="215"/>
      <c r="H158" s="215"/>
      <c r="I158" s="31"/>
    </row>
    <row r="159" spans="1:10" s="1" customFormat="1" ht="14.4" customHeight="1" x14ac:dyDescent="0.35">
      <c r="A159" s="80"/>
      <c r="B159" s="3"/>
      <c r="C159" s="14"/>
      <c r="D159" s="3"/>
      <c r="E159" s="3"/>
      <c r="F159" s="3"/>
      <c r="G159" s="3"/>
      <c r="H159" s="3"/>
      <c r="I159" s="3"/>
    </row>
    <row r="160" spans="1:10" s="1" customFormat="1" ht="14.4" customHeight="1" x14ac:dyDescent="0.35">
      <c r="B160" s="3"/>
      <c r="G160" s="35"/>
      <c r="I160" s="9"/>
      <c r="J160" s="186"/>
    </row>
    <row r="161" spans="1:10" s="1" customFormat="1" ht="14.4" customHeight="1" x14ac:dyDescent="0.35">
      <c r="A161" s="100"/>
      <c r="C161" s="100"/>
      <c r="D161" s="518"/>
      <c r="E161" s="518"/>
      <c r="F161" s="100"/>
      <c r="G161" s="100"/>
      <c r="I161" s="9"/>
      <c r="J161" s="186"/>
    </row>
    <row r="162" spans="1:10" s="1" customFormat="1" ht="14.4" customHeight="1" x14ac:dyDescent="0.35">
      <c r="B162" s="85"/>
      <c r="C162" s="74"/>
      <c r="D162" s="74"/>
      <c r="E162" s="521"/>
      <c r="F162" s="521"/>
      <c r="G162" s="88"/>
      <c r="I162" s="9"/>
      <c r="J162" s="186"/>
    </row>
    <row r="163" spans="1:10" s="1" customFormat="1" ht="14.4" customHeight="1" x14ac:dyDescent="0.35">
      <c r="A163" s="80"/>
      <c r="B163" s="3"/>
      <c r="C163" s="75"/>
      <c r="D163" s="75"/>
      <c r="E163" s="67"/>
      <c r="F163" s="37"/>
      <c r="G163" s="89"/>
      <c r="I163" s="9"/>
      <c r="J163" s="186"/>
    </row>
    <row r="164" spans="1:10" s="1" customFormat="1" ht="14.4" customHeight="1" x14ac:dyDescent="0.35">
      <c r="A164" s="80"/>
      <c r="B164" s="3"/>
      <c r="D164" s="75"/>
      <c r="E164" s="204"/>
      <c r="F164" s="37"/>
      <c r="G164" s="89"/>
      <c r="I164" s="9"/>
      <c r="J164" s="186"/>
    </row>
    <row r="165" spans="1:10" s="1" customFormat="1" ht="14.4" customHeight="1" x14ac:dyDescent="0.35">
      <c r="A165" s="80"/>
      <c r="B165" s="3"/>
      <c r="D165" s="75"/>
      <c r="E165" s="204"/>
      <c r="F165" s="37"/>
      <c r="G165" s="89"/>
      <c r="I165" s="9"/>
      <c r="J165" s="186"/>
    </row>
    <row r="166" spans="1:10" s="1" customFormat="1" ht="14.4" customHeight="1" x14ac:dyDescent="0.5">
      <c r="A166" s="199"/>
      <c r="B166" s="3"/>
      <c r="C166" s="68"/>
      <c r="D166" s="77"/>
      <c r="E166" s="204"/>
      <c r="F166" s="37"/>
      <c r="G166" s="90"/>
      <c r="I166" s="9"/>
      <c r="J166" s="186"/>
    </row>
    <row r="167" spans="1:10" s="1" customFormat="1" ht="14.4" customHeight="1" x14ac:dyDescent="0.35">
      <c r="B167" s="3"/>
      <c r="C167" s="173"/>
      <c r="D167" s="3"/>
      <c r="G167" s="173"/>
      <c r="I167" s="9"/>
      <c r="J167" s="186"/>
    </row>
    <row r="168" spans="1:10" s="1" customFormat="1" ht="14.4" customHeight="1" x14ac:dyDescent="0.35">
      <c r="B168" s="3"/>
      <c r="C168" s="173"/>
      <c r="D168" s="206"/>
      <c r="G168" s="173"/>
      <c r="I168" s="9"/>
      <c r="J168" s="186"/>
    </row>
    <row r="169" spans="1:10" s="1" customFormat="1" ht="14.4" customHeight="1" x14ac:dyDescent="0.35">
      <c r="A169" s="100"/>
      <c r="B169" s="3"/>
      <c r="C169" s="78"/>
      <c r="D169" s="518"/>
      <c r="E169" s="518"/>
      <c r="F169" s="75"/>
      <c r="G169" s="35"/>
      <c r="I169" s="9"/>
      <c r="J169" s="186"/>
    </row>
    <row r="170" spans="1:10" s="1" customFormat="1" ht="14.4" customHeight="1" x14ac:dyDescent="0.35">
      <c r="A170" s="100"/>
      <c r="B170" s="3"/>
      <c r="C170" s="78"/>
      <c r="D170" s="210"/>
      <c r="E170" s="80"/>
      <c r="F170" s="80"/>
      <c r="G170" s="80"/>
      <c r="I170" s="186"/>
    </row>
    <row r="171" spans="1:10" s="1" customFormat="1" ht="14.4" customHeight="1" x14ac:dyDescent="0.35">
      <c r="B171" s="85"/>
      <c r="C171" s="74"/>
      <c r="D171" s="74"/>
      <c r="E171" s="211"/>
      <c r="F171" s="211"/>
      <c r="G171" s="211"/>
      <c r="H171" s="80"/>
      <c r="I171" s="186"/>
    </row>
    <row r="172" spans="1:10" s="1" customFormat="1" ht="14.4" customHeight="1" x14ac:dyDescent="0.35">
      <c r="A172" s="80"/>
      <c r="B172" s="3"/>
      <c r="C172" s="14"/>
      <c r="D172" s="14"/>
      <c r="E172" s="212"/>
      <c r="F172" s="212"/>
      <c r="G172" s="212"/>
      <c r="H172" s="3"/>
      <c r="I172" s="186"/>
    </row>
    <row r="173" spans="1:10" s="1" customFormat="1" ht="14.4" customHeight="1" x14ac:dyDescent="0.35">
      <c r="A173" s="80"/>
      <c r="B173" s="3"/>
      <c r="C173" s="14"/>
      <c r="D173" s="14"/>
      <c r="E173" s="212"/>
      <c r="F173" s="212"/>
      <c r="G173" s="212"/>
      <c r="H173" s="3"/>
      <c r="I173" s="186"/>
    </row>
    <row r="174" spans="1:10" s="1" customFormat="1" ht="14.4" customHeight="1" x14ac:dyDescent="0.5">
      <c r="A174" s="80"/>
      <c r="B174" s="3"/>
      <c r="C174" s="76"/>
      <c r="D174" s="76"/>
      <c r="E174" s="215"/>
      <c r="F174" s="215"/>
      <c r="G174" s="215"/>
      <c r="H174" s="31"/>
      <c r="I174" s="186"/>
    </row>
    <row r="175" spans="1:10" s="1" customFormat="1" ht="14.4" customHeight="1" x14ac:dyDescent="0.35">
      <c r="A175" s="80"/>
      <c r="B175" s="3"/>
      <c r="C175" s="14"/>
      <c r="D175" s="3"/>
      <c r="E175" s="3"/>
      <c r="F175" s="3"/>
      <c r="G175" s="3"/>
      <c r="H175" s="3"/>
      <c r="I175" s="186"/>
    </row>
    <row r="176" spans="1:10" s="1" customFormat="1" ht="14.4" customHeight="1" x14ac:dyDescent="0.35">
      <c r="B176" s="3"/>
      <c r="G176" s="35"/>
      <c r="I176" s="9"/>
      <c r="J176" s="186"/>
    </row>
    <row r="177" spans="1:10" s="1" customFormat="1" ht="14.4" customHeight="1" x14ac:dyDescent="0.35">
      <c r="A177" s="100"/>
      <c r="B177" s="100"/>
      <c r="C177" s="100"/>
      <c r="D177" s="518"/>
      <c r="E177" s="518"/>
      <c r="F177" s="100"/>
      <c r="G177" s="100"/>
      <c r="I177" s="9"/>
      <c r="J177" s="186"/>
    </row>
    <row r="178" spans="1:10" s="1" customFormat="1" ht="14.4" customHeight="1" x14ac:dyDescent="0.35">
      <c r="B178" s="85"/>
      <c r="C178" s="74"/>
      <c r="D178" s="74"/>
      <c r="E178" s="521"/>
      <c r="F178" s="521"/>
      <c r="G178" s="88"/>
      <c r="I178" s="9"/>
      <c r="J178" s="186"/>
    </row>
    <row r="179" spans="1:10" s="1" customFormat="1" ht="14.4" customHeight="1" x14ac:dyDescent="0.35">
      <c r="A179" s="80"/>
      <c r="B179" s="3"/>
      <c r="C179" s="75"/>
      <c r="D179" s="75"/>
      <c r="E179" s="67"/>
      <c r="F179" s="37"/>
      <c r="G179" s="172"/>
      <c r="I179" s="9"/>
      <c r="J179" s="186"/>
    </row>
    <row r="180" spans="1:10" s="1" customFormat="1" ht="14.4" customHeight="1" x14ac:dyDescent="0.35">
      <c r="A180" s="80"/>
      <c r="B180" s="3"/>
      <c r="D180" s="75"/>
      <c r="E180" s="204"/>
      <c r="F180" s="37"/>
      <c r="G180" s="172"/>
      <c r="I180" s="9"/>
      <c r="J180" s="186"/>
    </row>
    <row r="181" spans="1:10" s="1" customFormat="1" ht="14.4" customHeight="1" x14ac:dyDescent="0.5">
      <c r="A181" s="199"/>
      <c r="B181" s="3"/>
      <c r="C181" s="68"/>
      <c r="D181" s="216"/>
      <c r="E181" s="204"/>
      <c r="F181" s="37"/>
      <c r="G181" s="243"/>
      <c r="I181" s="9"/>
      <c r="J181" s="186"/>
    </row>
    <row r="182" spans="1:10" s="1" customFormat="1" ht="14.4" customHeight="1" x14ac:dyDescent="0.35">
      <c r="B182" s="3"/>
      <c r="C182" s="173"/>
      <c r="D182" s="3"/>
      <c r="G182" s="173"/>
      <c r="I182" s="9"/>
      <c r="J182" s="186"/>
    </row>
    <row r="183" spans="1:10" s="1" customFormat="1" ht="14.4" customHeight="1" x14ac:dyDescent="0.35">
      <c r="B183" s="3"/>
      <c r="C183" s="173"/>
      <c r="D183" s="3"/>
      <c r="G183" s="173"/>
      <c r="I183" s="9"/>
      <c r="J183" s="186"/>
    </row>
    <row r="184" spans="1:10" s="1" customFormat="1" ht="14.4" customHeight="1" x14ac:dyDescent="0.35">
      <c r="A184" s="100"/>
      <c r="B184" s="3"/>
      <c r="C184" s="78"/>
      <c r="D184" s="518"/>
      <c r="E184" s="518"/>
      <c r="F184" s="75"/>
      <c r="G184" s="35"/>
      <c r="I184" s="9"/>
      <c r="J184" s="186"/>
    </row>
    <row r="185" spans="1:10" s="1" customFormat="1" ht="14.4" customHeight="1" x14ac:dyDescent="0.35">
      <c r="A185" s="100"/>
      <c r="B185" s="3"/>
      <c r="C185" s="78"/>
      <c r="D185" s="210"/>
      <c r="E185" s="80"/>
      <c r="F185" s="80"/>
      <c r="H185" s="9"/>
      <c r="I185" s="186"/>
    </row>
    <row r="186" spans="1:10" s="1" customFormat="1" ht="14.4" customHeight="1" x14ac:dyDescent="0.35">
      <c r="B186" s="85"/>
      <c r="C186" s="74"/>
      <c r="D186" s="74"/>
      <c r="E186" s="211"/>
      <c r="F186" s="211"/>
      <c r="G186" s="80"/>
      <c r="H186" s="9"/>
      <c r="I186" s="186"/>
    </row>
    <row r="187" spans="1:10" s="1" customFormat="1" ht="14.4" customHeight="1" x14ac:dyDescent="0.35">
      <c r="A187" s="80"/>
      <c r="B187" s="3"/>
      <c r="C187" s="14"/>
      <c r="D187" s="14"/>
      <c r="E187" s="212"/>
      <c r="F187" s="212"/>
      <c r="G187" s="3"/>
      <c r="H187" s="9"/>
      <c r="I187" s="186"/>
    </row>
    <row r="188" spans="1:10" s="1" customFormat="1" ht="14.4" customHeight="1" x14ac:dyDescent="0.5">
      <c r="A188" s="80"/>
      <c r="B188" s="3"/>
      <c r="C188" s="76"/>
      <c r="D188" s="76"/>
      <c r="E188" s="215"/>
      <c r="F188" s="215"/>
      <c r="G188" s="31"/>
      <c r="H188" s="9"/>
      <c r="I188" s="186"/>
    </row>
    <row r="189" spans="1:10" s="1" customFormat="1" ht="14.4" customHeight="1" x14ac:dyDescent="0.35">
      <c r="A189" s="80"/>
      <c r="B189" s="3"/>
      <c r="C189" s="14"/>
      <c r="D189" s="3"/>
      <c r="E189" s="3"/>
      <c r="F189" s="3"/>
      <c r="G189" s="3"/>
      <c r="H189" s="9"/>
      <c r="I189" s="186"/>
    </row>
    <row r="190" spans="1:10" s="1" customFormat="1" ht="14.4" customHeight="1" x14ac:dyDescent="0.35">
      <c r="B190" s="3"/>
      <c r="G190" s="35"/>
      <c r="I190" s="9"/>
      <c r="J190" s="186"/>
    </row>
    <row r="191" spans="1:10" s="1" customFormat="1" ht="14.4" customHeight="1" x14ac:dyDescent="0.35">
      <c r="A191" s="100"/>
      <c r="B191" s="100"/>
      <c r="C191" s="100"/>
      <c r="D191" s="518"/>
      <c r="E191" s="518"/>
      <c r="F191" s="100"/>
      <c r="G191" s="100"/>
      <c r="I191" s="9"/>
      <c r="J191" s="186"/>
    </row>
    <row r="192" spans="1:10" s="1" customFormat="1" ht="14.4" customHeight="1" x14ac:dyDescent="0.35">
      <c r="B192" s="85"/>
      <c r="C192" s="74"/>
      <c r="D192" s="74"/>
      <c r="E192" s="521"/>
      <c r="F192" s="521"/>
      <c r="G192" s="88"/>
      <c r="I192" s="9"/>
      <c r="J192" s="186"/>
    </row>
    <row r="193" spans="1:10" s="1" customFormat="1" ht="14.4" customHeight="1" x14ac:dyDescent="0.35">
      <c r="A193" s="80"/>
      <c r="B193" s="3"/>
      <c r="C193" s="75"/>
      <c r="D193" s="75"/>
      <c r="E193" s="67"/>
      <c r="F193" s="37"/>
      <c r="G193" s="172"/>
      <c r="I193" s="9"/>
      <c r="J193" s="186"/>
    </row>
    <row r="194" spans="1:10" s="1" customFormat="1" ht="14.4" customHeight="1" x14ac:dyDescent="0.5">
      <c r="A194" s="199"/>
      <c r="B194" s="3"/>
      <c r="C194" s="68"/>
      <c r="D194" s="216"/>
      <c r="E194" s="204"/>
      <c r="F194" s="37"/>
      <c r="G194" s="243"/>
      <c r="I194" s="9"/>
      <c r="J194" s="186"/>
    </row>
    <row r="195" spans="1:10" s="1" customFormat="1" ht="14.4" customHeight="1" x14ac:dyDescent="0.35">
      <c r="B195" s="3"/>
      <c r="C195" s="173"/>
      <c r="D195" s="3"/>
      <c r="G195" s="173"/>
      <c r="I195" s="9"/>
      <c r="J195" s="186"/>
    </row>
    <row r="196" spans="1:10" s="1" customFormat="1" ht="14.4" customHeight="1" x14ac:dyDescent="0.35">
      <c r="B196" s="3"/>
      <c r="G196" s="35"/>
      <c r="I196" s="9"/>
      <c r="J196" s="186"/>
    </row>
    <row r="197" spans="1:10" s="1" customFormat="1" ht="14.4" customHeight="1" x14ac:dyDescent="0.35">
      <c r="A197" s="100"/>
      <c r="B197" s="3"/>
      <c r="C197" s="78"/>
      <c r="D197" s="518"/>
      <c r="E197" s="518"/>
      <c r="F197" s="75"/>
      <c r="G197" s="35"/>
      <c r="I197" s="9"/>
      <c r="J197" s="186"/>
    </row>
    <row r="198" spans="1:10" s="1" customFormat="1" ht="14.4" customHeight="1" x14ac:dyDescent="0.35">
      <c r="A198" s="100"/>
      <c r="B198" s="3"/>
      <c r="C198" s="78"/>
      <c r="D198" s="210"/>
      <c r="E198" s="80"/>
      <c r="F198" s="80"/>
      <c r="G198" s="80"/>
      <c r="I198" s="186"/>
      <c r="J198" s="186"/>
    </row>
    <row r="199" spans="1:10" s="1" customFormat="1" ht="14.4" customHeight="1" x14ac:dyDescent="0.35">
      <c r="B199" s="85"/>
      <c r="C199" s="74"/>
      <c r="D199" s="74"/>
      <c r="E199" s="211"/>
      <c r="F199" s="211"/>
      <c r="G199" s="211"/>
      <c r="H199" s="80"/>
      <c r="I199" s="186"/>
      <c r="J199" s="186"/>
    </row>
    <row r="200" spans="1:10" s="1" customFormat="1" ht="14.4" customHeight="1" x14ac:dyDescent="0.35">
      <c r="A200" s="80"/>
      <c r="B200" s="3"/>
      <c r="C200" s="14"/>
      <c r="D200" s="14"/>
      <c r="E200" s="212"/>
      <c r="F200" s="212"/>
      <c r="G200" s="212"/>
      <c r="H200" s="3"/>
      <c r="I200" s="186"/>
      <c r="J200" s="186"/>
    </row>
    <row r="201" spans="1:10" s="1" customFormat="1" ht="14.4" customHeight="1" x14ac:dyDescent="0.35">
      <c r="A201" s="80"/>
      <c r="B201" s="3"/>
      <c r="C201" s="14"/>
      <c r="D201" s="14"/>
      <c r="E201" s="212"/>
      <c r="F201" s="212"/>
      <c r="G201" s="212"/>
      <c r="H201" s="3"/>
      <c r="I201" s="186"/>
      <c r="J201" s="186"/>
    </row>
    <row r="202" spans="1:10" s="1" customFormat="1" ht="14.4" customHeight="1" x14ac:dyDescent="0.5">
      <c r="A202" s="80"/>
      <c r="B202" s="3"/>
      <c r="C202" s="76"/>
      <c r="D202" s="76"/>
      <c r="E202" s="215"/>
      <c r="F202" s="215"/>
      <c r="G202" s="215"/>
      <c r="H202" s="31"/>
      <c r="I202" s="186"/>
      <c r="J202" s="186"/>
    </row>
    <row r="203" spans="1:10" s="1" customFormat="1" ht="14.4" customHeight="1" x14ac:dyDescent="0.35">
      <c r="A203" s="80"/>
      <c r="B203" s="3"/>
      <c r="C203" s="14"/>
      <c r="D203" s="3"/>
      <c r="E203" s="3"/>
      <c r="F203" s="3"/>
      <c r="G203" s="3"/>
      <c r="H203" s="3"/>
      <c r="I203" s="186"/>
      <c r="J203" s="186"/>
    </row>
    <row r="204" spans="1:10" s="1" customFormat="1" ht="14.4" customHeight="1" x14ac:dyDescent="0.35">
      <c r="B204" s="3"/>
      <c r="G204" s="35"/>
      <c r="I204" s="9"/>
      <c r="J204" s="186"/>
    </row>
    <row r="205" spans="1:10" s="1" customFormat="1" ht="14.4" customHeight="1" x14ac:dyDescent="0.35">
      <c r="A205" s="100"/>
      <c r="B205" s="100"/>
      <c r="C205" s="100"/>
      <c r="D205" s="518"/>
      <c r="E205" s="518"/>
      <c r="F205" s="100"/>
      <c r="G205" s="100"/>
      <c r="I205" s="9"/>
      <c r="J205" s="186"/>
    </row>
    <row r="206" spans="1:10" s="1" customFormat="1" ht="14.4" customHeight="1" x14ac:dyDescent="0.35">
      <c r="B206" s="85"/>
      <c r="C206" s="74"/>
      <c r="D206" s="74"/>
      <c r="E206" s="521"/>
      <c r="F206" s="521"/>
      <c r="G206" s="88"/>
      <c r="I206" s="9"/>
      <c r="J206" s="186"/>
    </row>
    <row r="207" spans="1:10" s="1" customFormat="1" ht="14.4" customHeight="1" x14ac:dyDescent="0.35">
      <c r="A207" s="80"/>
      <c r="B207" s="3"/>
      <c r="C207" s="75"/>
      <c r="D207" s="75"/>
      <c r="E207" s="67"/>
      <c r="F207" s="37"/>
      <c r="G207" s="172"/>
      <c r="I207" s="9"/>
      <c r="J207" s="186"/>
    </row>
    <row r="208" spans="1:10" s="1" customFormat="1" ht="14.4" customHeight="1" x14ac:dyDescent="0.35">
      <c r="A208" s="80"/>
      <c r="B208" s="3"/>
      <c r="D208" s="75"/>
      <c r="E208" s="204"/>
      <c r="F208" s="37"/>
      <c r="G208" s="172"/>
      <c r="I208" s="9"/>
      <c r="J208" s="186"/>
    </row>
    <row r="209" spans="1:10" s="1" customFormat="1" ht="14.4" customHeight="1" x14ac:dyDescent="0.5">
      <c r="A209" s="199"/>
      <c r="B209" s="3"/>
      <c r="C209" s="68"/>
      <c r="D209" s="216"/>
      <c r="E209" s="204"/>
      <c r="F209" s="37"/>
      <c r="G209" s="243"/>
      <c r="I209" s="9"/>
      <c r="J209" s="186"/>
    </row>
    <row r="210" spans="1:10" s="1" customFormat="1" ht="14.4" customHeight="1" x14ac:dyDescent="0.35">
      <c r="B210" s="3"/>
      <c r="C210" s="173"/>
      <c r="D210" s="3"/>
      <c r="G210" s="173"/>
      <c r="I210" s="9"/>
      <c r="J210" s="186"/>
    </row>
    <row r="211" spans="1:10" s="1" customFormat="1" ht="14.4" customHeight="1" x14ac:dyDescent="0.35">
      <c r="B211" s="3"/>
      <c r="C211" s="173"/>
      <c r="D211" s="3"/>
      <c r="G211" s="173"/>
      <c r="I211" s="9"/>
      <c r="J211" s="186"/>
    </row>
    <row r="212" spans="1:10" s="1" customFormat="1" ht="14.4" customHeight="1" x14ac:dyDescent="0.35">
      <c r="B212" s="3"/>
      <c r="G212" s="35"/>
      <c r="I212" s="9"/>
      <c r="J212" s="186"/>
    </row>
    <row r="213" spans="1:10" s="1" customFormat="1" ht="14.4" customHeight="1" x14ac:dyDescent="0.35">
      <c r="B213" s="3"/>
      <c r="G213" s="35"/>
      <c r="I213" s="9"/>
      <c r="J213" s="186"/>
    </row>
    <row r="214" spans="1:10" s="1" customFormat="1" ht="14.4" customHeight="1" x14ac:dyDescent="0.35">
      <c r="B214" s="3"/>
      <c r="G214" s="35"/>
      <c r="I214" s="9"/>
      <c r="J214" s="186"/>
    </row>
    <row r="215" spans="1:10" s="1" customFormat="1" ht="14.4" customHeight="1" x14ac:dyDescent="0.35">
      <c r="B215" s="3"/>
      <c r="D215" s="75"/>
      <c r="G215" s="35"/>
      <c r="I215" s="9"/>
      <c r="J215" s="186"/>
    </row>
    <row r="216" spans="1:10" s="1" customFormat="1" ht="14.4" customHeight="1" x14ac:dyDescent="0.35">
      <c r="B216" s="3"/>
      <c r="G216" s="35"/>
      <c r="I216" s="9"/>
      <c r="J216" s="186"/>
    </row>
    <row r="217" spans="1:10" s="1" customFormat="1" ht="14.4" customHeight="1" x14ac:dyDescent="0.35">
      <c r="B217" s="3"/>
      <c r="G217" s="35"/>
      <c r="I217" s="9"/>
      <c r="J217" s="186"/>
    </row>
    <row r="218" spans="1:10" s="1" customFormat="1" ht="14.4" customHeight="1" x14ac:dyDescent="0.35">
      <c r="B218" s="3"/>
      <c r="G218" s="35"/>
      <c r="I218" s="9"/>
      <c r="J218" s="186"/>
    </row>
    <row r="219" spans="1:10" s="1" customFormat="1" ht="14.4" customHeight="1" x14ac:dyDescent="0.35">
      <c r="B219" s="3"/>
      <c r="G219" s="245"/>
      <c r="I219" s="9"/>
      <c r="J219" s="186"/>
    </row>
    <row r="220" spans="1:10" s="1" customFormat="1" ht="14.4" customHeight="1" x14ac:dyDescent="0.35">
      <c r="B220" s="3"/>
      <c r="G220" s="35"/>
      <c r="I220" s="9"/>
      <c r="J220" s="186"/>
    </row>
    <row r="221" spans="1:10" s="1" customFormat="1" ht="14.4" customHeight="1" x14ac:dyDescent="0.35">
      <c r="B221" s="3"/>
      <c r="G221" s="35"/>
      <c r="I221" s="9"/>
      <c r="J221" s="186"/>
    </row>
    <row r="222" spans="1:10" s="1" customFormat="1" ht="14.4" customHeight="1" x14ac:dyDescent="0.35">
      <c r="B222" s="3"/>
      <c r="G222" s="35"/>
      <c r="I222" s="9"/>
      <c r="J222" s="186"/>
    </row>
    <row r="223" spans="1:10" s="1" customFormat="1" ht="14.4" customHeight="1" x14ac:dyDescent="0.35">
      <c r="B223" s="3"/>
      <c r="G223" s="35"/>
      <c r="I223" s="9"/>
      <c r="J223" s="186"/>
    </row>
    <row r="224" spans="1:10" s="1" customFormat="1" ht="14.4" customHeight="1" x14ac:dyDescent="0.35">
      <c r="B224" s="3"/>
      <c r="G224" s="35"/>
      <c r="I224" s="9"/>
      <c r="J224" s="186"/>
    </row>
    <row r="225" spans="2:10" s="1" customFormat="1" ht="14.4" customHeight="1" x14ac:dyDescent="0.35">
      <c r="B225" s="3"/>
      <c r="G225" s="35"/>
      <c r="I225" s="9"/>
      <c r="J225" s="186"/>
    </row>
    <row r="226" spans="2:10" s="1" customFormat="1" ht="14.4" customHeight="1" x14ac:dyDescent="0.35">
      <c r="B226" s="3"/>
      <c r="G226" s="35"/>
      <c r="I226" s="9"/>
      <c r="J226" s="186"/>
    </row>
    <row r="227" spans="2:10" s="1" customFormat="1" ht="14.4" customHeight="1" x14ac:dyDescent="0.35">
      <c r="B227" s="3"/>
      <c r="G227" s="35"/>
      <c r="I227" s="9"/>
      <c r="J227" s="186"/>
    </row>
    <row r="228" spans="2:10" s="1" customFormat="1" ht="14.4" customHeight="1" x14ac:dyDescent="0.35">
      <c r="B228" s="3"/>
      <c r="G228" s="35"/>
      <c r="I228" s="9"/>
      <c r="J228" s="186"/>
    </row>
    <row r="229" spans="2:10" s="1" customFormat="1" ht="14.4" customHeight="1" x14ac:dyDescent="0.35">
      <c r="B229" s="3"/>
      <c r="G229" s="35"/>
      <c r="I229" s="9"/>
      <c r="J229" s="186"/>
    </row>
    <row r="230" spans="2:10" s="1" customFormat="1" ht="14.4" customHeight="1" x14ac:dyDescent="0.35">
      <c r="B230" s="3"/>
      <c r="G230" s="35"/>
      <c r="I230" s="9"/>
      <c r="J230" s="186"/>
    </row>
    <row r="231" spans="2:10" s="1" customFormat="1" ht="14.4" customHeight="1" x14ac:dyDescent="0.35">
      <c r="B231" s="3"/>
      <c r="G231" s="35"/>
      <c r="I231" s="9"/>
      <c r="J231" s="186"/>
    </row>
    <row r="232" spans="2:10" s="1" customFormat="1" ht="14.4" customHeight="1" x14ac:dyDescent="0.35">
      <c r="B232" s="3"/>
      <c r="G232" s="35"/>
      <c r="I232" s="9"/>
      <c r="J232" s="186"/>
    </row>
    <row r="233" spans="2:10" s="1" customFormat="1" ht="14.4" customHeight="1" x14ac:dyDescent="0.35">
      <c r="B233" s="3"/>
      <c r="G233" s="35"/>
      <c r="I233" s="9"/>
      <c r="J233" s="186"/>
    </row>
    <row r="234" spans="2:10" s="1" customFormat="1" ht="14.4" customHeight="1" x14ac:dyDescent="0.35">
      <c r="B234" s="3"/>
      <c r="G234" s="35"/>
      <c r="I234" s="9"/>
      <c r="J234" s="186"/>
    </row>
    <row r="235" spans="2:10" s="1" customFormat="1" ht="14.4" customHeight="1" x14ac:dyDescent="0.35">
      <c r="B235" s="3"/>
      <c r="G235" s="35"/>
      <c r="I235" s="9"/>
      <c r="J235" s="186"/>
    </row>
    <row r="236" spans="2:10" s="1" customFormat="1" ht="14.4" customHeight="1" x14ac:dyDescent="0.35">
      <c r="B236" s="3"/>
      <c r="G236" s="35"/>
      <c r="I236" s="9"/>
      <c r="J236" s="186"/>
    </row>
    <row r="237" spans="2:10" s="1" customFormat="1" ht="14.4" customHeight="1" x14ac:dyDescent="0.35">
      <c r="B237" s="3"/>
      <c r="G237" s="35"/>
      <c r="I237" s="9"/>
      <c r="J237" s="186"/>
    </row>
    <row r="238" spans="2:10" s="1" customFormat="1" ht="14.4" customHeight="1" x14ac:dyDescent="0.35">
      <c r="B238" s="3"/>
      <c r="G238" s="35"/>
      <c r="I238" s="9"/>
      <c r="J238" s="186"/>
    </row>
    <row r="239" spans="2:10" s="1" customFormat="1" ht="14.4" customHeight="1" x14ac:dyDescent="0.35">
      <c r="B239" s="3"/>
      <c r="G239" s="35"/>
      <c r="I239" s="9"/>
      <c r="J239" s="186"/>
    </row>
    <row r="240" spans="2:10" s="1" customFormat="1" ht="14.4" customHeight="1" x14ac:dyDescent="0.35">
      <c r="B240" s="3"/>
      <c r="G240" s="35"/>
      <c r="I240" s="9"/>
      <c r="J240" s="186"/>
    </row>
    <row r="241" spans="2:10" s="1" customFormat="1" ht="14.4" customHeight="1" x14ac:dyDescent="0.35">
      <c r="B241" s="3"/>
      <c r="G241" s="35"/>
      <c r="I241" s="9"/>
      <c r="J241" s="186"/>
    </row>
    <row r="242" spans="2:10" s="1" customFormat="1" ht="14.4" customHeight="1" x14ac:dyDescent="0.35">
      <c r="B242" s="3"/>
      <c r="G242" s="35"/>
      <c r="I242" s="9"/>
      <c r="J242" s="186"/>
    </row>
    <row r="243" spans="2:10" s="1" customFormat="1" ht="14.4" customHeight="1" x14ac:dyDescent="0.35">
      <c r="B243" s="3"/>
      <c r="G243" s="35"/>
      <c r="I243" s="9"/>
      <c r="J243" s="186"/>
    </row>
    <row r="244" spans="2:10" s="1" customFormat="1" ht="14.4" customHeight="1" x14ac:dyDescent="0.35">
      <c r="B244" s="3"/>
      <c r="G244" s="35"/>
      <c r="I244" s="9"/>
      <c r="J244" s="186"/>
    </row>
    <row r="245" spans="2:10" s="1" customFormat="1" ht="14.4" customHeight="1" x14ac:dyDescent="0.35">
      <c r="B245" s="3"/>
      <c r="G245" s="35"/>
      <c r="I245" s="9"/>
      <c r="J245" s="186"/>
    </row>
    <row r="246" spans="2:10" s="1" customFormat="1" ht="14.4" customHeight="1" x14ac:dyDescent="0.35">
      <c r="B246" s="3"/>
      <c r="G246" s="35"/>
      <c r="I246" s="9"/>
      <c r="J246" s="186"/>
    </row>
    <row r="247" spans="2:10" s="1" customFormat="1" ht="14.4" customHeight="1" x14ac:dyDescent="0.35">
      <c r="B247" s="3"/>
      <c r="G247" s="35"/>
      <c r="I247" s="9"/>
      <c r="J247" s="186"/>
    </row>
    <row r="248" spans="2:10" s="1" customFormat="1" ht="14.4" customHeight="1" x14ac:dyDescent="0.35">
      <c r="B248" s="3"/>
      <c r="G248" s="35"/>
      <c r="I248" s="9"/>
      <c r="J248" s="186"/>
    </row>
    <row r="249" spans="2:10" s="1" customFormat="1" ht="14.4" customHeight="1" x14ac:dyDescent="0.35">
      <c r="B249" s="3"/>
      <c r="G249" s="35"/>
      <c r="I249" s="9"/>
      <c r="J249" s="186"/>
    </row>
    <row r="250" spans="2:10" s="1" customFormat="1" ht="14.4" customHeight="1" x14ac:dyDescent="0.35">
      <c r="B250" s="3"/>
      <c r="G250" s="35"/>
      <c r="I250" s="9"/>
      <c r="J250" s="186"/>
    </row>
    <row r="251" spans="2:10" s="1" customFormat="1" ht="14.4" customHeight="1" x14ac:dyDescent="0.35">
      <c r="B251" s="3"/>
      <c r="G251" s="35"/>
      <c r="I251" s="9"/>
      <c r="J251" s="186"/>
    </row>
    <row r="252" spans="2:10" s="1" customFormat="1" ht="14.4" customHeight="1" x14ac:dyDescent="0.35">
      <c r="B252" s="3"/>
      <c r="G252" s="35"/>
      <c r="I252" s="9"/>
      <c r="J252" s="186"/>
    </row>
    <row r="253" spans="2:10" s="1" customFormat="1" ht="14.4" customHeight="1" x14ac:dyDescent="0.35">
      <c r="B253" s="3"/>
      <c r="G253" s="35"/>
      <c r="I253" s="9"/>
      <c r="J253" s="186"/>
    </row>
    <row r="254" spans="2:10" s="1" customFormat="1" ht="14.4" customHeight="1" x14ac:dyDescent="0.35">
      <c r="B254" s="3"/>
      <c r="G254" s="35"/>
      <c r="I254" s="9"/>
      <c r="J254" s="186"/>
    </row>
    <row r="255" spans="2:10" s="1" customFormat="1" ht="14.4" customHeight="1" x14ac:dyDescent="0.35">
      <c r="B255" s="3"/>
      <c r="G255" s="35"/>
      <c r="I255" s="9"/>
      <c r="J255" s="186"/>
    </row>
    <row r="256" spans="2:10" s="1" customFormat="1" ht="14.4" customHeight="1" x14ac:dyDescent="0.35">
      <c r="B256" s="3"/>
      <c r="G256" s="35"/>
      <c r="I256" s="9"/>
      <c r="J256" s="186"/>
    </row>
    <row r="257" spans="2:10" s="1" customFormat="1" ht="14.4" customHeight="1" x14ac:dyDescent="0.35">
      <c r="B257" s="3"/>
      <c r="G257" s="35"/>
      <c r="I257" s="9"/>
      <c r="J257" s="186"/>
    </row>
    <row r="258" spans="2:10" s="1" customFormat="1" ht="14.4" customHeight="1" x14ac:dyDescent="0.35">
      <c r="B258" s="3"/>
      <c r="G258" s="35"/>
      <c r="I258" s="9"/>
      <c r="J258" s="186"/>
    </row>
    <row r="259" spans="2:10" s="1" customFormat="1" ht="14.4" customHeight="1" x14ac:dyDescent="0.35">
      <c r="B259" s="3"/>
      <c r="G259" s="35"/>
      <c r="I259" s="9"/>
      <c r="J259" s="186"/>
    </row>
    <row r="260" spans="2:10" s="1" customFormat="1" ht="14.4" customHeight="1" x14ac:dyDescent="0.35">
      <c r="B260" s="3"/>
      <c r="G260" s="35"/>
      <c r="I260" s="9"/>
      <c r="J260" s="186"/>
    </row>
    <row r="261" spans="2:10" s="1" customFormat="1" ht="14.4" customHeight="1" x14ac:dyDescent="0.35">
      <c r="B261" s="3"/>
      <c r="G261" s="35"/>
      <c r="I261" s="9"/>
      <c r="J261" s="186"/>
    </row>
    <row r="262" spans="2:10" s="1" customFormat="1" ht="14.4" customHeight="1" x14ac:dyDescent="0.35">
      <c r="B262" s="3"/>
      <c r="G262" s="35"/>
      <c r="I262" s="9"/>
      <c r="J262" s="186"/>
    </row>
    <row r="263" spans="2:10" s="1" customFormat="1" ht="14.4" customHeight="1" x14ac:dyDescent="0.35">
      <c r="B263" s="3"/>
      <c r="G263" s="35"/>
      <c r="I263" s="9"/>
      <c r="J263" s="186"/>
    </row>
    <row r="264" spans="2:10" s="1" customFormat="1" ht="14.4" customHeight="1" x14ac:dyDescent="0.35">
      <c r="B264" s="3"/>
      <c r="G264" s="35"/>
      <c r="I264" s="9"/>
      <c r="J264" s="186"/>
    </row>
    <row r="265" spans="2:10" s="1" customFormat="1" ht="14.4" customHeight="1" x14ac:dyDescent="0.35">
      <c r="B265" s="3"/>
      <c r="G265" s="35"/>
      <c r="I265" s="9"/>
      <c r="J265" s="186"/>
    </row>
    <row r="266" spans="2:10" s="1" customFormat="1" ht="14.4" customHeight="1" x14ac:dyDescent="0.35">
      <c r="B266" s="3"/>
      <c r="G266" s="35"/>
      <c r="I266" s="9"/>
      <c r="J266" s="186"/>
    </row>
    <row r="267" spans="2:10" s="1" customFormat="1" ht="14.4" customHeight="1" x14ac:dyDescent="0.35">
      <c r="B267" s="3"/>
      <c r="G267" s="35"/>
      <c r="I267" s="9"/>
      <c r="J267" s="186"/>
    </row>
    <row r="268" spans="2:10" s="1" customFormat="1" ht="14.4" customHeight="1" x14ac:dyDescent="0.35">
      <c r="B268" s="3"/>
      <c r="G268" s="35"/>
      <c r="I268" s="9"/>
      <c r="J268" s="186"/>
    </row>
    <row r="269" spans="2:10" s="1" customFormat="1" ht="14.4" customHeight="1" x14ac:dyDescent="0.35">
      <c r="B269" s="3"/>
      <c r="G269" s="35"/>
      <c r="I269" s="9"/>
      <c r="J269" s="186"/>
    </row>
    <row r="270" spans="2:10" s="1" customFormat="1" ht="14.4" customHeight="1" x14ac:dyDescent="0.35">
      <c r="B270" s="3"/>
      <c r="G270" s="35"/>
      <c r="I270" s="9"/>
      <c r="J270" s="186"/>
    </row>
    <row r="271" spans="2:10" s="1" customFormat="1" ht="14.4" customHeight="1" x14ac:dyDescent="0.35">
      <c r="B271" s="3"/>
      <c r="G271" s="35"/>
      <c r="I271" s="9"/>
      <c r="J271" s="186"/>
    </row>
    <row r="272" spans="2:10" s="1" customFormat="1" ht="14.4" customHeight="1" x14ac:dyDescent="0.35">
      <c r="B272" s="3"/>
      <c r="G272" s="35"/>
      <c r="I272" s="9"/>
      <c r="J272" s="186"/>
    </row>
    <row r="273" spans="2:10" s="1" customFormat="1" ht="14.4" customHeight="1" x14ac:dyDescent="0.35">
      <c r="B273" s="3"/>
      <c r="G273" s="35"/>
      <c r="I273" s="9"/>
      <c r="J273" s="186"/>
    </row>
    <row r="274" spans="2:10" s="1" customFormat="1" ht="14.4" customHeight="1" x14ac:dyDescent="0.35">
      <c r="B274" s="3"/>
      <c r="G274" s="35"/>
      <c r="I274" s="9"/>
      <c r="J274" s="186"/>
    </row>
    <row r="275" spans="2:10" s="1" customFormat="1" ht="14.4" customHeight="1" x14ac:dyDescent="0.35">
      <c r="B275" s="3"/>
      <c r="G275" s="35"/>
      <c r="I275" s="9"/>
      <c r="J275" s="186"/>
    </row>
    <row r="276" spans="2:10" s="1" customFormat="1" ht="14.4" customHeight="1" x14ac:dyDescent="0.35">
      <c r="B276" s="3"/>
      <c r="G276" s="35"/>
      <c r="I276" s="9"/>
      <c r="J276" s="186"/>
    </row>
    <row r="277" spans="2:10" s="1" customFormat="1" ht="14.4" customHeight="1" x14ac:dyDescent="0.35">
      <c r="B277" s="3"/>
      <c r="G277" s="35"/>
      <c r="I277" s="9"/>
      <c r="J277" s="186"/>
    </row>
    <row r="278" spans="2:10" s="1" customFormat="1" ht="14.4" customHeight="1" x14ac:dyDescent="0.35">
      <c r="B278" s="3"/>
      <c r="G278" s="35"/>
      <c r="I278" s="9"/>
      <c r="J278" s="186"/>
    </row>
    <row r="279" spans="2:10" s="1" customFormat="1" ht="14.4" customHeight="1" x14ac:dyDescent="0.35">
      <c r="B279" s="3"/>
      <c r="G279" s="35"/>
      <c r="I279" s="9"/>
      <c r="J279" s="186"/>
    </row>
    <row r="280" spans="2:10" s="1" customFormat="1" ht="14.4" customHeight="1" x14ac:dyDescent="0.35">
      <c r="B280" s="3"/>
      <c r="G280" s="35"/>
      <c r="I280" s="9"/>
      <c r="J280" s="186"/>
    </row>
    <row r="281" spans="2:10" s="1" customFormat="1" ht="14.4" customHeight="1" x14ac:dyDescent="0.35">
      <c r="B281" s="3"/>
      <c r="G281" s="35"/>
      <c r="I281" s="9"/>
      <c r="J281" s="186"/>
    </row>
    <row r="282" spans="2:10" s="1" customFormat="1" ht="14.4" customHeight="1" x14ac:dyDescent="0.35">
      <c r="B282" s="3"/>
      <c r="G282" s="35"/>
      <c r="I282" s="9"/>
      <c r="J282" s="186"/>
    </row>
    <row r="283" spans="2:10" s="1" customFormat="1" ht="14.4" customHeight="1" x14ac:dyDescent="0.35">
      <c r="B283" s="3"/>
      <c r="G283" s="35"/>
      <c r="I283" s="9"/>
      <c r="J283" s="186"/>
    </row>
    <row r="284" spans="2:10" s="1" customFormat="1" ht="14.4" customHeight="1" x14ac:dyDescent="0.35">
      <c r="B284" s="3"/>
      <c r="G284" s="35"/>
      <c r="I284" s="9"/>
      <c r="J284" s="186"/>
    </row>
    <row r="285" spans="2:10" s="1" customFormat="1" ht="14.4" customHeight="1" x14ac:dyDescent="0.35">
      <c r="B285" s="3"/>
      <c r="G285" s="35"/>
      <c r="I285" s="9"/>
      <c r="J285" s="186"/>
    </row>
    <row r="286" spans="2:10" s="1" customFormat="1" ht="14.4" customHeight="1" x14ac:dyDescent="0.35">
      <c r="B286" s="3"/>
      <c r="G286" s="35"/>
      <c r="I286" s="9"/>
      <c r="J286" s="186"/>
    </row>
    <row r="287" spans="2:10" s="1" customFormat="1" ht="14.4" customHeight="1" x14ac:dyDescent="0.35">
      <c r="B287" s="3"/>
      <c r="G287" s="35"/>
      <c r="I287" s="9"/>
      <c r="J287" s="186"/>
    </row>
    <row r="288" spans="2:10" s="1" customFormat="1" ht="14.4" customHeight="1" x14ac:dyDescent="0.35">
      <c r="B288" s="3"/>
      <c r="G288" s="35"/>
      <c r="I288" s="9"/>
      <c r="J288" s="186"/>
    </row>
    <row r="289" spans="2:10" s="1" customFormat="1" ht="14.4" customHeight="1" x14ac:dyDescent="0.35">
      <c r="B289" s="3"/>
      <c r="G289" s="35"/>
      <c r="I289" s="9"/>
      <c r="J289" s="186"/>
    </row>
    <row r="290" spans="2:10" s="1" customFormat="1" ht="14.4" customHeight="1" x14ac:dyDescent="0.35">
      <c r="B290" s="3"/>
      <c r="G290" s="35"/>
      <c r="I290" s="9"/>
      <c r="J290" s="186"/>
    </row>
    <row r="291" spans="2:10" s="1" customFormat="1" ht="14.4" customHeight="1" x14ac:dyDescent="0.35">
      <c r="B291" s="3"/>
      <c r="G291" s="35"/>
      <c r="I291" s="9"/>
      <c r="J291" s="186"/>
    </row>
    <row r="292" spans="2:10" s="1" customFormat="1" ht="14.4" customHeight="1" x14ac:dyDescent="0.35">
      <c r="B292" s="3"/>
      <c r="G292" s="35"/>
      <c r="I292" s="9"/>
      <c r="J292" s="186"/>
    </row>
    <row r="293" spans="2:10" s="1" customFormat="1" ht="14.4" customHeight="1" x14ac:dyDescent="0.35">
      <c r="B293" s="3"/>
      <c r="G293" s="35"/>
      <c r="I293" s="9"/>
      <c r="J293" s="186"/>
    </row>
    <row r="294" spans="2:10" s="1" customFormat="1" ht="14.4" customHeight="1" x14ac:dyDescent="0.35">
      <c r="B294" s="3"/>
      <c r="G294" s="35"/>
      <c r="I294" s="9"/>
      <c r="J294" s="186"/>
    </row>
    <row r="295" spans="2:10" s="1" customFormat="1" ht="14.4" customHeight="1" x14ac:dyDescent="0.35">
      <c r="B295" s="3"/>
      <c r="G295" s="35"/>
      <c r="I295" s="9"/>
      <c r="J295" s="186"/>
    </row>
    <row r="296" spans="2:10" s="1" customFormat="1" ht="14.4" customHeight="1" x14ac:dyDescent="0.35">
      <c r="B296" s="3"/>
      <c r="G296" s="35"/>
      <c r="I296" s="9"/>
      <c r="J296" s="186"/>
    </row>
    <row r="297" spans="2:10" s="1" customFormat="1" ht="14.4" customHeight="1" x14ac:dyDescent="0.35">
      <c r="B297" s="3"/>
      <c r="G297" s="35"/>
      <c r="I297" s="9"/>
      <c r="J297" s="186"/>
    </row>
    <row r="298" spans="2:10" s="1" customFormat="1" ht="14.4" customHeight="1" x14ac:dyDescent="0.35">
      <c r="B298" s="3"/>
      <c r="G298" s="35"/>
      <c r="I298" s="9"/>
      <c r="J298" s="186"/>
    </row>
    <row r="299" spans="2:10" s="1" customFormat="1" ht="14.4" customHeight="1" x14ac:dyDescent="0.35">
      <c r="B299" s="3"/>
      <c r="G299" s="35"/>
      <c r="I299" s="9"/>
      <c r="J299" s="186"/>
    </row>
    <row r="300" spans="2:10" s="1" customFormat="1" ht="14.4" customHeight="1" x14ac:dyDescent="0.35">
      <c r="B300" s="3"/>
      <c r="G300" s="35"/>
      <c r="I300" s="9"/>
      <c r="J300" s="186"/>
    </row>
    <row r="301" spans="2:10" s="1" customFormat="1" ht="14.5" x14ac:dyDescent="0.35">
      <c r="B301" s="3"/>
      <c r="G301" s="35"/>
      <c r="I301" s="9"/>
      <c r="J301" s="186"/>
    </row>
    <row r="302" spans="2:10" s="1" customFormat="1" ht="14.5" x14ac:dyDescent="0.35">
      <c r="B302" s="3"/>
      <c r="G302" s="35"/>
      <c r="I302" s="9"/>
      <c r="J302" s="186"/>
    </row>
    <row r="303" spans="2:10" s="1" customFormat="1" ht="14.5" x14ac:dyDescent="0.35">
      <c r="B303" s="3"/>
      <c r="G303" s="35"/>
      <c r="I303" s="9"/>
      <c r="J303" s="186"/>
    </row>
    <row r="304" spans="2:10" s="1" customFormat="1" ht="14.5" x14ac:dyDescent="0.35">
      <c r="B304" s="3"/>
      <c r="G304" s="35"/>
      <c r="I304" s="9"/>
      <c r="J304" s="186"/>
    </row>
    <row r="305" spans="2:10" s="1" customFormat="1" ht="14.5" x14ac:dyDescent="0.35">
      <c r="B305" s="3"/>
      <c r="G305" s="35"/>
      <c r="I305" s="9"/>
      <c r="J305" s="186"/>
    </row>
    <row r="306" spans="2:10" s="1" customFormat="1" ht="14.5" x14ac:dyDescent="0.35">
      <c r="B306" s="3"/>
      <c r="G306" s="35"/>
      <c r="I306" s="9"/>
      <c r="J306" s="186"/>
    </row>
    <row r="307" spans="2:10" s="1" customFormat="1" ht="14.5" x14ac:dyDescent="0.35">
      <c r="B307" s="3"/>
      <c r="G307" s="35"/>
      <c r="I307" s="9"/>
      <c r="J307" s="186"/>
    </row>
    <row r="308" spans="2:10" s="1" customFormat="1" ht="14.5" x14ac:dyDescent="0.35">
      <c r="B308" s="3"/>
      <c r="G308" s="35"/>
      <c r="I308" s="9"/>
      <c r="J308" s="186"/>
    </row>
    <row r="309" spans="2:10" s="1" customFormat="1" ht="14.5" x14ac:dyDescent="0.35">
      <c r="B309" s="3"/>
      <c r="G309" s="35"/>
      <c r="I309" s="9"/>
      <c r="J309" s="186"/>
    </row>
    <row r="310" spans="2:10" s="1" customFormat="1" ht="14.5" x14ac:dyDescent="0.35">
      <c r="B310" s="3"/>
      <c r="G310" s="35"/>
      <c r="I310" s="9"/>
      <c r="J310" s="186"/>
    </row>
    <row r="311" spans="2:10" s="1" customFormat="1" ht="14.5" x14ac:dyDescent="0.35">
      <c r="B311" s="3"/>
      <c r="G311" s="35"/>
      <c r="I311" s="9"/>
      <c r="J311" s="186"/>
    </row>
    <row r="312" spans="2:10" s="1" customFormat="1" ht="14.5" x14ac:dyDescent="0.35">
      <c r="B312" s="3"/>
      <c r="G312" s="35"/>
      <c r="I312" s="9"/>
      <c r="J312" s="186"/>
    </row>
    <row r="313" spans="2:10" s="1" customFormat="1" ht="14.5" x14ac:dyDescent="0.35">
      <c r="B313" s="3"/>
      <c r="G313" s="35"/>
      <c r="I313" s="9"/>
      <c r="J313" s="186"/>
    </row>
    <row r="314" spans="2:10" s="1" customFormat="1" ht="14.5" x14ac:dyDescent="0.35">
      <c r="B314" s="3"/>
      <c r="G314" s="35"/>
      <c r="I314" s="9"/>
      <c r="J314" s="186"/>
    </row>
    <row r="315" spans="2:10" s="1" customFormat="1" ht="14.5" x14ac:dyDescent="0.35">
      <c r="B315" s="3"/>
      <c r="G315" s="35"/>
      <c r="I315" s="9"/>
      <c r="J315" s="186"/>
    </row>
    <row r="316" spans="2:10" s="1" customFormat="1" ht="14.5" x14ac:dyDescent="0.35">
      <c r="B316" s="3"/>
      <c r="G316" s="35"/>
      <c r="I316" s="9"/>
      <c r="J316" s="186"/>
    </row>
    <row r="317" spans="2:10" s="1" customFormat="1" ht="14.5" x14ac:dyDescent="0.35">
      <c r="B317" s="3"/>
      <c r="G317" s="35"/>
      <c r="I317" s="9"/>
      <c r="J317" s="186"/>
    </row>
    <row r="318" spans="2:10" s="1" customFormat="1" ht="14.5" x14ac:dyDescent="0.35">
      <c r="B318" s="3"/>
      <c r="G318" s="35"/>
      <c r="I318" s="9"/>
      <c r="J318" s="186"/>
    </row>
    <row r="319" spans="2:10" s="1" customFormat="1" ht="14.5" x14ac:dyDescent="0.35">
      <c r="B319" s="3"/>
      <c r="G319" s="35"/>
      <c r="I319" s="9"/>
      <c r="J319" s="186"/>
    </row>
    <row r="320" spans="2:10" s="1" customFormat="1" ht="14.5" x14ac:dyDescent="0.35">
      <c r="B320" s="3"/>
      <c r="G320" s="35"/>
      <c r="I320" s="9"/>
      <c r="J320" s="186"/>
    </row>
    <row r="321" spans="2:10" s="1" customFormat="1" ht="14.5" x14ac:dyDescent="0.35">
      <c r="B321" s="3"/>
      <c r="G321" s="35"/>
      <c r="I321" s="9"/>
      <c r="J321" s="186"/>
    </row>
    <row r="322" spans="2:10" s="1" customFormat="1" ht="14.5" x14ac:dyDescent="0.35">
      <c r="B322" s="3"/>
      <c r="G322" s="35"/>
      <c r="I322" s="9"/>
      <c r="J322" s="186"/>
    </row>
    <row r="323" spans="2:10" s="1" customFormat="1" ht="14.5" x14ac:dyDescent="0.35">
      <c r="B323" s="3"/>
      <c r="G323" s="35"/>
      <c r="I323" s="9"/>
      <c r="J323" s="186"/>
    </row>
    <row r="324" spans="2:10" s="1" customFormat="1" ht="14.5" x14ac:dyDescent="0.35">
      <c r="B324" s="3"/>
      <c r="G324" s="35"/>
      <c r="I324" s="9"/>
      <c r="J324" s="186"/>
    </row>
    <row r="325" spans="2:10" s="1" customFormat="1" ht="14.5" x14ac:dyDescent="0.35">
      <c r="B325" s="3"/>
      <c r="G325" s="35"/>
      <c r="I325" s="9"/>
      <c r="J325" s="186"/>
    </row>
    <row r="326" spans="2:10" s="1" customFormat="1" ht="14.5" x14ac:dyDescent="0.35">
      <c r="B326" s="3"/>
      <c r="G326" s="35"/>
      <c r="I326" s="9"/>
      <c r="J326" s="186"/>
    </row>
    <row r="327" spans="2:10" s="1" customFormat="1" ht="14.5" x14ac:dyDescent="0.35">
      <c r="B327" s="3"/>
      <c r="G327" s="35"/>
      <c r="I327" s="9"/>
      <c r="J327" s="186"/>
    </row>
    <row r="328" spans="2:10" s="1" customFormat="1" ht="14.5" x14ac:dyDescent="0.35">
      <c r="B328" s="3"/>
      <c r="G328" s="35"/>
      <c r="I328" s="9"/>
      <c r="J328" s="186"/>
    </row>
    <row r="329" spans="2:10" s="1" customFormat="1" ht="14.5" x14ac:dyDescent="0.35">
      <c r="B329" s="3"/>
      <c r="G329" s="35"/>
      <c r="I329" s="9"/>
      <c r="J329" s="186"/>
    </row>
    <row r="330" spans="2:10" s="1" customFormat="1" ht="14.5" x14ac:dyDescent="0.35">
      <c r="B330" s="3"/>
      <c r="G330" s="35"/>
      <c r="I330" s="9"/>
      <c r="J330" s="186"/>
    </row>
    <row r="331" spans="2:10" s="1" customFormat="1" ht="14.5" x14ac:dyDescent="0.35">
      <c r="B331" s="3"/>
      <c r="G331" s="35"/>
      <c r="I331" s="9"/>
      <c r="J331" s="186"/>
    </row>
    <row r="332" spans="2:10" s="1" customFormat="1" ht="14.5" x14ac:dyDescent="0.35">
      <c r="B332" s="3"/>
      <c r="G332" s="35"/>
      <c r="I332" s="9"/>
      <c r="J332" s="186"/>
    </row>
    <row r="333" spans="2:10" s="1" customFormat="1" ht="14.5" x14ac:dyDescent="0.35">
      <c r="B333" s="3"/>
      <c r="G333" s="35"/>
      <c r="I333" s="9"/>
      <c r="J333" s="186"/>
    </row>
    <row r="334" spans="2:10" s="1" customFormat="1" ht="14.5" x14ac:dyDescent="0.35">
      <c r="B334" s="3"/>
      <c r="G334" s="35"/>
      <c r="I334" s="9"/>
      <c r="J334" s="186"/>
    </row>
    <row r="335" spans="2:10" s="1" customFormat="1" ht="14.5" x14ac:dyDescent="0.35">
      <c r="B335" s="3"/>
      <c r="G335" s="35"/>
      <c r="I335" s="9"/>
      <c r="J335" s="186"/>
    </row>
    <row r="336" spans="2:10" s="1" customFormat="1" ht="14.5" x14ac:dyDescent="0.35">
      <c r="B336" s="3"/>
      <c r="G336" s="35"/>
      <c r="I336" s="9"/>
      <c r="J336" s="186"/>
    </row>
    <row r="337" spans="2:10" s="1" customFormat="1" ht="14.5" x14ac:dyDescent="0.35">
      <c r="B337" s="3"/>
      <c r="G337" s="35"/>
      <c r="I337" s="9"/>
      <c r="J337" s="186"/>
    </row>
    <row r="338" spans="2:10" s="1" customFormat="1" ht="14.5" x14ac:dyDescent="0.35">
      <c r="B338" s="3"/>
      <c r="G338" s="35"/>
      <c r="I338" s="9"/>
      <c r="J338" s="186"/>
    </row>
    <row r="339" spans="2:10" s="1" customFormat="1" ht="14.5" x14ac:dyDescent="0.35">
      <c r="B339" s="3"/>
      <c r="G339" s="35"/>
      <c r="I339" s="9"/>
      <c r="J339" s="186"/>
    </row>
    <row r="340" spans="2:10" s="1" customFormat="1" ht="14.5" x14ac:dyDescent="0.35">
      <c r="B340" s="3"/>
      <c r="G340" s="35"/>
      <c r="I340" s="9"/>
      <c r="J340" s="186"/>
    </row>
    <row r="341" spans="2:10" s="1" customFormat="1" ht="14.5" x14ac:dyDescent="0.35">
      <c r="B341" s="3"/>
      <c r="G341" s="35"/>
      <c r="I341" s="9"/>
      <c r="J341" s="186"/>
    </row>
    <row r="342" spans="2:10" s="1" customFormat="1" ht="14.5" x14ac:dyDescent="0.35">
      <c r="B342" s="3"/>
      <c r="G342" s="35"/>
      <c r="I342" s="9"/>
      <c r="J342" s="186"/>
    </row>
    <row r="343" spans="2:10" s="1" customFormat="1" ht="14.5" x14ac:dyDescent="0.35">
      <c r="B343" s="3"/>
      <c r="G343" s="35"/>
      <c r="I343" s="9"/>
      <c r="J343" s="186"/>
    </row>
    <row r="344" spans="2:10" s="1" customFormat="1" ht="14.5" x14ac:dyDescent="0.35">
      <c r="B344" s="3"/>
      <c r="G344" s="35"/>
      <c r="I344" s="9"/>
      <c r="J344" s="186"/>
    </row>
    <row r="345" spans="2:10" s="1" customFormat="1" ht="14.5" x14ac:dyDescent="0.35">
      <c r="B345" s="3"/>
      <c r="G345" s="35"/>
      <c r="I345" s="9"/>
      <c r="J345" s="186"/>
    </row>
    <row r="346" spans="2:10" s="1" customFormat="1" ht="14.5" x14ac:dyDescent="0.35">
      <c r="B346" s="3"/>
      <c r="G346" s="35"/>
      <c r="I346" s="9"/>
      <c r="J346" s="186"/>
    </row>
    <row r="347" spans="2:10" s="1" customFormat="1" ht="14.5" x14ac:dyDescent="0.35">
      <c r="B347" s="3"/>
      <c r="G347" s="35"/>
      <c r="I347" s="9"/>
      <c r="J347" s="186"/>
    </row>
    <row r="348" spans="2:10" s="1" customFormat="1" ht="14.5" x14ac:dyDescent="0.35">
      <c r="B348" s="3"/>
      <c r="G348" s="35"/>
      <c r="I348" s="9"/>
      <c r="J348" s="186"/>
    </row>
    <row r="349" spans="2:10" s="1" customFormat="1" ht="14.5" x14ac:dyDescent="0.35">
      <c r="B349" s="3"/>
      <c r="G349" s="35"/>
      <c r="I349" s="9"/>
      <c r="J349" s="186"/>
    </row>
    <row r="350" spans="2:10" s="1" customFormat="1" ht="14.5" x14ac:dyDescent="0.35">
      <c r="B350" s="3"/>
      <c r="G350" s="35"/>
      <c r="I350" s="9"/>
      <c r="J350" s="186"/>
    </row>
    <row r="351" spans="2:10" s="1" customFormat="1" ht="14.5" x14ac:dyDescent="0.35">
      <c r="B351" s="3"/>
      <c r="G351" s="35"/>
      <c r="I351" s="9"/>
      <c r="J351" s="186"/>
    </row>
    <row r="352" spans="2:10" s="1" customFormat="1" ht="14.5" x14ac:dyDescent="0.35">
      <c r="B352" s="3"/>
      <c r="G352" s="35"/>
      <c r="I352" s="9"/>
      <c r="J352" s="186"/>
    </row>
    <row r="353" spans="2:10" s="1" customFormat="1" ht="14.5" x14ac:dyDescent="0.35">
      <c r="B353" s="3"/>
      <c r="G353" s="35"/>
      <c r="I353" s="9"/>
      <c r="J353" s="186"/>
    </row>
    <row r="354" spans="2:10" s="1" customFormat="1" ht="14.5" x14ac:dyDescent="0.35">
      <c r="B354" s="3"/>
      <c r="G354" s="35"/>
      <c r="I354" s="9"/>
      <c r="J354" s="186"/>
    </row>
    <row r="355" spans="2:10" s="1" customFormat="1" ht="14.5" x14ac:dyDescent="0.35">
      <c r="B355" s="3"/>
      <c r="G355" s="35"/>
      <c r="I355" s="9"/>
      <c r="J355" s="186"/>
    </row>
    <row r="356" spans="2:10" s="1" customFormat="1" ht="14.5" x14ac:dyDescent="0.35">
      <c r="B356" s="3"/>
      <c r="G356" s="35"/>
      <c r="I356" s="9"/>
      <c r="J356" s="186"/>
    </row>
    <row r="357" spans="2:10" s="1" customFormat="1" ht="14.5" x14ac:dyDescent="0.35">
      <c r="B357" s="3"/>
      <c r="G357" s="35"/>
      <c r="I357" s="9"/>
      <c r="J357" s="186"/>
    </row>
    <row r="358" spans="2:10" s="1" customFormat="1" ht="14.5" x14ac:dyDescent="0.35">
      <c r="B358" s="3"/>
      <c r="G358" s="35"/>
      <c r="I358" s="9"/>
      <c r="J358" s="186"/>
    </row>
    <row r="359" spans="2:10" s="1" customFormat="1" ht="14.5" x14ac:dyDescent="0.35">
      <c r="B359" s="3"/>
      <c r="G359" s="35"/>
      <c r="I359" s="9"/>
      <c r="J359" s="186"/>
    </row>
    <row r="360" spans="2:10" s="1" customFormat="1" ht="14.5" x14ac:dyDescent="0.35">
      <c r="B360" s="3"/>
      <c r="G360" s="35"/>
      <c r="I360" s="9"/>
      <c r="J360" s="186"/>
    </row>
    <row r="361" spans="2:10" s="1" customFormat="1" ht="14.5" x14ac:dyDescent="0.35">
      <c r="B361" s="3"/>
      <c r="G361" s="35"/>
      <c r="I361" s="9"/>
      <c r="J361" s="186"/>
    </row>
    <row r="362" spans="2:10" s="1" customFormat="1" ht="14.5" x14ac:dyDescent="0.35">
      <c r="B362" s="3"/>
      <c r="G362" s="35"/>
      <c r="I362" s="9"/>
      <c r="J362" s="186"/>
    </row>
    <row r="363" spans="2:10" s="1" customFormat="1" ht="14.5" x14ac:dyDescent="0.35">
      <c r="B363" s="3"/>
      <c r="G363" s="35"/>
      <c r="I363" s="9"/>
      <c r="J363" s="186"/>
    </row>
    <row r="364" spans="2:10" s="1" customFormat="1" ht="14.5" x14ac:dyDescent="0.35">
      <c r="B364" s="3"/>
      <c r="G364" s="35"/>
      <c r="I364" s="9"/>
      <c r="J364" s="186"/>
    </row>
    <row r="365" spans="2:10" s="1" customFormat="1" ht="14.5" x14ac:dyDescent="0.35">
      <c r="B365" s="3"/>
      <c r="G365" s="35"/>
      <c r="I365" s="9"/>
      <c r="J365" s="186"/>
    </row>
    <row r="366" spans="2:10" s="1" customFormat="1" ht="14.5" x14ac:dyDescent="0.35">
      <c r="B366" s="3"/>
      <c r="G366" s="35"/>
      <c r="I366" s="9"/>
      <c r="J366" s="186"/>
    </row>
    <row r="367" spans="2:10" s="1" customFormat="1" ht="14.5" x14ac:dyDescent="0.35">
      <c r="B367" s="3"/>
      <c r="G367" s="35"/>
      <c r="I367" s="9"/>
      <c r="J367" s="186"/>
    </row>
    <row r="368" spans="2:10" s="1" customFormat="1" ht="14.5" x14ac:dyDescent="0.35">
      <c r="B368" s="3"/>
      <c r="G368" s="35"/>
      <c r="I368" s="9"/>
      <c r="J368" s="186"/>
    </row>
    <row r="369" spans="2:10" s="1" customFormat="1" ht="14.5" x14ac:dyDescent="0.35">
      <c r="B369" s="3"/>
      <c r="G369" s="35"/>
      <c r="I369" s="9"/>
      <c r="J369" s="186"/>
    </row>
    <row r="370" spans="2:10" s="1" customFormat="1" ht="14.5" x14ac:dyDescent="0.35">
      <c r="B370" s="3"/>
      <c r="G370" s="35"/>
      <c r="I370" s="9"/>
      <c r="J370" s="186"/>
    </row>
    <row r="371" spans="2:10" s="1" customFormat="1" ht="14.5" x14ac:dyDescent="0.35">
      <c r="B371" s="3"/>
      <c r="G371" s="35"/>
      <c r="I371" s="9"/>
      <c r="J371" s="186"/>
    </row>
    <row r="372" spans="2:10" s="1" customFormat="1" ht="14.5" x14ac:dyDescent="0.35">
      <c r="B372" s="3"/>
      <c r="G372" s="35"/>
      <c r="I372" s="9"/>
      <c r="J372" s="186"/>
    </row>
    <row r="373" spans="2:10" s="1" customFormat="1" ht="14.5" x14ac:dyDescent="0.35">
      <c r="B373" s="3"/>
      <c r="G373" s="35"/>
      <c r="I373" s="9"/>
      <c r="J373" s="186"/>
    </row>
    <row r="374" spans="2:10" s="1" customFormat="1" ht="14.5" x14ac:dyDescent="0.35">
      <c r="B374" s="3"/>
      <c r="G374" s="35"/>
      <c r="I374" s="9"/>
      <c r="J374" s="186"/>
    </row>
    <row r="375" spans="2:10" s="1" customFormat="1" ht="14.5" x14ac:dyDescent="0.35">
      <c r="B375" s="3"/>
      <c r="G375" s="35"/>
      <c r="I375" s="9"/>
      <c r="J375" s="186"/>
    </row>
    <row r="376" spans="2:10" s="1" customFormat="1" ht="14.5" x14ac:dyDescent="0.35">
      <c r="B376" s="3"/>
      <c r="G376" s="35"/>
      <c r="I376" s="9"/>
      <c r="J376" s="186"/>
    </row>
    <row r="377" spans="2:10" s="1" customFormat="1" ht="14.5" x14ac:dyDescent="0.35">
      <c r="B377" s="3"/>
      <c r="G377" s="35"/>
      <c r="I377" s="9"/>
      <c r="J377" s="186"/>
    </row>
    <row r="378" spans="2:10" s="1" customFormat="1" ht="14.5" x14ac:dyDescent="0.35">
      <c r="B378" s="3"/>
      <c r="G378" s="35"/>
      <c r="I378" s="9"/>
      <c r="J378" s="186"/>
    </row>
    <row r="379" spans="2:10" s="1" customFormat="1" ht="14.5" x14ac:dyDescent="0.35">
      <c r="B379" s="3"/>
      <c r="G379" s="35"/>
      <c r="I379" s="9"/>
      <c r="J379" s="186"/>
    </row>
    <row r="380" spans="2:10" s="1" customFormat="1" ht="14.5" x14ac:dyDescent="0.35">
      <c r="B380" s="3"/>
      <c r="G380" s="35"/>
      <c r="I380" s="9"/>
      <c r="J380" s="186"/>
    </row>
    <row r="381" spans="2:10" s="1" customFormat="1" ht="14.5" x14ac:dyDescent="0.35">
      <c r="B381" s="3"/>
      <c r="G381" s="35"/>
      <c r="I381" s="9"/>
      <c r="J381" s="186"/>
    </row>
    <row r="382" spans="2:10" s="1" customFormat="1" ht="14.5" x14ac:dyDescent="0.35">
      <c r="B382" s="3"/>
      <c r="G382" s="35"/>
      <c r="I382" s="9"/>
      <c r="J382" s="186"/>
    </row>
    <row r="383" spans="2:10" s="1" customFormat="1" ht="14.5" x14ac:dyDescent="0.35">
      <c r="B383" s="3"/>
      <c r="G383" s="35"/>
      <c r="I383" s="9"/>
      <c r="J383" s="186"/>
    </row>
    <row r="384" spans="2:10" s="1" customFormat="1" ht="14.5" x14ac:dyDescent="0.35">
      <c r="B384" s="3"/>
      <c r="G384" s="35"/>
      <c r="I384" s="9"/>
      <c r="J384" s="186"/>
    </row>
    <row r="385" spans="2:10" s="1" customFormat="1" ht="14.5" x14ac:dyDescent="0.35">
      <c r="B385" s="3"/>
      <c r="G385" s="35"/>
      <c r="I385" s="9"/>
      <c r="J385" s="186"/>
    </row>
    <row r="386" spans="2:10" s="1" customFormat="1" ht="14.5" x14ac:dyDescent="0.35">
      <c r="B386" s="3"/>
      <c r="G386" s="35"/>
      <c r="I386" s="9"/>
      <c r="J386" s="186"/>
    </row>
    <row r="387" spans="2:10" s="1" customFormat="1" ht="14.5" x14ac:dyDescent="0.35">
      <c r="B387" s="3"/>
      <c r="G387" s="35"/>
      <c r="I387" s="9"/>
      <c r="J387" s="186"/>
    </row>
    <row r="388" spans="2:10" s="1" customFormat="1" ht="14.5" x14ac:dyDescent="0.35">
      <c r="B388" s="3"/>
      <c r="G388" s="35"/>
      <c r="I388" s="9"/>
      <c r="J388" s="186"/>
    </row>
    <row r="389" spans="2:10" s="1" customFormat="1" ht="14.5" x14ac:dyDescent="0.35">
      <c r="B389" s="3"/>
      <c r="G389" s="35"/>
      <c r="I389" s="9"/>
      <c r="J389" s="186"/>
    </row>
    <row r="390" spans="2:10" s="1" customFormat="1" ht="14.5" x14ac:dyDescent="0.35">
      <c r="B390" s="3"/>
      <c r="G390" s="35"/>
      <c r="I390" s="9"/>
      <c r="J390" s="186"/>
    </row>
    <row r="391" spans="2:10" s="1" customFormat="1" ht="14.5" x14ac:dyDescent="0.35">
      <c r="B391" s="3"/>
      <c r="G391" s="35"/>
      <c r="I391" s="9"/>
      <c r="J391" s="186"/>
    </row>
    <row r="392" spans="2:10" s="1" customFormat="1" ht="14.5" x14ac:dyDescent="0.35">
      <c r="B392" s="3"/>
      <c r="G392" s="35"/>
      <c r="I392" s="9"/>
      <c r="J392" s="186"/>
    </row>
    <row r="393" spans="2:10" s="1" customFormat="1" ht="14.5" x14ac:dyDescent="0.35">
      <c r="B393" s="3"/>
      <c r="G393" s="35"/>
      <c r="I393" s="9"/>
      <c r="J393" s="186"/>
    </row>
    <row r="394" spans="2:10" s="1" customFormat="1" ht="14.5" x14ac:dyDescent="0.35">
      <c r="B394" s="3"/>
      <c r="G394" s="35"/>
      <c r="I394" s="9"/>
      <c r="J394" s="186"/>
    </row>
    <row r="395" spans="2:10" s="1" customFormat="1" ht="14.5" x14ac:dyDescent="0.35">
      <c r="B395" s="3"/>
      <c r="G395" s="35"/>
      <c r="I395" s="9"/>
      <c r="J395" s="186"/>
    </row>
    <row r="396" spans="2:10" s="1" customFormat="1" ht="14.5" x14ac:dyDescent="0.35">
      <c r="B396" s="3"/>
      <c r="G396" s="35"/>
      <c r="I396" s="9"/>
      <c r="J396" s="186"/>
    </row>
    <row r="397" spans="2:10" s="1" customFormat="1" ht="14.5" x14ac:dyDescent="0.35">
      <c r="B397" s="3"/>
      <c r="G397" s="35"/>
      <c r="I397" s="9"/>
      <c r="J397" s="186"/>
    </row>
    <row r="398" spans="2:10" s="1" customFormat="1" ht="14.5" x14ac:dyDescent="0.35">
      <c r="B398" s="3"/>
      <c r="G398" s="35"/>
      <c r="I398" s="9"/>
      <c r="J398" s="186"/>
    </row>
    <row r="399" spans="2:10" s="1" customFormat="1" ht="14.5" x14ac:dyDescent="0.35">
      <c r="B399" s="3"/>
      <c r="G399" s="35"/>
      <c r="I399" s="9"/>
      <c r="J399" s="186"/>
    </row>
    <row r="400" spans="2:10" s="1" customFormat="1" ht="14.5" x14ac:dyDescent="0.35">
      <c r="B400" s="3"/>
      <c r="G400" s="35"/>
      <c r="I400" s="9"/>
      <c r="J400" s="186"/>
    </row>
    <row r="401" spans="2:10" s="1" customFormat="1" ht="14.5" x14ac:dyDescent="0.35">
      <c r="B401" s="3"/>
      <c r="G401" s="35"/>
      <c r="I401" s="9"/>
      <c r="J401" s="186"/>
    </row>
    <row r="402" spans="2:10" s="1" customFormat="1" ht="14.5" x14ac:dyDescent="0.35">
      <c r="B402" s="3"/>
      <c r="G402" s="35"/>
      <c r="I402" s="9"/>
      <c r="J402" s="186"/>
    </row>
    <row r="403" spans="2:10" s="1" customFormat="1" ht="14.5" x14ac:dyDescent="0.35">
      <c r="B403" s="3"/>
      <c r="G403" s="35"/>
      <c r="I403" s="9"/>
      <c r="J403" s="186"/>
    </row>
    <row r="404" spans="2:10" s="1" customFormat="1" ht="14.5" x14ac:dyDescent="0.35">
      <c r="B404" s="3"/>
      <c r="G404" s="35"/>
      <c r="I404" s="9"/>
      <c r="J404" s="186"/>
    </row>
    <row r="405" spans="2:10" s="1" customFormat="1" ht="14.5" x14ac:dyDescent="0.35">
      <c r="B405" s="3"/>
      <c r="G405" s="35"/>
      <c r="I405" s="9"/>
      <c r="J405" s="186"/>
    </row>
    <row r="406" spans="2:10" s="1" customFormat="1" ht="14.5" x14ac:dyDescent="0.35">
      <c r="B406" s="3"/>
      <c r="G406" s="35"/>
      <c r="I406" s="9"/>
      <c r="J406" s="186"/>
    </row>
    <row r="407" spans="2:10" s="1" customFormat="1" ht="14.5" x14ac:dyDescent="0.35">
      <c r="B407" s="3"/>
      <c r="G407" s="35"/>
      <c r="I407" s="9"/>
      <c r="J407" s="186"/>
    </row>
    <row r="408" spans="2:10" s="1" customFormat="1" ht="14.5" x14ac:dyDescent="0.35">
      <c r="B408" s="3"/>
      <c r="G408" s="35"/>
      <c r="I408" s="9"/>
      <c r="J408" s="186"/>
    </row>
    <row r="409" spans="2:10" s="1" customFormat="1" ht="14.5" x14ac:dyDescent="0.35">
      <c r="B409" s="3"/>
      <c r="G409" s="35"/>
      <c r="I409" s="9"/>
      <c r="J409" s="186"/>
    </row>
    <row r="410" spans="2:10" s="1" customFormat="1" ht="14.5" x14ac:dyDescent="0.35">
      <c r="B410" s="3"/>
      <c r="G410" s="35"/>
      <c r="I410" s="9"/>
      <c r="J410" s="186"/>
    </row>
    <row r="411" spans="2:10" s="1" customFormat="1" ht="14.5" x14ac:dyDescent="0.35">
      <c r="B411" s="3"/>
      <c r="G411" s="35"/>
      <c r="I411" s="9"/>
      <c r="J411" s="186"/>
    </row>
    <row r="412" spans="2:10" s="1" customFormat="1" ht="14.5" x14ac:dyDescent="0.35">
      <c r="B412" s="3"/>
      <c r="G412" s="35"/>
      <c r="I412" s="9"/>
      <c r="J412" s="186"/>
    </row>
    <row r="413" spans="2:10" s="1" customFormat="1" ht="14.5" x14ac:dyDescent="0.35">
      <c r="B413" s="3"/>
      <c r="G413" s="35"/>
      <c r="I413" s="9"/>
      <c r="J413" s="186"/>
    </row>
    <row r="414" spans="2:10" s="1" customFormat="1" ht="14.5" x14ac:dyDescent="0.35">
      <c r="B414" s="3"/>
      <c r="G414" s="35"/>
      <c r="I414" s="9"/>
      <c r="J414" s="186"/>
    </row>
    <row r="415" spans="2:10" s="1" customFormat="1" ht="14.5" x14ac:dyDescent="0.35">
      <c r="B415" s="3"/>
      <c r="G415" s="35"/>
      <c r="I415" s="9"/>
      <c r="J415" s="186"/>
    </row>
    <row r="416" spans="2:10" s="1" customFormat="1" ht="14.5" x14ac:dyDescent="0.35">
      <c r="B416" s="3"/>
      <c r="G416" s="35"/>
      <c r="I416" s="9"/>
      <c r="J416" s="186"/>
    </row>
    <row r="417" spans="2:10" s="1" customFormat="1" ht="14.5" x14ac:dyDescent="0.35">
      <c r="B417" s="3"/>
      <c r="G417" s="35"/>
      <c r="I417" s="9"/>
      <c r="J417" s="186"/>
    </row>
    <row r="418" spans="2:10" s="1" customFormat="1" ht="14.5" x14ac:dyDescent="0.35">
      <c r="B418" s="3"/>
      <c r="G418" s="35"/>
      <c r="I418" s="9"/>
      <c r="J418" s="186"/>
    </row>
    <row r="419" spans="2:10" s="1" customFormat="1" ht="14.5" x14ac:dyDescent="0.35">
      <c r="B419" s="3"/>
      <c r="G419" s="35"/>
      <c r="I419" s="9"/>
      <c r="J419" s="186"/>
    </row>
    <row r="420" spans="2:10" s="1" customFormat="1" ht="14.5" x14ac:dyDescent="0.35">
      <c r="B420" s="3"/>
      <c r="G420" s="35"/>
      <c r="I420" s="9"/>
      <c r="J420" s="186"/>
    </row>
    <row r="421" spans="2:10" s="1" customFormat="1" ht="14.5" x14ac:dyDescent="0.35">
      <c r="B421" s="3"/>
      <c r="G421" s="35"/>
      <c r="I421" s="9"/>
      <c r="J421" s="186"/>
    </row>
    <row r="422" spans="2:10" s="1" customFormat="1" ht="14.5" x14ac:dyDescent="0.35">
      <c r="B422" s="3"/>
      <c r="G422" s="35"/>
      <c r="I422" s="9"/>
      <c r="J422" s="186"/>
    </row>
    <row r="423" spans="2:10" s="1" customFormat="1" ht="14.5" x14ac:dyDescent="0.35">
      <c r="B423" s="3"/>
      <c r="G423" s="35"/>
      <c r="I423" s="9"/>
      <c r="J423" s="186"/>
    </row>
    <row r="424" spans="2:10" s="1" customFormat="1" ht="14.5" x14ac:dyDescent="0.35">
      <c r="B424" s="3"/>
      <c r="G424" s="35"/>
      <c r="I424" s="9"/>
      <c r="J424" s="186"/>
    </row>
    <row r="425" spans="2:10" s="1" customFormat="1" ht="14.5" x14ac:dyDescent="0.35">
      <c r="B425" s="3"/>
      <c r="G425" s="35"/>
      <c r="I425" s="9"/>
      <c r="J425" s="186"/>
    </row>
    <row r="426" spans="2:10" s="1" customFormat="1" ht="14.5" x14ac:dyDescent="0.35">
      <c r="B426" s="3"/>
      <c r="G426" s="35"/>
      <c r="I426" s="9"/>
      <c r="J426" s="186"/>
    </row>
    <row r="427" spans="2:10" s="1" customFormat="1" ht="14.5" x14ac:dyDescent="0.35">
      <c r="B427" s="3"/>
      <c r="G427" s="35"/>
      <c r="I427" s="9"/>
      <c r="J427" s="186"/>
    </row>
    <row r="428" spans="2:10" s="1" customFormat="1" ht="14.5" x14ac:dyDescent="0.35">
      <c r="B428" s="3"/>
      <c r="G428" s="35"/>
      <c r="I428" s="9"/>
      <c r="J428" s="186"/>
    </row>
    <row r="429" spans="2:10" s="1" customFormat="1" ht="14.5" x14ac:dyDescent="0.35">
      <c r="B429" s="3"/>
      <c r="G429" s="35"/>
      <c r="I429" s="9"/>
      <c r="J429" s="186"/>
    </row>
    <row r="430" spans="2:10" s="1" customFormat="1" ht="14.5" x14ac:dyDescent="0.35">
      <c r="B430" s="3"/>
      <c r="G430" s="35"/>
      <c r="I430" s="9"/>
      <c r="J430" s="186"/>
    </row>
    <row r="431" spans="2:10" s="1" customFormat="1" ht="14.5" x14ac:dyDescent="0.35">
      <c r="B431" s="3"/>
      <c r="G431" s="35"/>
      <c r="I431" s="9"/>
      <c r="J431" s="186"/>
    </row>
    <row r="432" spans="2:10" s="1" customFormat="1" ht="14.5" x14ac:dyDescent="0.35">
      <c r="B432" s="3"/>
      <c r="G432" s="35"/>
      <c r="I432" s="9"/>
      <c r="J432" s="186"/>
    </row>
    <row r="433" spans="2:10" s="1" customFormat="1" ht="14.5" x14ac:dyDescent="0.35">
      <c r="B433" s="3"/>
      <c r="G433" s="35"/>
      <c r="I433" s="9"/>
      <c r="J433" s="186"/>
    </row>
    <row r="434" spans="2:10" s="1" customFormat="1" ht="14.5" x14ac:dyDescent="0.35">
      <c r="B434" s="3"/>
      <c r="G434" s="35"/>
      <c r="I434" s="9"/>
      <c r="J434" s="186"/>
    </row>
    <row r="435" spans="2:10" s="1" customFormat="1" ht="14.5" x14ac:dyDescent="0.35">
      <c r="B435" s="3"/>
      <c r="G435" s="35"/>
      <c r="I435" s="9"/>
      <c r="J435" s="186"/>
    </row>
    <row r="436" spans="2:10" s="1" customFormat="1" ht="14.5" x14ac:dyDescent="0.35">
      <c r="B436" s="3"/>
      <c r="G436" s="35"/>
      <c r="I436" s="9"/>
      <c r="J436" s="186"/>
    </row>
    <row r="437" spans="2:10" s="1" customFormat="1" ht="14.5" x14ac:dyDescent="0.35">
      <c r="B437" s="3"/>
      <c r="G437" s="35"/>
      <c r="I437" s="9"/>
      <c r="J437" s="186"/>
    </row>
    <row r="438" spans="2:10" s="1" customFormat="1" ht="14.5" x14ac:dyDescent="0.35">
      <c r="B438" s="3"/>
      <c r="G438" s="35"/>
      <c r="I438" s="9"/>
      <c r="J438" s="186"/>
    </row>
    <row r="439" spans="2:10" s="1" customFormat="1" ht="14.5" x14ac:dyDescent="0.35">
      <c r="B439" s="3"/>
      <c r="G439" s="35"/>
      <c r="I439" s="9"/>
      <c r="J439" s="186"/>
    </row>
    <row r="440" spans="2:10" s="1" customFormat="1" ht="14.5" x14ac:dyDescent="0.35">
      <c r="B440" s="3"/>
      <c r="G440" s="35"/>
      <c r="I440" s="9"/>
      <c r="J440" s="186"/>
    </row>
    <row r="441" spans="2:10" s="1" customFormat="1" ht="14.5" x14ac:dyDescent="0.35">
      <c r="B441" s="3"/>
      <c r="G441" s="35"/>
      <c r="I441" s="9"/>
      <c r="J441" s="186"/>
    </row>
    <row r="442" spans="2:10" s="1" customFormat="1" ht="14.5" x14ac:dyDescent="0.35">
      <c r="B442" s="3"/>
      <c r="G442" s="35"/>
      <c r="I442" s="9"/>
      <c r="J442" s="186"/>
    </row>
    <row r="443" spans="2:10" s="1" customFormat="1" ht="14.5" x14ac:dyDescent="0.35">
      <c r="B443" s="3"/>
      <c r="G443" s="35"/>
      <c r="I443" s="9"/>
      <c r="J443" s="186"/>
    </row>
    <row r="444" spans="2:10" s="1" customFormat="1" ht="14.5" x14ac:dyDescent="0.35">
      <c r="B444" s="3"/>
      <c r="G444" s="35"/>
      <c r="I444" s="9"/>
      <c r="J444" s="186"/>
    </row>
    <row r="445" spans="2:10" s="1" customFormat="1" ht="14.5" x14ac:dyDescent="0.35">
      <c r="B445" s="3"/>
      <c r="G445" s="35"/>
      <c r="I445" s="9"/>
      <c r="J445" s="186"/>
    </row>
    <row r="446" spans="2:10" s="1" customFormat="1" ht="14.5" x14ac:dyDescent="0.35">
      <c r="B446" s="3"/>
      <c r="G446" s="35"/>
      <c r="I446" s="9"/>
      <c r="J446" s="186"/>
    </row>
    <row r="447" spans="2:10" s="1" customFormat="1" ht="14.5" x14ac:dyDescent="0.35">
      <c r="B447" s="3"/>
      <c r="G447" s="35"/>
      <c r="I447" s="9"/>
      <c r="J447" s="186"/>
    </row>
    <row r="448" spans="2:10" s="1" customFormat="1" ht="14.5" x14ac:dyDescent="0.35">
      <c r="B448" s="3"/>
      <c r="G448" s="35"/>
      <c r="I448" s="9"/>
      <c r="J448" s="186"/>
    </row>
    <row r="449" spans="2:10" s="1" customFormat="1" ht="14.5" x14ac:dyDescent="0.35">
      <c r="B449" s="3"/>
      <c r="G449" s="35"/>
      <c r="I449" s="9"/>
      <c r="J449" s="186"/>
    </row>
    <row r="450" spans="2:10" s="1" customFormat="1" ht="14.5" x14ac:dyDescent="0.35">
      <c r="B450" s="3"/>
      <c r="G450" s="35"/>
      <c r="I450" s="9"/>
      <c r="J450" s="186"/>
    </row>
    <row r="451" spans="2:10" s="1" customFormat="1" ht="14.5" x14ac:dyDescent="0.35">
      <c r="B451" s="3"/>
      <c r="G451" s="35"/>
      <c r="I451" s="9"/>
      <c r="J451" s="186"/>
    </row>
    <row r="452" spans="2:10" s="1" customFormat="1" ht="14.5" x14ac:dyDescent="0.35">
      <c r="B452" s="3"/>
      <c r="G452" s="35"/>
      <c r="I452" s="9"/>
      <c r="J452" s="186"/>
    </row>
    <row r="453" spans="2:10" s="1" customFormat="1" ht="14.5" x14ac:dyDescent="0.35">
      <c r="B453" s="3"/>
      <c r="G453" s="35"/>
      <c r="I453" s="9"/>
      <c r="J453" s="186"/>
    </row>
    <row r="454" spans="2:10" s="1" customFormat="1" ht="14.5" x14ac:dyDescent="0.35">
      <c r="B454" s="3"/>
      <c r="G454" s="35"/>
      <c r="I454" s="9"/>
      <c r="J454" s="186"/>
    </row>
    <row r="455" spans="2:10" s="1" customFormat="1" ht="14.5" x14ac:dyDescent="0.35">
      <c r="B455" s="3"/>
      <c r="G455" s="35"/>
      <c r="I455" s="9"/>
      <c r="J455" s="186"/>
    </row>
    <row r="456" spans="2:10" s="1" customFormat="1" ht="14.5" x14ac:dyDescent="0.35">
      <c r="B456" s="3"/>
      <c r="G456" s="35"/>
      <c r="I456" s="9"/>
      <c r="J456" s="186"/>
    </row>
    <row r="457" spans="2:10" s="1" customFormat="1" ht="14.5" x14ac:dyDescent="0.35">
      <c r="B457" s="3"/>
      <c r="G457" s="35"/>
      <c r="I457" s="9"/>
      <c r="J457" s="186"/>
    </row>
    <row r="458" spans="2:10" s="1" customFormat="1" ht="14.5" x14ac:dyDescent="0.35">
      <c r="B458" s="3"/>
      <c r="G458" s="35"/>
      <c r="I458" s="9"/>
      <c r="J458" s="186"/>
    </row>
    <row r="459" spans="2:10" s="1" customFormat="1" ht="14.5" x14ac:dyDescent="0.35">
      <c r="B459" s="3"/>
      <c r="G459" s="35"/>
      <c r="I459" s="9"/>
      <c r="J459" s="186"/>
    </row>
    <row r="460" spans="2:10" s="1" customFormat="1" ht="14.5" x14ac:dyDescent="0.35">
      <c r="B460" s="3"/>
      <c r="G460" s="35"/>
      <c r="I460" s="9"/>
      <c r="J460" s="186"/>
    </row>
    <row r="461" spans="2:10" s="1" customFormat="1" ht="14.5" x14ac:dyDescent="0.35">
      <c r="B461" s="3"/>
      <c r="G461" s="35"/>
      <c r="I461" s="9"/>
      <c r="J461" s="186"/>
    </row>
    <row r="462" spans="2:10" s="1" customFormat="1" ht="14.5" x14ac:dyDescent="0.35">
      <c r="B462" s="3"/>
      <c r="G462" s="35"/>
      <c r="I462" s="9"/>
      <c r="J462" s="186"/>
    </row>
    <row r="463" spans="2:10" s="1" customFormat="1" ht="14.5" x14ac:dyDescent="0.35">
      <c r="B463" s="3"/>
      <c r="G463" s="35"/>
      <c r="I463" s="9"/>
      <c r="J463" s="186"/>
    </row>
    <row r="464" spans="2:10" s="1" customFormat="1" ht="14.5" x14ac:dyDescent="0.35">
      <c r="B464" s="3"/>
      <c r="G464" s="35"/>
      <c r="I464" s="9"/>
      <c r="J464" s="186"/>
    </row>
    <row r="465" spans="1:14" s="1" customFormat="1" ht="14.5" x14ac:dyDescent="0.35">
      <c r="B465" s="3"/>
      <c r="G465" s="35"/>
      <c r="I465" s="9"/>
      <c r="J465" s="186"/>
    </row>
    <row r="466" spans="1:14" s="1" customFormat="1" ht="14.5" x14ac:dyDescent="0.35">
      <c r="B466" s="3"/>
      <c r="G466" s="35"/>
      <c r="I466" s="9"/>
      <c r="J466" s="186"/>
    </row>
    <row r="467" spans="1:14" s="1" customFormat="1" ht="14.5" x14ac:dyDescent="0.35">
      <c r="B467" s="3"/>
      <c r="G467" s="35"/>
      <c r="I467" s="9"/>
      <c r="J467" s="186"/>
    </row>
    <row r="468" spans="1:14" s="1" customFormat="1" ht="14.5" x14ac:dyDescent="0.35">
      <c r="B468" s="3"/>
      <c r="G468" s="35"/>
      <c r="I468" s="9"/>
      <c r="J468" s="186"/>
    </row>
    <row r="469" spans="1:14" s="1" customFormat="1" ht="14.5" x14ac:dyDescent="0.35">
      <c r="B469" s="3"/>
      <c r="G469" s="35"/>
      <c r="I469" s="9"/>
      <c r="J469" s="186"/>
    </row>
    <row r="470" spans="1:14" s="1" customFormat="1" ht="14.5" x14ac:dyDescent="0.35">
      <c r="B470" s="3"/>
      <c r="G470" s="35"/>
      <c r="I470" s="9"/>
      <c r="J470" s="186"/>
    </row>
    <row r="471" spans="1:14" s="1" customFormat="1" ht="14.5" x14ac:dyDescent="0.35">
      <c r="B471" s="3"/>
      <c r="G471" s="35"/>
      <c r="I471" s="9"/>
      <c r="J471" s="186"/>
    </row>
    <row r="472" spans="1:14" s="1" customFormat="1" ht="14.5" x14ac:dyDescent="0.35">
      <c r="B472" s="3"/>
      <c r="G472" s="35"/>
      <c r="I472" s="9"/>
      <c r="J472" s="186"/>
    </row>
    <row r="473" spans="1:14" s="1" customFormat="1" ht="14.5" x14ac:dyDescent="0.35">
      <c r="B473" s="3"/>
      <c r="G473" s="35"/>
      <c r="I473" s="9"/>
      <c r="J473" s="186"/>
    </row>
    <row r="474" spans="1:14" s="1" customFormat="1" ht="14.5" x14ac:dyDescent="0.35">
      <c r="B474" s="3"/>
      <c r="G474" s="35"/>
      <c r="I474" s="9"/>
      <c r="J474" s="186"/>
    </row>
    <row r="475" spans="1:14" s="1" customFormat="1" ht="14.5" x14ac:dyDescent="0.35">
      <c r="B475" s="3"/>
      <c r="G475" s="35"/>
      <c r="I475" s="9"/>
      <c r="J475" s="186"/>
    </row>
    <row r="476" spans="1:14" s="1" customFormat="1" ht="14.5" x14ac:dyDescent="0.35">
      <c r="B476" s="3"/>
      <c r="G476" s="35"/>
      <c r="I476" s="9"/>
      <c r="J476" s="186"/>
    </row>
    <row r="477" spans="1:14" s="1" customFormat="1" ht="14.5" x14ac:dyDescent="0.35">
      <c r="B477" s="3"/>
      <c r="G477" s="35"/>
      <c r="I477" s="9"/>
      <c r="J477" s="186"/>
    </row>
    <row r="478" spans="1:14" s="1" customFormat="1" ht="14.5" x14ac:dyDescent="0.35">
      <c r="B478" s="3"/>
      <c r="G478" s="35"/>
      <c r="I478" s="9"/>
      <c r="J478" s="186"/>
    </row>
    <row r="479" spans="1:14" x14ac:dyDescent="0.35">
      <c r="A479" s="1"/>
      <c r="B479" s="3"/>
      <c r="C479" s="1"/>
      <c r="D479" s="1"/>
      <c r="E479" s="1"/>
      <c r="F479" s="1"/>
      <c r="G479" s="35"/>
      <c r="H479" s="1"/>
      <c r="I479" s="9"/>
      <c r="J479" s="186"/>
      <c r="K479" s="1"/>
      <c r="L479" s="1"/>
      <c r="M479" s="1"/>
      <c r="N479" s="1"/>
    </row>
    <row r="480" spans="1:14" x14ac:dyDescent="0.35">
      <c r="A480" s="1"/>
      <c r="B480" s="3"/>
      <c r="C480" s="1"/>
      <c r="D480" s="1"/>
      <c r="E480" s="1"/>
      <c r="F480" s="1"/>
      <c r="G480" s="35"/>
      <c r="H480" s="1"/>
      <c r="I480" s="9"/>
      <c r="J480" s="186"/>
      <c r="K480" s="1"/>
      <c r="L480" s="1"/>
      <c r="M480" s="1"/>
      <c r="N480" s="1"/>
    </row>
    <row r="481" spans="1:14" x14ac:dyDescent="0.35">
      <c r="A481" s="1"/>
      <c r="B481" s="3"/>
      <c r="C481" s="1"/>
      <c r="D481" s="1"/>
      <c r="E481" s="1"/>
      <c r="F481" s="1"/>
      <c r="G481" s="35"/>
      <c r="H481" s="1"/>
      <c r="I481" s="9"/>
      <c r="J481" s="186"/>
      <c r="K481" s="1"/>
      <c r="L481" s="1"/>
      <c r="M481" s="1"/>
      <c r="N481" s="1"/>
    </row>
    <row r="482" spans="1:14" x14ac:dyDescent="0.35">
      <c r="A482" s="1"/>
      <c r="B482" s="3"/>
      <c r="C482" s="1"/>
      <c r="D482" s="1"/>
      <c r="E482" s="1"/>
      <c r="F482" s="1"/>
      <c r="G482" s="35"/>
      <c r="H482" s="1"/>
      <c r="I482" s="9"/>
      <c r="J482" s="186"/>
      <c r="K482" s="1"/>
      <c r="L482" s="1"/>
      <c r="M482" s="1"/>
      <c r="N482" s="1"/>
    </row>
    <row r="483" spans="1:14" x14ac:dyDescent="0.35">
      <c r="A483" s="1"/>
      <c r="B483" s="3"/>
      <c r="C483" s="1"/>
      <c r="D483" s="1"/>
      <c r="E483" s="1"/>
      <c r="F483" s="1"/>
      <c r="G483" s="35"/>
      <c r="H483" s="1"/>
      <c r="I483" s="9"/>
      <c r="J483" s="186"/>
      <c r="K483" s="1"/>
      <c r="L483" s="1"/>
      <c r="M483" s="1"/>
      <c r="N483" s="1"/>
    </row>
    <row r="484" spans="1:14" x14ac:dyDescent="0.35">
      <c r="A484" s="1"/>
      <c r="B484" s="3"/>
      <c r="C484" s="1"/>
      <c r="D484" s="1"/>
      <c r="E484" s="1"/>
      <c r="F484" s="1"/>
      <c r="G484" s="35"/>
      <c r="H484" s="1"/>
      <c r="I484" s="9"/>
      <c r="J484" s="186"/>
      <c r="K484" s="1"/>
      <c r="L484" s="1"/>
      <c r="M484" s="1"/>
      <c r="N484" s="1"/>
    </row>
    <row r="485" spans="1:14" x14ac:dyDescent="0.35">
      <c r="A485" s="1"/>
      <c r="B485" s="3"/>
      <c r="C485" s="1"/>
      <c r="D485" s="1"/>
      <c r="E485" s="1"/>
      <c r="F485" s="1"/>
      <c r="G485" s="35"/>
      <c r="H485" s="1"/>
      <c r="I485" s="9"/>
      <c r="J485" s="186"/>
      <c r="K485" s="1"/>
      <c r="L485" s="1"/>
      <c r="M485" s="1"/>
      <c r="N485" s="1"/>
    </row>
    <row r="486" spans="1:14" x14ac:dyDescent="0.35">
      <c r="A486" s="1"/>
      <c r="B486" s="3"/>
      <c r="C486" s="1"/>
      <c r="D486" s="1"/>
      <c r="E486" s="1"/>
      <c r="F486" s="1"/>
      <c r="G486" s="35"/>
      <c r="H486" s="1"/>
      <c r="I486" s="9"/>
      <c r="J486" s="186"/>
      <c r="K486" s="1"/>
      <c r="L486" s="1"/>
      <c r="M486" s="1"/>
      <c r="N486" s="1"/>
    </row>
    <row r="487" spans="1:14" x14ac:dyDescent="0.35">
      <c r="A487" s="1"/>
      <c r="B487" s="3"/>
      <c r="C487" s="1"/>
      <c r="D487" s="1"/>
      <c r="E487" s="1"/>
      <c r="F487" s="1"/>
      <c r="G487" s="35"/>
      <c r="H487" s="1"/>
      <c r="I487" s="9"/>
      <c r="J487" s="186"/>
      <c r="K487" s="1"/>
      <c r="L487" s="1"/>
      <c r="M487" s="1"/>
      <c r="N487" s="1"/>
    </row>
    <row r="488" spans="1:14" x14ac:dyDescent="0.35">
      <c r="A488" s="1"/>
      <c r="B488" s="3"/>
      <c r="C488" s="1"/>
      <c r="D488" s="1"/>
      <c r="E488" s="1"/>
      <c r="F488" s="1"/>
      <c r="G488" s="35"/>
      <c r="H488" s="1"/>
      <c r="I488" s="9"/>
      <c r="J488" s="186"/>
      <c r="K488" s="1"/>
      <c r="L488" s="1"/>
      <c r="M488" s="1"/>
      <c r="N488" s="1"/>
    </row>
    <row r="489" spans="1:14" x14ac:dyDescent="0.35">
      <c r="A489" s="1"/>
      <c r="B489" s="3"/>
      <c r="C489" s="1"/>
      <c r="D489" s="1"/>
      <c r="E489" s="1"/>
      <c r="F489" s="1"/>
      <c r="G489" s="35"/>
      <c r="H489" s="1"/>
      <c r="I489" s="9"/>
      <c r="J489" s="186"/>
      <c r="K489" s="1"/>
      <c r="L489" s="1"/>
      <c r="M489" s="1"/>
      <c r="N489" s="1"/>
    </row>
    <row r="490" spans="1:14" x14ac:dyDescent="0.35">
      <c r="A490" s="1"/>
      <c r="B490" s="3"/>
      <c r="C490" s="1"/>
      <c r="D490" s="1"/>
      <c r="E490" s="1"/>
      <c r="F490" s="1"/>
      <c r="G490" s="35"/>
      <c r="H490" s="1"/>
      <c r="I490" s="9"/>
      <c r="J490" s="186"/>
      <c r="K490" s="1"/>
      <c r="L490" s="1"/>
      <c r="M490" s="1"/>
      <c r="N490" s="1"/>
    </row>
    <row r="491" spans="1:14" x14ac:dyDescent="0.35">
      <c r="A491" s="1"/>
      <c r="B491" s="3"/>
      <c r="C491" s="1"/>
      <c r="D491" s="1"/>
      <c r="E491" s="1"/>
      <c r="F491" s="1"/>
      <c r="G491" s="35"/>
      <c r="H491" s="1"/>
      <c r="I491" s="9"/>
      <c r="J491" s="186"/>
      <c r="K491" s="1"/>
      <c r="L491" s="1"/>
      <c r="M491" s="1"/>
      <c r="N491" s="1"/>
    </row>
  </sheetData>
  <mergeCells count="39">
    <mergeCell ref="A1:H1"/>
    <mergeCell ref="A2:H2"/>
    <mergeCell ref="B5:G5"/>
    <mergeCell ref="D104:E104"/>
    <mergeCell ref="E105:F105"/>
    <mergeCell ref="D70:E70"/>
    <mergeCell ref="D82:E82"/>
    <mergeCell ref="E83:F83"/>
    <mergeCell ref="D93:E93"/>
    <mergeCell ref="D31:E31"/>
    <mergeCell ref="D16:E16"/>
    <mergeCell ref="D23:E23"/>
    <mergeCell ref="E25:F25"/>
    <mergeCell ref="D38:E38"/>
    <mergeCell ref="E39:F39"/>
    <mergeCell ref="D44:E44"/>
    <mergeCell ref="D114:E114"/>
    <mergeCell ref="D124:E124"/>
    <mergeCell ref="D191:E191"/>
    <mergeCell ref="D177:E177"/>
    <mergeCell ref="E178:F178"/>
    <mergeCell ref="D184:E184"/>
    <mergeCell ref="D169:E169"/>
    <mergeCell ref="E125:F125"/>
    <mergeCell ref="D133:E133"/>
    <mergeCell ref="E192:F192"/>
    <mergeCell ref="D197:E197"/>
    <mergeCell ref="D205:E205"/>
    <mergeCell ref="E206:F206"/>
    <mergeCell ref="D143:E143"/>
    <mergeCell ref="E144:F144"/>
    <mergeCell ref="D152:E152"/>
    <mergeCell ref="D161:E161"/>
    <mergeCell ref="E162:F162"/>
    <mergeCell ref="D51:E51"/>
    <mergeCell ref="E52:F52"/>
    <mergeCell ref="D57:E57"/>
    <mergeCell ref="D63:E63"/>
    <mergeCell ref="E64:F64"/>
  </mergeCells>
  <printOptions horizontalCentered="1"/>
  <pageMargins left="0.7" right="0.7" top="1" bottom="0.75" header="0.3" footer="0.3"/>
  <pageSetup scale="63" fitToHeight="4"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56ECB-1166-4A19-BAC2-1CAB016DEA29}">
  <sheetPr>
    <tabColor rgb="FF92D050"/>
    <pageSetUpPr fitToPage="1"/>
  </sheetPr>
  <dimension ref="A1:M29"/>
  <sheetViews>
    <sheetView showGridLines="0" workbookViewId="0">
      <selection activeCell="G13" sqref="G13"/>
    </sheetView>
  </sheetViews>
  <sheetFormatPr defaultRowHeight="15.5" x14ac:dyDescent="0.35"/>
  <cols>
    <col min="3" max="3" width="29.23046875" customWidth="1"/>
    <col min="4" max="4" width="19" customWidth="1"/>
  </cols>
  <sheetData>
    <row r="1" spans="1:13" ht="18.5" x14ac:dyDescent="0.35">
      <c r="A1" s="486" t="s">
        <v>198</v>
      </c>
      <c r="B1" s="486"/>
      <c r="C1" s="486"/>
      <c r="D1" s="486"/>
      <c r="E1" s="486"/>
      <c r="F1" s="486"/>
      <c r="G1" s="486"/>
      <c r="H1" s="41"/>
      <c r="I1" s="52"/>
      <c r="J1" s="53"/>
      <c r="K1" s="41"/>
      <c r="L1" s="4"/>
      <c r="M1" s="4"/>
    </row>
    <row r="2" spans="1:13" x14ac:dyDescent="0.35">
      <c r="A2" s="358" t="s">
        <v>37</v>
      </c>
      <c r="B2" s="182"/>
      <c r="C2" s="182"/>
      <c r="D2" s="82"/>
      <c r="E2" s="182"/>
      <c r="F2" s="85"/>
      <c r="G2" s="3">
        <f>SAO!G47</f>
        <v>2842860.0806605429</v>
      </c>
      <c r="H2" s="41"/>
      <c r="I2" s="4"/>
      <c r="J2" s="41"/>
      <c r="K2" s="41"/>
      <c r="L2" s="4"/>
      <c r="M2" s="4"/>
    </row>
    <row r="3" spans="1:13" x14ac:dyDescent="0.35">
      <c r="A3" s="182" t="s">
        <v>20</v>
      </c>
      <c r="B3" s="182"/>
      <c r="C3" s="182" t="s">
        <v>156</v>
      </c>
      <c r="D3" s="82"/>
      <c r="E3" s="182"/>
      <c r="F3" s="85" t="s">
        <v>298</v>
      </c>
      <c r="G3" s="3">
        <f>'Debt Service'!M22</f>
        <v>457551.8</v>
      </c>
      <c r="H3" s="41"/>
      <c r="I3" s="4" t="s">
        <v>191</v>
      </c>
      <c r="J3" s="41"/>
      <c r="K3" s="41"/>
      <c r="L3" s="4" t="s">
        <v>194</v>
      </c>
      <c r="M3" s="4"/>
    </row>
    <row r="4" spans="1:13" ht="17" x14ac:dyDescent="0.5">
      <c r="A4" s="182"/>
      <c r="B4" s="82"/>
      <c r="C4" s="82" t="s">
        <v>157</v>
      </c>
      <c r="D4" s="82"/>
      <c r="E4" s="182"/>
      <c r="F4" s="85" t="s">
        <v>299</v>
      </c>
      <c r="G4" s="31">
        <f>'Debt Service'!M24</f>
        <v>91510.36</v>
      </c>
      <c r="H4" s="41"/>
      <c r="I4" s="4"/>
      <c r="J4" s="41"/>
      <c r="K4" s="41"/>
      <c r="L4" s="4" t="s">
        <v>195</v>
      </c>
      <c r="M4" s="4"/>
    </row>
    <row r="5" spans="1:13" x14ac:dyDescent="0.35">
      <c r="A5" s="358" t="s">
        <v>62</v>
      </c>
      <c r="B5" s="182"/>
      <c r="C5" s="182"/>
      <c r="D5" s="82"/>
      <c r="E5" s="182"/>
      <c r="F5" s="85"/>
      <c r="G5" s="3">
        <f>G2+G3+G4</f>
        <v>3391922.2406605426</v>
      </c>
      <c r="H5" s="41"/>
      <c r="I5" s="4"/>
      <c r="J5" s="41"/>
      <c r="K5" s="41"/>
      <c r="L5" s="4"/>
      <c r="M5" s="4"/>
    </row>
    <row r="6" spans="1:13" x14ac:dyDescent="0.35">
      <c r="A6" s="182" t="s">
        <v>21</v>
      </c>
      <c r="B6" s="182"/>
      <c r="C6" s="182" t="s">
        <v>22</v>
      </c>
      <c r="D6" s="82"/>
      <c r="E6" s="182"/>
      <c r="F6" s="85"/>
      <c r="G6" s="285">
        <f>SUM(SAO!G10:G12)</f>
        <v>77798</v>
      </c>
      <c r="H6" s="41"/>
      <c r="I6" s="4" t="s">
        <v>316</v>
      </c>
      <c r="J6" s="41"/>
      <c r="K6" s="41"/>
      <c r="L6" s="4"/>
      <c r="M6" s="4"/>
    </row>
    <row r="7" spans="1:13" x14ac:dyDescent="0.35">
      <c r="A7" s="182"/>
      <c r="B7" s="182"/>
      <c r="C7" s="182" t="s">
        <v>273</v>
      </c>
      <c r="D7" s="82"/>
      <c r="E7" s="182"/>
      <c r="F7" s="85"/>
      <c r="G7" s="285">
        <v>6000</v>
      </c>
      <c r="H7" s="41"/>
      <c r="I7" s="4" t="s">
        <v>316</v>
      </c>
      <c r="J7" s="41"/>
      <c r="K7" s="41"/>
      <c r="L7" s="4"/>
      <c r="M7" s="4"/>
    </row>
    <row r="8" spans="1:13" ht="17" x14ac:dyDescent="0.5">
      <c r="A8" s="182"/>
      <c r="B8" s="182"/>
      <c r="C8" s="182" t="s">
        <v>274</v>
      </c>
      <c r="D8" s="82">
        <v>28745</v>
      </c>
      <c r="E8" s="441">
        <v>-7876</v>
      </c>
      <c r="F8" s="85" t="s">
        <v>350</v>
      </c>
      <c r="G8" s="344">
        <f>D8+E8</f>
        <v>20869</v>
      </c>
      <c r="H8" s="308"/>
      <c r="I8" s="4" t="s">
        <v>316</v>
      </c>
      <c r="J8" s="41"/>
      <c r="K8" s="41"/>
      <c r="L8" s="4" t="s">
        <v>353</v>
      </c>
      <c r="M8" s="4"/>
    </row>
    <row r="9" spans="1:13" x14ac:dyDescent="0.35">
      <c r="A9" s="358" t="s">
        <v>60</v>
      </c>
      <c r="B9" s="182"/>
      <c r="C9" s="182"/>
      <c r="D9" s="82"/>
      <c r="E9" s="182"/>
      <c r="F9" s="85"/>
      <c r="G9" s="3">
        <f>G5-G6-G7-G8</f>
        <v>3287255.2406605426</v>
      </c>
      <c r="H9" s="41"/>
      <c r="I9" s="4"/>
      <c r="J9" s="41"/>
      <c r="K9" s="41"/>
      <c r="L9" s="4"/>
      <c r="M9" s="4"/>
    </row>
    <row r="10" spans="1:13" x14ac:dyDescent="0.35">
      <c r="A10" s="182" t="s">
        <v>21</v>
      </c>
      <c r="B10" s="182"/>
      <c r="C10" s="182" t="s">
        <v>61</v>
      </c>
      <c r="D10" s="82"/>
      <c r="E10" s="182"/>
      <c r="F10" s="85"/>
      <c r="G10" s="3">
        <f>SAO!G6</f>
        <v>2954846.31</v>
      </c>
      <c r="H10" s="41"/>
      <c r="I10" s="21"/>
      <c r="J10" s="41"/>
      <c r="K10" s="41"/>
      <c r="L10" s="4"/>
      <c r="M10" s="4"/>
    </row>
    <row r="11" spans="1:13" ht="17" x14ac:dyDescent="0.5">
      <c r="A11" s="182"/>
      <c r="B11" s="182"/>
      <c r="C11" s="182" t="s">
        <v>15</v>
      </c>
      <c r="D11" s="82"/>
      <c r="E11" s="182"/>
      <c r="F11" s="85"/>
      <c r="G11" s="31">
        <f>SAO!G8</f>
        <v>0</v>
      </c>
      <c r="H11" s="41"/>
      <c r="I11" s="21"/>
      <c r="J11" s="41"/>
      <c r="K11" s="41"/>
      <c r="L11" s="4"/>
      <c r="M11" s="4"/>
    </row>
    <row r="12" spans="1:13" x14ac:dyDescent="0.35">
      <c r="A12" s="358" t="s">
        <v>63</v>
      </c>
      <c r="B12" s="182"/>
      <c r="C12" s="182"/>
      <c r="D12" s="82"/>
      <c r="E12" s="182"/>
      <c r="F12" s="85"/>
      <c r="G12" s="182">
        <f>G9-G10-G11</f>
        <v>332408.93066054257</v>
      </c>
      <c r="H12" s="41"/>
      <c r="I12" s="41"/>
      <c r="J12" s="41"/>
      <c r="K12" s="41"/>
      <c r="L12" s="4"/>
      <c r="M12" s="4"/>
    </row>
    <row r="13" spans="1:13" x14ac:dyDescent="0.35">
      <c r="A13" s="358" t="s">
        <v>64</v>
      </c>
      <c r="B13" s="182"/>
      <c r="C13" s="182"/>
      <c r="D13" s="82"/>
      <c r="E13" s="182"/>
      <c r="F13" s="85"/>
      <c r="G13" s="57">
        <f>ROUND(G12/G10,4)</f>
        <v>0.1125</v>
      </c>
      <c r="H13" s="41"/>
      <c r="I13" s="41"/>
      <c r="J13" s="4"/>
      <c r="K13" s="41"/>
      <c r="L13" s="4"/>
      <c r="M13" s="4"/>
    </row>
    <row r="14" spans="1:13" x14ac:dyDescent="0.35">
      <c r="A14" s="48"/>
      <c r="B14" s="41"/>
      <c r="C14" s="41"/>
      <c r="D14" s="54"/>
      <c r="E14" s="41"/>
      <c r="F14" s="49"/>
      <c r="G14" s="55"/>
      <c r="H14" s="41"/>
      <c r="I14" s="41"/>
      <c r="J14" s="4"/>
      <c r="K14" s="41"/>
      <c r="L14" s="4"/>
      <c r="M14" s="4"/>
    </row>
    <row r="15" spans="1:13" x14ac:dyDescent="0.35">
      <c r="A15" s="48"/>
      <c r="B15" s="41"/>
      <c r="C15" s="41"/>
      <c r="D15" s="54"/>
      <c r="E15" s="41"/>
      <c r="F15" s="49"/>
      <c r="G15" s="55"/>
      <c r="H15" s="41"/>
      <c r="I15" s="41"/>
      <c r="J15" s="4"/>
      <c r="K15" s="41"/>
      <c r="L15" s="4"/>
      <c r="M15" s="4"/>
    </row>
    <row r="16" spans="1:13" x14ac:dyDescent="0.35">
      <c r="A16" s="4"/>
      <c r="B16" s="487" t="s">
        <v>303</v>
      </c>
      <c r="C16" s="487"/>
      <c r="D16" s="487"/>
      <c r="E16" s="487"/>
      <c r="F16" s="4"/>
      <c r="G16" s="4"/>
      <c r="H16" s="4"/>
      <c r="I16" s="4"/>
      <c r="J16" s="4"/>
      <c r="K16" s="4"/>
      <c r="L16" s="4"/>
      <c r="M16" s="4"/>
    </row>
    <row r="17" spans="1:13" ht="18.5" x14ac:dyDescent="0.35">
      <c r="A17" s="481" t="s">
        <v>199</v>
      </c>
      <c r="B17" s="481"/>
      <c r="C17" s="481"/>
      <c r="D17" s="481"/>
      <c r="E17" s="481"/>
      <c r="F17" s="481"/>
      <c r="G17" s="481"/>
      <c r="H17" s="4"/>
      <c r="I17" s="4"/>
      <c r="J17" s="4"/>
      <c r="K17" s="4"/>
      <c r="L17" s="4"/>
      <c r="M17" s="4"/>
    </row>
    <row r="18" spans="1:13" x14ac:dyDescent="0.35">
      <c r="A18" s="251" t="s">
        <v>37</v>
      </c>
      <c r="B18" s="252"/>
      <c r="C18" s="252"/>
      <c r="D18" s="54"/>
      <c r="E18" s="41"/>
      <c r="F18" s="49"/>
      <c r="G18" s="4">
        <f>SAO!G47</f>
        <v>2842860.0806605429</v>
      </c>
      <c r="H18" s="4"/>
      <c r="I18" s="4"/>
      <c r="J18" s="4"/>
      <c r="K18" s="4"/>
      <c r="L18" s="4"/>
      <c r="M18" s="4"/>
    </row>
    <row r="19" spans="1:13" x14ac:dyDescent="0.35">
      <c r="A19" s="252" t="s">
        <v>200</v>
      </c>
      <c r="B19" s="252"/>
      <c r="C19" s="252"/>
      <c r="D19" s="54"/>
      <c r="E19" s="41"/>
      <c r="F19" s="49"/>
      <c r="G19" s="174">
        <v>0.88</v>
      </c>
      <c r="H19" s="4"/>
      <c r="I19" s="4"/>
      <c r="J19" s="4"/>
      <c r="K19" s="4"/>
      <c r="L19" s="4"/>
      <c r="M19" s="4"/>
    </row>
    <row r="20" spans="1:13" x14ac:dyDescent="0.35">
      <c r="A20" s="252" t="s">
        <v>201</v>
      </c>
      <c r="B20" s="108"/>
      <c r="C20" s="108"/>
      <c r="D20" s="54"/>
      <c r="E20" s="41"/>
      <c r="F20" s="49"/>
      <c r="G20" s="4">
        <f>G18/G19</f>
        <v>3230522.818932435</v>
      </c>
      <c r="H20" s="4"/>
      <c r="I20" s="4"/>
      <c r="J20" s="4"/>
      <c r="K20" s="4"/>
      <c r="L20" s="4"/>
      <c r="M20" s="4"/>
    </row>
    <row r="21" spans="1:13" ht="17" x14ac:dyDescent="0.5">
      <c r="A21" s="252" t="s">
        <v>20</v>
      </c>
      <c r="B21" s="252"/>
      <c r="C21" s="252" t="s">
        <v>202</v>
      </c>
      <c r="D21" s="54"/>
      <c r="E21" s="41"/>
      <c r="F21" s="49"/>
      <c r="G21" s="189">
        <f>'Debt Service'!M29</f>
        <v>211251.8</v>
      </c>
      <c r="H21" s="4"/>
      <c r="I21" s="4" t="s">
        <v>205</v>
      </c>
      <c r="J21" s="41"/>
      <c r="K21" s="41"/>
      <c r="L21" s="4" t="s">
        <v>204</v>
      </c>
      <c r="M21" s="4"/>
    </row>
    <row r="22" spans="1:13" x14ac:dyDescent="0.35">
      <c r="A22" s="251" t="s">
        <v>62</v>
      </c>
      <c r="B22" s="252"/>
      <c r="C22" s="252"/>
      <c r="D22" s="54"/>
      <c r="E22" s="41"/>
      <c r="F22" s="49"/>
      <c r="G22" s="4">
        <f>G20+G21</f>
        <v>3441774.6189324348</v>
      </c>
      <c r="H22" s="4"/>
      <c r="I22" s="4"/>
      <c r="J22" s="4"/>
      <c r="K22" s="4"/>
      <c r="L22" s="4"/>
      <c r="M22" s="4"/>
    </row>
    <row r="23" spans="1:13" x14ac:dyDescent="0.35">
      <c r="A23" s="252" t="s">
        <v>21</v>
      </c>
      <c r="B23" s="252"/>
      <c r="C23" s="257" t="s">
        <v>22</v>
      </c>
      <c r="D23" s="54"/>
      <c r="E23" s="41"/>
      <c r="F23" s="49"/>
      <c r="G23" s="345">
        <f>SUM(SAO!G10:G12)</f>
        <v>77798</v>
      </c>
      <c r="H23" s="4"/>
      <c r="I23" s="4"/>
      <c r="J23" s="4"/>
      <c r="K23" s="4"/>
      <c r="L23" s="4"/>
      <c r="M23" s="4"/>
    </row>
    <row r="24" spans="1:13" ht="17" x14ac:dyDescent="0.5">
      <c r="A24" s="252"/>
      <c r="B24" s="252"/>
      <c r="C24" s="258" t="s">
        <v>180</v>
      </c>
      <c r="D24" s="54"/>
      <c r="E24" s="41"/>
      <c r="F24" s="49"/>
      <c r="G24" s="31">
        <f>G7+G8</f>
        <v>26869</v>
      </c>
      <c r="H24" s="4"/>
      <c r="I24" s="4"/>
      <c r="J24" s="4"/>
      <c r="K24" s="4"/>
      <c r="L24" s="4"/>
      <c r="M24" s="4"/>
    </row>
    <row r="25" spans="1:13" x14ac:dyDescent="0.35">
      <c r="A25" s="251" t="s">
        <v>60</v>
      </c>
      <c r="B25" s="252"/>
      <c r="C25" s="252"/>
      <c r="D25" s="54"/>
      <c r="E25" s="41"/>
      <c r="F25" s="49"/>
      <c r="G25" s="4">
        <f>G22-G23-G24</f>
        <v>3337107.6189324348</v>
      </c>
      <c r="H25" s="4"/>
      <c r="I25" s="4"/>
      <c r="J25" s="4"/>
      <c r="K25" s="4"/>
      <c r="L25" s="4"/>
      <c r="M25" s="4"/>
    </row>
    <row r="26" spans="1:13" x14ac:dyDescent="0.35">
      <c r="A26" s="252" t="s">
        <v>21</v>
      </c>
      <c r="B26" s="252"/>
      <c r="C26" s="255" t="s">
        <v>61</v>
      </c>
      <c r="D26" s="54"/>
      <c r="E26" s="41"/>
      <c r="F26" s="49"/>
      <c r="G26" s="3">
        <f>SAO!G6</f>
        <v>2954846.31</v>
      </c>
      <c r="H26" s="4"/>
      <c r="I26" s="4"/>
      <c r="J26" s="4"/>
      <c r="K26" s="4"/>
      <c r="L26" s="4"/>
      <c r="M26" s="4"/>
    </row>
    <row r="27" spans="1:13" ht="17" x14ac:dyDescent="0.5">
      <c r="A27" s="252"/>
      <c r="B27" s="252"/>
      <c r="C27" s="256" t="s">
        <v>15</v>
      </c>
      <c r="D27" s="54"/>
      <c r="E27" s="41"/>
      <c r="F27" s="49"/>
      <c r="G27" s="31">
        <f>SAO!G8</f>
        <v>0</v>
      </c>
      <c r="H27" s="4"/>
      <c r="I27" s="4"/>
      <c r="J27" s="4"/>
      <c r="K27" s="4"/>
      <c r="L27" s="4"/>
      <c r="M27" s="4"/>
    </row>
    <row r="28" spans="1:13" x14ac:dyDescent="0.35">
      <c r="A28" s="251" t="s">
        <v>63</v>
      </c>
      <c r="B28" s="252"/>
      <c r="C28" s="252"/>
      <c r="D28" s="54"/>
      <c r="E28" s="41"/>
      <c r="F28" s="49"/>
      <c r="G28" s="3">
        <f>G25-G26</f>
        <v>382261.30893243477</v>
      </c>
      <c r="H28" s="4"/>
      <c r="I28" s="4"/>
      <c r="J28" s="4"/>
      <c r="K28" s="4"/>
      <c r="L28" s="4"/>
      <c r="M28" s="4"/>
    </row>
    <row r="29" spans="1:13" x14ac:dyDescent="0.35">
      <c r="A29" s="251" t="s">
        <v>64</v>
      </c>
      <c r="B29" s="252"/>
      <c r="C29" s="252"/>
      <c r="D29" s="4"/>
      <c r="E29" s="4"/>
      <c r="F29" s="4"/>
      <c r="G29" s="55">
        <f>G28/G26</f>
        <v>0.12936757747391428</v>
      </c>
      <c r="H29" s="4"/>
      <c r="I29" s="174"/>
      <c r="J29" s="4"/>
      <c r="K29" s="4"/>
      <c r="L29" s="4"/>
      <c r="M29" s="4"/>
    </row>
  </sheetData>
  <mergeCells count="3">
    <mergeCell ref="A1:G1"/>
    <mergeCell ref="A17:G17"/>
    <mergeCell ref="B16:E16"/>
  </mergeCells>
  <printOptions horizontalCentered="1" verticalCentered="1"/>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A0393-D2CF-4D21-9B7A-5D1DCEEBF31D}">
  <sheetPr>
    <tabColor rgb="FF92D050"/>
  </sheetPr>
  <dimension ref="B2:D31"/>
  <sheetViews>
    <sheetView showGridLines="0" workbookViewId="0">
      <selection activeCell="B2" sqref="B2:D25"/>
    </sheetView>
  </sheetViews>
  <sheetFormatPr defaultRowHeight="15.5" x14ac:dyDescent="0.35"/>
  <cols>
    <col min="2" max="2" width="2.3046875" bestFit="1" customWidth="1"/>
    <col min="3" max="3" width="78.15234375" customWidth="1"/>
    <col min="4" max="4" width="2" bestFit="1" customWidth="1"/>
  </cols>
  <sheetData>
    <row r="2" spans="2:4" x14ac:dyDescent="0.35">
      <c r="B2" s="277"/>
      <c r="C2" s="480" t="s">
        <v>215</v>
      </c>
    </row>
    <row r="3" spans="2:4" x14ac:dyDescent="0.35">
      <c r="B3" s="278" t="s">
        <v>196</v>
      </c>
      <c r="C3" s="279" t="s">
        <v>216</v>
      </c>
      <c r="D3" s="280"/>
    </row>
    <row r="4" spans="2:4" x14ac:dyDescent="0.35">
      <c r="B4" s="278"/>
      <c r="C4" s="279"/>
      <c r="D4" s="280"/>
    </row>
    <row r="5" spans="2:4" ht="31" x14ac:dyDescent="0.35">
      <c r="B5" s="278" t="s">
        <v>255</v>
      </c>
      <c r="C5" s="279" t="s">
        <v>343</v>
      </c>
    </row>
    <row r="6" spans="2:4" x14ac:dyDescent="0.35">
      <c r="B6" s="278"/>
      <c r="C6" s="279"/>
    </row>
    <row r="7" spans="2:4" ht="31" x14ac:dyDescent="0.35">
      <c r="B7" s="278" t="s">
        <v>256</v>
      </c>
      <c r="C7" s="279" t="s">
        <v>344</v>
      </c>
    </row>
    <row r="8" spans="2:4" x14ac:dyDescent="0.35">
      <c r="B8" s="278"/>
      <c r="C8" s="279"/>
    </row>
    <row r="9" spans="2:4" x14ac:dyDescent="0.35">
      <c r="B9" s="278" t="s">
        <v>292</v>
      </c>
      <c r="C9" s="279" t="s">
        <v>294</v>
      </c>
    </row>
    <row r="10" spans="2:4" x14ac:dyDescent="0.35">
      <c r="B10" s="277"/>
      <c r="C10" s="281"/>
    </row>
    <row r="11" spans="2:4" x14ac:dyDescent="0.35">
      <c r="B11" s="278" t="s">
        <v>293</v>
      </c>
      <c r="C11" s="279" t="s">
        <v>345</v>
      </c>
    </row>
    <row r="12" spans="2:4" x14ac:dyDescent="0.35">
      <c r="B12" s="277"/>
      <c r="C12" s="281"/>
    </row>
    <row r="13" spans="2:4" ht="81" customHeight="1" x14ac:dyDescent="0.35">
      <c r="B13" s="278" t="s">
        <v>295</v>
      </c>
      <c r="C13" s="279" t="s">
        <v>315</v>
      </c>
    </row>
    <row r="14" spans="2:4" x14ac:dyDescent="0.35">
      <c r="B14" s="277"/>
      <c r="C14" s="281"/>
    </row>
    <row r="15" spans="2:4" ht="31" x14ac:dyDescent="0.35">
      <c r="B15" s="278" t="s">
        <v>296</v>
      </c>
      <c r="C15" s="281" t="s">
        <v>357</v>
      </c>
    </row>
    <row r="16" spans="2:4" x14ac:dyDescent="0.35">
      <c r="B16" s="277"/>
      <c r="C16" s="281"/>
    </row>
    <row r="17" spans="2:3" ht="62" x14ac:dyDescent="0.35">
      <c r="B17" s="278" t="s">
        <v>297</v>
      </c>
      <c r="C17" s="279" t="s">
        <v>310</v>
      </c>
    </row>
    <row r="18" spans="2:3" x14ac:dyDescent="0.35">
      <c r="B18" s="277"/>
      <c r="C18" s="281"/>
    </row>
    <row r="19" spans="2:3" x14ac:dyDescent="0.35">
      <c r="B19" s="278" t="s">
        <v>298</v>
      </c>
      <c r="C19" s="279" t="s">
        <v>347</v>
      </c>
    </row>
    <row r="20" spans="2:3" x14ac:dyDescent="0.35">
      <c r="B20" s="277"/>
      <c r="C20" s="281"/>
    </row>
    <row r="21" spans="2:3" ht="46.5" x14ac:dyDescent="0.35">
      <c r="B21" s="278" t="s">
        <v>299</v>
      </c>
      <c r="C21" s="279" t="s">
        <v>348</v>
      </c>
    </row>
    <row r="22" spans="2:3" x14ac:dyDescent="0.35">
      <c r="B22" s="277"/>
      <c r="C22" s="281"/>
    </row>
    <row r="23" spans="2:3" ht="46.5" x14ac:dyDescent="0.35">
      <c r="B23" s="278" t="s">
        <v>350</v>
      </c>
      <c r="C23" s="279" t="s">
        <v>349</v>
      </c>
    </row>
    <row r="24" spans="2:3" x14ac:dyDescent="0.35">
      <c r="C24" s="281"/>
    </row>
    <row r="25" spans="2:3" x14ac:dyDescent="0.35">
      <c r="B25" t="s">
        <v>356</v>
      </c>
      <c r="C25" s="279" t="s">
        <v>354</v>
      </c>
    </row>
    <row r="26" spans="2:3" x14ac:dyDescent="0.35">
      <c r="B26" s="277"/>
      <c r="C26" s="281"/>
    </row>
    <row r="27" spans="2:3" x14ac:dyDescent="0.35">
      <c r="B27" s="278"/>
      <c r="C27" s="279"/>
    </row>
    <row r="28" spans="2:3" x14ac:dyDescent="0.35">
      <c r="B28" s="277"/>
      <c r="C28" s="281"/>
    </row>
    <row r="29" spans="2:3" x14ac:dyDescent="0.35">
      <c r="B29" s="278"/>
      <c r="C29" s="279"/>
    </row>
    <row r="30" spans="2:3" x14ac:dyDescent="0.35">
      <c r="B30" s="277"/>
      <c r="C30" s="281"/>
    </row>
    <row r="31" spans="2:3" x14ac:dyDescent="0.35">
      <c r="B31" s="278"/>
      <c r="C31" s="27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423B5-3C4F-4A66-BDCE-8C5FC4A546FE}">
  <sheetPr>
    <tabColor rgb="FF92D050"/>
  </sheetPr>
  <dimension ref="A1:I27"/>
  <sheetViews>
    <sheetView workbookViewId="0">
      <selection activeCell="E33" sqref="E33"/>
    </sheetView>
  </sheetViews>
  <sheetFormatPr defaultColWidth="8.84375" defaultRowHeight="14.5" x14ac:dyDescent="0.35"/>
  <cols>
    <col min="1" max="1" width="18.69140625" style="1" customWidth="1"/>
    <col min="2" max="2" width="9.84375" style="4" bestFit="1" customWidth="1"/>
    <col min="3" max="3" width="8.84375" style="1"/>
    <col min="4" max="4" width="9.07421875" style="1" bestFit="1" customWidth="1"/>
    <col min="5" max="6" width="8.84375" style="1"/>
    <col min="7" max="8" width="9.53515625" style="1" bestFit="1" customWidth="1"/>
    <col min="9" max="9" width="9.3828125" style="1" bestFit="1" customWidth="1"/>
    <col min="10" max="16384" width="8.84375" style="1"/>
  </cols>
  <sheetData>
    <row r="1" spans="1:9" x14ac:dyDescent="0.35">
      <c r="A1" s="1" t="s">
        <v>312</v>
      </c>
      <c r="I1" s="12"/>
    </row>
    <row r="2" spans="1:9" x14ac:dyDescent="0.35">
      <c r="A2" s="1" t="s">
        <v>163</v>
      </c>
      <c r="C2" s="4">
        <v>314884</v>
      </c>
      <c r="G2" s="274"/>
      <c r="H2" s="274"/>
      <c r="I2" s="274"/>
    </row>
    <row r="3" spans="1:9" x14ac:dyDescent="0.35">
      <c r="A3" s="1" t="s">
        <v>164</v>
      </c>
      <c r="C3" s="300">
        <v>247089</v>
      </c>
    </row>
    <row r="4" spans="1:9" x14ac:dyDescent="0.35">
      <c r="A4" s="1" t="s">
        <v>165</v>
      </c>
    </row>
    <row r="5" spans="1:9" x14ac:dyDescent="0.35">
      <c r="A5" s="1" t="s">
        <v>166</v>
      </c>
      <c r="B5" s="4">
        <v>0</v>
      </c>
    </row>
    <row r="6" spans="1:9" x14ac:dyDescent="0.35">
      <c r="A6" s="1" t="s">
        <v>167</v>
      </c>
      <c r="B6" s="4">
        <v>7874</v>
      </c>
    </row>
    <row r="7" spans="1:9" x14ac:dyDescent="0.35">
      <c r="A7" s="1" t="s">
        <v>168</v>
      </c>
      <c r="B7" s="4">
        <v>376</v>
      </c>
    </row>
    <row r="8" spans="1:9" x14ac:dyDescent="0.35">
      <c r="A8" s="1" t="s">
        <v>313</v>
      </c>
      <c r="B8" s="4">
        <v>6</v>
      </c>
    </row>
    <row r="9" spans="1:9" x14ac:dyDescent="0.35">
      <c r="A9" s="80" t="s">
        <v>314</v>
      </c>
      <c r="C9" s="108">
        <f>B5+B6+B7+B8</f>
        <v>8256</v>
      </c>
    </row>
    <row r="10" spans="1:9" x14ac:dyDescent="0.35">
      <c r="A10" s="1" t="s">
        <v>169</v>
      </c>
      <c r="B10" s="4">
        <v>0</v>
      </c>
    </row>
    <row r="11" spans="1:9" x14ac:dyDescent="0.35">
      <c r="A11" s="1" t="s">
        <v>170</v>
      </c>
      <c r="B11" s="4">
        <v>15237</v>
      </c>
    </row>
    <row r="12" spans="1:9" x14ac:dyDescent="0.35">
      <c r="A12" s="1" t="s">
        <v>171</v>
      </c>
      <c r="B12" s="4">
        <v>44302</v>
      </c>
    </row>
    <row r="13" spans="1:9" x14ac:dyDescent="0.35">
      <c r="A13" s="1" t="s">
        <v>175</v>
      </c>
    </row>
    <row r="14" spans="1:9" x14ac:dyDescent="0.35">
      <c r="C14" s="108">
        <f>B10+B11+B12+B13</f>
        <v>59539</v>
      </c>
      <c r="D14" s="175">
        <f>C14/C2</f>
        <v>0.18908232873058015</v>
      </c>
      <c r="E14" s="1" t="s">
        <v>172</v>
      </c>
    </row>
    <row r="15" spans="1:9" x14ac:dyDescent="0.35">
      <c r="C15" s="108"/>
      <c r="D15" s="175">
        <v>0.15</v>
      </c>
      <c r="E15" s="1" t="s">
        <v>173</v>
      </c>
    </row>
    <row r="16" spans="1:9" x14ac:dyDescent="0.35">
      <c r="D16" s="181">
        <f>IF(D14&gt;D15,D14-D15,0)</f>
        <v>3.9082328730580151E-2</v>
      </c>
      <c r="E16" s="1" t="s">
        <v>174</v>
      </c>
      <c r="G16" s="12"/>
    </row>
    <row r="18" spans="1:5" x14ac:dyDescent="0.35">
      <c r="A18" s="348" t="s">
        <v>197</v>
      </c>
      <c r="B18" s="349"/>
      <c r="C18" s="348"/>
      <c r="D18" s="348" t="s">
        <v>38</v>
      </c>
    </row>
    <row r="19" spans="1:5" x14ac:dyDescent="0.35">
      <c r="A19" s="1" t="s">
        <v>5</v>
      </c>
      <c r="B19" s="247">
        <f>SAO!D25</f>
        <v>931374</v>
      </c>
      <c r="D19" s="246">
        <f>-D16*B19</f>
        <v>-36400.264839115356</v>
      </c>
      <c r="E19" s="12" t="s">
        <v>295</v>
      </c>
    </row>
    <row r="20" spans="1:5" x14ac:dyDescent="0.35">
      <c r="A20" s="1" t="s">
        <v>6</v>
      </c>
      <c r="B20" s="247">
        <f>SAO!D27+SAO!D28</f>
        <v>35460</v>
      </c>
      <c r="D20" s="246">
        <f>-D16*B20</f>
        <v>-1385.8593767863722</v>
      </c>
      <c r="E20" s="12" t="s">
        <v>295</v>
      </c>
    </row>
    <row r="21" spans="1:5" x14ac:dyDescent="0.35">
      <c r="A21" s="1" t="s">
        <v>87</v>
      </c>
      <c r="B21" s="248">
        <f>SAO!D29</f>
        <v>0</v>
      </c>
      <c r="C21" s="249"/>
      <c r="D21" s="250">
        <f>D16*B21</f>
        <v>0</v>
      </c>
    </row>
    <row r="22" spans="1:5" x14ac:dyDescent="0.35">
      <c r="A22" s="1" t="s">
        <v>12</v>
      </c>
      <c r="B22" s="247">
        <f>SUM(B19:B21)</f>
        <v>966834</v>
      </c>
      <c r="D22" s="246">
        <f>SUM(D19:D21)</f>
        <v>-37786.124215901727</v>
      </c>
    </row>
    <row r="24" spans="1:5" x14ac:dyDescent="0.35">
      <c r="B24" s="309"/>
    </row>
    <row r="25" spans="1:5" x14ac:dyDescent="0.35">
      <c r="B25" s="309"/>
      <c r="D25" s="460"/>
    </row>
    <row r="26" spans="1:5" x14ac:dyDescent="0.35">
      <c r="B26" s="309"/>
      <c r="D26" s="108"/>
    </row>
    <row r="27" spans="1:5" x14ac:dyDescent="0.35">
      <c r="B27" s="309"/>
      <c r="D27" s="35"/>
    </row>
  </sheetData>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105"/>
  <sheetViews>
    <sheetView tabSelected="1" topLeftCell="A10" workbookViewId="0">
      <selection activeCell="J16" sqref="J16"/>
    </sheetView>
  </sheetViews>
  <sheetFormatPr defaultColWidth="8.84375" defaultRowHeight="14.5" x14ac:dyDescent="0.35"/>
  <cols>
    <col min="1" max="1" width="17.921875" style="1" customWidth="1"/>
    <col min="2" max="2" width="9.84375" style="1" customWidth="1"/>
    <col min="3" max="3" width="12.4609375" style="1" customWidth="1"/>
    <col min="4" max="5" width="9.765625" style="1" customWidth="1"/>
    <col min="6" max="6" width="10.69140625" style="1" customWidth="1"/>
    <col min="7" max="7" width="10.07421875" style="169" customWidth="1"/>
    <col min="8" max="8" width="10.53515625" style="1" customWidth="1"/>
    <col min="9" max="10" width="8.84375" style="1"/>
    <col min="11" max="11" width="10.07421875" style="1" customWidth="1"/>
    <col min="12" max="12" width="9" style="1" bestFit="1" customWidth="1"/>
    <col min="13" max="13" width="14.23046875" style="1" bestFit="1" customWidth="1"/>
    <col min="14" max="16384" width="8.84375" style="1"/>
  </cols>
  <sheetData>
    <row r="1" spans="1:11" x14ac:dyDescent="0.35">
      <c r="A1" s="100" t="s">
        <v>80</v>
      </c>
    </row>
    <row r="3" spans="1:11" x14ac:dyDescent="0.35">
      <c r="A3" s="208" t="s">
        <v>187</v>
      </c>
      <c r="C3" s="12" t="s">
        <v>72</v>
      </c>
      <c r="F3" s="12" t="s">
        <v>158</v>
      </c>
      <c r="G3" s="169" t="s">
        <v>159</v>
      </c>
      <c r="H3" s="12" t="s">
        <v>159</v>
      </c>
      <c r="J3" s="15"/>
      <c r="K3" s="15"/>
    </row>
    <row r="4" spans="1:11" x14ac:dyDescent="0.35">
      <c r="B4" s="12" t="s">
        <v>72</v>
      </c>
      <c r="C4" s="12" t="s">
        <v>73</v>
      </c>
      <c r="D4" s="12" t="s">
        <v>73</v>
      </c>
      <c r="E4" s="12" t="s">
        <v>74</v>
      </c>
      <c r="F4" s="12" t="s">
        <v>76</v>
      </c>
      <c r="G4" s="169" t="s">
        <v>77</v>
      </c>
      <c r="H4" s="12" t="s">
        <v>77</v>
      </c>
      <c r="J4" s="1" t="s">
        <v>372</v>
      </c>
    </row>
    <row r="5" spans="1:11" x14ac:dyDescent="0.35">
      <c r="A5" s="13" t="s">
        <v>371</v>
      </c>
      <c r="B5" s="13" t="s">
        <v>75</v>
      </c>
      <c r="C5" s="13" t="s">
        <v>81</v>
      </c>
      <c r="D5" s="13" t="s">
        <v>82</v>
      </c>
      <c r="E5" s="13" t="s">
        <v>82</v>
      </c>
      <c r="F5" s="33" t="s">
        <v>75</v>
      </c>
      <c r="G5" s="170" t="s">
        <v>78</v>
      </c>
      <c r="H5" s="33" t="s">
        <v>79</v>
      </c>
      <c r="J5" s="1" t="s">
        <v>373</v>
      </c>
    </row>
    <row r="6" spans="1:11" x14ac:dyDescent="0.35">
      <c r="A6" s="12">
        <v>1</v>
      </c>
      <c r="B6" s="30">
        <v>1631.4</v>
      </c>
      <c r="C6" s="30">
        <v>0</v>
      </c>
      <c r="D6" s="34">
        <f>IF(B6&gt;0,C6/B6,0)</f>
        <v>0</v>
      </c>
      <c r="E6" s="34">
        <f>1-D6</f>
        <v>1</v>
      </c>
      <c r="F6" s="35">
        <f>B6*E6*12</f>
        <v>19576.800000000003</v>
      </c>
      <c r="G6" s="337">
        <v>0.67</v>
      </c>
      <c r="H6" s="35">
        <f>B6*G6*12</f>
        <v>13116.456000000002</v>
      </c>
    </row>
    <row r="7" spans="1:11" x14ac:dyDescent="0.35">
      <c r="A7" s="12">
        <v>2</v>
      </c>
      <c r="B7" s="30">
        <v>1631.4</v>
      </c>
      <c r="C7" s="30">
        <v>0</v>
      </c>
      <c r="D7" s="34">
        <f t="shared" ref="D7:D13" si="0">IF(B7&gt;0,C7/B7,0)</f>
        <v>0</v>
      </c>
      <c r="E7" s="34">
        <f t="shared" ref="E7:E13" si="1">1-D7</f>
        <v>1</v>
      </c>
      <c r="F7" s="35">
        <f t="shared" ref="F7:F13" si="2">B7*E7*12</f>
        <v>19576.800000000003</v>
      </c>
      <c r="G7" s="337">
        <v>0.78</v>
      </c>
      <c r="H7" s="35">
        <f t="shared" ref="H7:H13" si="3">B7*G7*12</f>
        <v>15269.904000000002</v>
      </c>
    </row>
    <row r="8" spans="1:11" x14ac:dyDescent="0.35">
      <c r="A8" s="12">
        <v>4</v>
      </c>
      <c r="B8" s="30">
        <v>1083.06</v>
      </c>
      <c r="C8" s="30">
        <v>0</v>
      </c>
      <c r="D8" s="34">
        <f t="shared" si="0"/>
        <v>0</v>
      </c>
      <c r="E8" s="34">
        <f t="shared" si="1"/>
        <v>1</v>
      </c>
      <c r="F8" s="35">
        <f t="shared" si="2"/>
        <v>12996.72</v>
      </c>
      <c r="G8" s="337">
        <v>0.67</v>
      </c>
      <c r="H8" s="35">
        <f t="shared" si="3"/>
        <v>8707.8024000000005</v>
      </c>
    </row>
    <row r="9" spans="1:11" x14ac:dyDescent="0.35">
      <c r="A9" s="12">
        <v>5</v>
      </c>
      <c r="B9" s="30">
        <v>1631.4</v>
      </c>
      <c r="C9" s="30">
        <v>0</v>
      </c>
      <c r="D9" s="34">
        <f t="shared" si="0"/>
        <v>0</v>
      </c>
      <c r="E9" s="34">
        <f t="shared" si="1"/>
        <v>1</v>
      </c>
      <c r="F9" s="35">
        <f t="shared" si="2"/>
        <v>19576.800000000003</v>
      </c>
      <c r="G9" s="337">
        <v>0.78</v>
      </c>
      <c r="H9" s="35">
        <f t="shared" si="3"/>
        <v>15269.904000000002</v>
      </c>
    </row>
    <row r="10" spans="1:11" x14ac:dyDescent="0.35">
      <c r="A10" s="12">
        <v>6</v>
      </c>
      <c r="B10" s="30">
        <v>1661.81</v>
      </c>
      <c r="C10" s="30">
        <v>0</v>
      </c>
      <c r="D10" s="34">
        <f t="shared" si="0"/>
        <v>0</v>
      </c>
      <c r="E10" s="34">
        <f t="shared" si="1"/>
        <v>1</v>
      </c>
      <c r="F10" s="35">
        <f t="shared" si="2"/>
        <v>19941.72</v>
      </c>
      <c r="G10" s="337">
        <v>0.67</v>
      </c>
      <c r="H10" s="35">
        <f t="shared" si="3"/>
        <v>13360.952400000002</v>
      </c>
    </row>
    <row r="11" spans="1:11" x14ac:dyDescent="0.35">
      <c r="A11" s="12">
        <v>7</v>
      </c>
      <c r="B11" s="30">
        <v>1004.95</v>
      </c>
      <c r="C11" s="30">
        <v>0</v>
      </c>
      <c r="D11" s="34">
        <f t="shared" si="0"/>
        <v>0</v>
      </c>
      <c r="E11" s="34">
        <f t="shared" si="1"/>
        <v>1</v>
      </c>
      <c r="F11" s="35">
        <f t="shared" si="2"/>
        <v>12059.400000000001</v>
      </c>
      <c r="G11" s="337">
        <v>0.78</v>
      </c>
      <c r="H11" s="35">
        <f t="shared" si="3"/>
        <v>9406.3320000000022</v>
      </c>
    </row>
    <row r="12" spans="1:11" x14ac:dyDescent="0.35">
      <c r="A12" s="12">
        <v>8</v>
      </c>
      <c r="B12" s="30">
        <v>240.1</v>
      </c>
      <c r="C12" s="30">
        <v>0</v>
      </c>
      <c r="D12" s="34">
        <f t="shared" si="0"/>
        <v>0</v>
      </c>
      <c r="E12" s="34">
        <f t="shared" si="1"/>
        <v>1</v>
      </c>
      <c r="F12" s="35">
        <f t="shared" si="2"/>
        <v>2881.2</v>
      </c>
      <c r="G12" s="337">
        <v>0.78</v>
      </c>
      <c r="H12" s="35">
        <f t="shared" si="3"/>
        <v>2247.3359999999998</v>
      </c>
    </row>
    <row r="13" spans="1:11" x14ac:dyDescent="0.35">
      <c r="A13" s="12">
        <v>11</v>
      </c>
      <c r="B13" s="30">
        <v>1899.29</v>
      </c>
      <c r="C13" s="30">
        <v>0</v>
      </c>
      <c r="D13" s="34">
        <f t="shared" si="0"/>
        <v>0</v>
      </c>
      <c r="E13" s="34">
        <f t="shared" si="1"/>
        <v>1</v>
      </c>
      <c r="F13" s="35">
        <f t="shared" si="2"/>
        <v>22791.48</v>
      </c>
      <c r="G13" s="337">
        <v>0</v>
      </c>
      <c r="H13" s="35">
        <f t="shared" si="3"/>
        <v>0</v>
      </c>
    </row>
    <row r="14" spans="1:11" x14ac:dyDescent="0.35">
      <c r="A14" s="12">
        <v>12</v>
      </c>
      <c r="B14" s="30">
        <v>1631.4</v>
      </c>
      <c r="C14" s="30">
        <v>0</v>
      </c>
      <c r="D14" s="34">
        <f t="shared" ref="D14" si="4">IF(B14&gt;0,C14/B14,0)</f>
        <v>0</v>
      </c>
      <c r="E14" s="34">
        <f t="shared" ref="E14" si="5">1-D14</f>
        <v>1</v>
      </c>
      <c r="F14" s="35">
        <f t="shared" ref="F14" si="6">B14*E14*12</f>
        <v>19576.800000000003</v>
      </c>
      <c r="G14" s="337">
        <v>0.78</v>
      </c>
      <c r="H14" s="35">
        <f t="shared" ref="H14" si="7">B14*G14*12</f>
        <v>15269.904000000002</v>
      </c>
    </row>
    <row r="15" spans="1:11" x14ac:dyDescent="0.35">
      <c r="A15" s="525" t="s">
        <v>376</v>
      </c>
      <c r="B15" s="530">
        <v>1631.4</v>
      </c>
      <c r="C15" s="530">
        <v>0</v>
      </c>
      <c r="D15" s="531">
        <f t="shared" ref="D15" si="8">IF(B15&gt;0,C15/B15,0)</f>
        <v>0</v>
      </c>
      <c r="E15" s="531">
        <f t="shared" ref="E15" si="9">1-D15</f>
        <v>1</v>
      </c>
      <c r="F15" s="534">
        <f t="shared" ref="F15" si="10">B15*E15*12</f>
        <v>19576.800000000003</v>
      </c>
      <c r="G15" s="533">
        <v>0.78</v>
      </c>
      <c r="H15" s="534">
        <f t="shared" ref="H15" si="11">B15*G15*12</f>
        <v>15269.904000000002</v>
      </c>
    </row>
    <row r="16" spans="1:11" x14ac:dyDescent="0.35">
      <c r="B16" s="30"/>
      <c r="C16" s="30"/>
      <c r="D16" s="34"/>
      <c r="E16" s="34"/>
      <c r="F16" s="35"/>
      <c r="G16" s="337"/>
      <c r="H16" s="35"/>
    </row>
    <row r="17" spans="1:8" x14ac:dyDescent="0.35">
      <c r="B17" s="209"/>
      <c r="C17" s="96"/>
      <c r="D17" s="34"/>
      <c r="E17" s="34"/>
      <c r="F17" s="207"/>
      <c r="G17" s="337"/>
      <c r="H17" s="207"/>
    </row>
    <row r="18" spans="1:8" x14ac:dyDescent="0.35">
      <c r="A18" s="1" t="s">
        <v>53</v>
      </c>
      <c r="B18" s="35">
        <f>SUM(B6:B17)</f>
        <v>14046.21</v>
      </c>
      <c r="C18" s="7"/>
      <c r="D18" s="34"/>
      <c r="E18" s="34"/>
      <c r="F18" s="35">
        <f>SUM(F6:F17)</f>
        <v>168554.52000000002</v>
      </c>
      <c r="H18" s="35">
        <f>SUM(H6:H17)</f>
        <v>107918.49480000001</v>
      </c>
    </row>
    <row r="19" spans="1:8" x14ac:dyDescent="0.35">
      <c r="B19" s="35"/>
      <c r="C19" s="7"/>
      <c r="D19" s="34"/>
      <c r="E19" s="34"/>
      <c r="F19" s="35"/>
      <c r="H19" s="35"/>
    </row>
    <row r="20" spans="1:8" x14ac:dyDescent="0.35">
      <c r="C20" s="12" t="s">
        <v>72</v>
      </c>
      <c r="F20" s="12" t="s">
        <v>158</v>
      </c>
      <c r="G20" s="169" t="s">
        <v>159</v>
      </c>
      <c r="H20" s="12" t="s">
        <v>159</v>
      </c>
    </row>
    <row r="21" spans="1:8" x14ac:dyDescent="0.35">
      <c r="B21" s="12" t="s">
        <v>72</v>
      </c>
      <c r="C21" s="12" t="s">
        <v>73</v>
      </c>
      <c r="D21" s="12" t="s">
        <v>73</v>
      </c>
      <c r="E21" s="12" t="s">
        <v>74</v>
      </c>
      <c r="F21" s="12" t="s">
        <v>76</v>
      </c>
      <c r="G21" s="169" t="s">
        <v>77</v>
      </c>
      <c r="H21" s="12" t="s">
        <v>77</v>
      </c>
    </row>
    <row r="22" spans="1:8" x14ac:dyDescent="0.35">
      <c r="A22" s="100" t="s">
        <v>188</v>
      </c>
      <c r="B22" s="13" t="s">
        <v>75</v>
      </c>
      <c r="C22" s="13" t="s">
        <v>81</v>
      </c>
      <c r="D22" s="13" t="s">
        <v>82</v>
      </c>
      <c r="E22" s="13" t="s">
        <v>82</v>
      </c>
      <c r="F22" s="33" t="s">
        <v>75</v>
      </c>
      <c r="G22" s="170" t="s">
        <v>78</v>
      </c>
      <c r="H22" s="33" t="s">
        <v>79</v>
      </c>
    </row>
    <row r="23" spans="1:8" x14ac:dyDescent="0.35">
      <c r="B23" s="30">
        <v>20.9</v>
      </c>
      <c r="C23" s="30">
        <v>0</v>
      </c>
      <c r="D23" s="34">
        <f>IF(B23&gt;0,C23/B23,0)</f>
        <v>0</v>
      </c>
      <c r="E23" s="34">
        <f>1-D23</f>
        <v>1</v>
      </c>
      <c r="F23" s="35">
        <f>B23*E23*12</f>
        <v>250.79999999999998</v>
      </c>
      <c r="G23" s="171">
        <v>0.6</v>
      </c>
      <c r="H23" s="35">
        <f>B23*G23*12</f>
        <v>150.47999999999999</v>
      </c>
    </row>
    <row r="24" spans="1:8" x14ac:dyDescent="0.35">
      <c r="B24" s="30">
        <v>20.9</v>
      </c>
      <c r="C24" s="30">
        <v>0</v>
      </c>
      <c r="D24" s="34">
        <f t="shared" ref="D24:D32" si="12">IF(B24&gt;0,C24/B24,0)</f>
        <v>0</v>
      </c>
      <c r="E24" s="34">
        <f t="shared" ref="E24:E34" si="13">1-D24</f>
        <v>1</v>
      </c>
      <c r="F24" s="35">
        <f t="shared" ref="F24:F34" si="14">B24*E24*12</f>
        <v>250.79999999999998</v>
      </c>
      <c r="G24" s="171">
        <v>0.6</v>
      </c>
      <c r="H24" s="35">
        <f t="shared" ref="H24:H34" si="15">B24*G24*12</f>
        <v>150.47999999999999</v>
      </c>
    </row>
    <row r="25" spans="1:8" x14ac:dyDescent="0.35">
      <c r="B25" s="30">
        <v>20.9</v>
      </c>
      <c r="C25" s="30">
        <v>0</v>
      </c>
      <c r="D25" s="34">
        <f t="shared" si="12"/>
        <v>0</v>
      </c>
      <c r="E25" s="34">
        <f t="shared" si="13"/>
        <v>1</v>
      </c>
      <c r="F25" s="35">
        <f t="shared" si="14"/>
        <v>250.79999999999998</v>
      </c>
      <c r="G25" s="171">
        <v>0.6</v>
      </c>
      <c r="H25" s="35">
        <f t="shared" si="15"/>
        <v>150.47999999999999</v>
      </c>
    </row>
    <row r="26" spans="1:8" x14ac:dyDescent="0.35">
      <c r="B26" s="30">
        <v>20.9</v>
      </c>
      <c r="C26" s="30">
        <v>0</v>
      </c>
      <c r="D26" s="34">
        <f t="shared" si="12"/>
        <v>0</v>
      </c>
      <c r="E26" s="34">
        <f t="shared" si="13"/>
        <v>1</v>
      </c>
      <c r="F26" s="35">
        <f t="shared" si="14"/>
        <v>250.79999999999998</v>
      </c>
      <c r="G26" s="171">
        <v>0.6</v>
      </c>
      <c r="H26" s="35">
        <f t="shared" si="15"/>
        <v>150.47999999999999</v>
      </c>
    </row>
    <row r="27" spans="1:8" x14ac:dyDescent="0.35">
      <c r="B27" s="30">
        <v>20.9</v>
      </c>
      <c r="C27" s="30">
        <v>0</v>
      </c>
      <c r="D27" s="34">
        <f t="shared" si="12"/>
        <v>0</v>
      </c>
      <c r="E27" s="34">
        <f t="shared" si="13"/>
        <v>1</v>
      </c>
      <c r="F27" s="35">
        <f t="shared" si="14"/>
        <v>250.79999999999998</v>
      </c>
      <c r="G27" s="171">
        <v>0.6</v>
      </c>
      <c r="H27" s="35">
        <f t="shared" si="15"/>
        <v>150.47999999999999</v>
      </c>
    </row>
    <row r="28" spans="1:8" x14ac:dyDescent="0.35">
      <c r="B28" s="30">
        <v>20.9</v>
      </c>
      <c r="C28" s="30">
        <v>0</v>
      </c>
      <c r="D28" s="34">
        <f t="shared" ref="D28" si="16">IF(B28&gt;0,C28/B28,0)</f>
        <v>0</v>
      </c>
      <c r="E28" s="34">
        <f t="shared" ref="E28" si="17">1-D28</f>
        <v>1</v>
      </c>
      <c r="F28" s="35">
        <f t="shared" ref="F28" si="18">B28*E28*12</f>
        <v>250.79999999999998</v>
      </c>
      <c r="G28" s="171">
        <v>0.6</v>
      </c>
      <c r="H28" s="35">
        <f t="shared" ref="H28" si="19">B28*G28*12</f>
        <v>150.47999999999999</v>
      </c>
    </row>
    <row r="29" spans="1:8" x14ac:dyDescent="0.35">
      <c r="B29" s="30">
        <v>40.24</v>
      </c>
      <c r="C29" s="30">
        <f>B29-20.9</f>
        <v>19.340000000000003</v>
      </c>
      <c r="D29" s="34">
        <f t="shared" si="12"/>
        <v>0.48061630218687879</v>
      </c>
      <c r="E29" s="34">
        <f t="shared" si="13"/>
        <v>0.51938369781312121</v>
      </c>
      <c r="F29" s="35">
        <f t="shared" si="14"/>
        <v>250.79999999999998</v>
      </c>
      <c r="G29" s="337">
        <v>0.6</v>
      </c>
      <c r="H29" s="35">
        <f t="shared" si="15"/>
        <v>289.72800000000001</v>
      </c>
    </row>
    <row r="30" spans="1:8" x14ac:dyDescent="0.35">
      <c r="B30" s="30">
        <v>40.24</v>
      </c>
      <c r="C30" s="30">
        <f t="shared" ref="C30:C33" si="20">B30-20.9</f>
        <v>19.340000000000003</v>
      </c>
      <c r="D30" s="34">
        <f t="shared" si="12"/>
        <v>0.48061630218687879</v>
      </c>
      <c r="E30" s="34">
        <f t="shared" si="13"/>
        <v>0.51938369781312121</v>
      </c>
      <c r="F30" s="35">
        <f t="shared" si="14"/>
        <v>250.79999999999998</v>
      </c>
      <c r="G30" s="337">
        <v>0.6</v>
      </c>
      <c r="H30" s="35">
        <f t="shared" si="15"/>
        <v>289.72800000000001</v>
      </c>
    </row>
    <row r="31" spans="1:8" x14ac:dyDescent="0.35">
      <c r="B31" s="30">
        <v>40.24</v>
      </c>
      <c r="C31" s="30">
        <f t="shared" si="20"/>
        <v>19.340000000000003</v>
      </c>
      <c r="D31" s="34">
        <f t="shared" ref="D31" si="21">IF(B31&gt;0,C31/B31,0)</f>
        <v>0.48061630218687879</v>
      </c>
      <c r="E31" s="34">
        <f t="shared" ref="E31" si="22">1-D31</f>
        <v>0.51938369781312121</v>
      </c>
      <c r="F31" s="35">
        <f t="shared" ref="F31" si="23">B31*E31*12</f>
        <v>250.79999999999998</v>
      </c>
      <c r="G31" s="337">
        <v>0.6</v>
      </c>
      <c r="H31" s="35">
        <f t="shared" ref="H31" si="24">B31*G31*12</f>
        <v>289.72800000000001</v>
      </c>
    </row>
    <row r="32" spans="1:8" x14ac:dyDescent="0.35">
      <c r="B32" s="30">
        <v>62.92</v>
      </c>
      <c r="C32" s="30">
        <f t="shared" si="20"/>
        <v>42.02</v>
      </c>
      <c r="D32" s="34">
        <f t="shared" si="12"/>
        <v>0.66783216783216781</v>
      </c>
      <c r="E32" s="34">
        <f t="shared" si="13"/>
        <v>0.33216783216783219</v>
      </c>
      <c r="F32" s="35">
        <f t="shared" si="14"/>
        <v>250.8</v>
      </c>
      <c r="G32" s="337">
        <v>0.6</v>
      </c>
      <c r="H32" s="35">
        <f t="shared" si="15"/>
        <v>453.024</v>
      </c>
    </row>
    <row r="33" spans="1:11" x14ac:dyDescent="0.35">
      <c r="B33" s="30">
        <v>40.24</v>
      </c>
      <c r="C33" s="30">
        <f t="shared" si="20"/>
        <v>19.340000000000003</v>
      </c>
      <c r="D33" s="34">
        <f t="shared" ref="D33" si="25">C33/B33</f>
        <v>0.48061630218687879</v>
      </c>
      <c r="E33" s="34">
        <f t="shared" si="13"/>
        <v>0.51938369781312121</v>
      </c>
      <c r="F33" s="524">
        <f t="shared" si="14"/>
        <v>250.79999999999998</v>
      </c>
      <c r="G33" s="337">
        <v>0.6</v>
      </c>
      <c r="H33" s="524">
        <f t="shared" si="15"/>
        <v>289.72800000000001</v>
      </c>
    </row>
    <row r="34" spans="1:11" x14ac:dyDescent="0.35">
      <c r="A34" s="525" t="s">
        <v>376</v>
      </c>
      <c r="B34" s="530">
        <v>20.9</v>
      </c>
      <c r="C34" s="530">
        <v>0</v>
      </c>
      <c r="D34" s="531">
        <f t="shared" ref="D34" si="26">IF(B34&gt;0,C34/B34,0)</f>
        <v>0</v>
      </c>
      <c r="E34" s="531">
        <f t="shared" si="13"/>
        <v>1</v>
      </c>
      <c r="F34" s="532">
        <f t="shared" si="14"/>
        <v>250.79999999999998</v>
      </c>
      <c r="G34" s="533">
        <v>0.6</v>
      </c>
      <c r="H34" s="532">
        <f t="shared" si="15"/>
        <v>150.47999999999999</v>
      </c>
    </row>
    <row r="35" spans="1:11" x14ac:dyDescent="0.35">
      <c r="A35" s="1" t="s">
        <v>53</v>
      </c>
      <c r="B35" s="35">
        <f>SUM(B23:B33)</f>
        <v>349.28000000000003</v>
      </c>
      <c r="F35" s="35">
        <f>SUM(F23:F34)</f>
        <v>3009.6000000000004</v>
      </c>
      <c r="H35" s="35">
        <f>SUM(H23:H34)</f>
        <v>2665.2960000000003</v>
      </c>
    </row>
    <row r="36" spans="1:11" x14ac:dyDescent="0.35">
      <c r="F36" s="35"/>
      <c r="H36" s="35"/>
    </row>
    <row r="37" spans="1:11" x14ac:dyDescent="0.35">
      <c r="A37" s="100" t="s">
        <v>160</v>
      </c>
      <c r="F37" s="35">
        <f>F18+F35</f>
        <v>171564.12000000002</v>
      </c>
      <c r="H37" s="35">
        <f>H18+H35</f>
        <v>110583.79080000002</v>
      </c>
    </row>
    <row r="38" spans="1:11" x14ac:dyDescent="0.35">
      <c r="A38" s="100"/>
      <c r="F38" s="35"/>
      <c r="H38" s="35"/>
    </row>
    <row r="39" spans="1:11" x14ac:dyDescent="0.35">
      <c r="A39" s="1" t="s">
        <v>339</v>
      </c>
      <c r="C39" s="396">
        <f>132539.04+4946.4</f>
        <v>137485.44</v>
      </c>
      <c r="H39" s="35"/>
    </row>
    <row r="40" spans="1:11" x14ac:dyDescent="0.35">
      <c r="A40" s="1" t="s">
        <v>275</v>
      </c>
      <c r="C40" s="179">
        <f>H37</f>
        <v>110583.79080000002</v>
      </c>
      <c r="H40" s="35"/>
    </row>
    <row r="41" spans="1:11" x14ac:dyDescent="0.35">
      <c r="C41" s="350"/>
      <c r="D41" s="104"/>
      <c r="E41" s="104"/>
      <c r="G41" s="170"/>
      <c r="H41" s="33"/>
      <c r="J41" s="105"/>
      <c r="K41" s="105"/>
    </row>
    <row r="42" spans="1:11" x14ac:dyDescent="0.35">
      <c r="A42" s="1" t="s">
        <v>118</v>
      </c>
      <c r="C42" s="180">
        <f>C40-C39</f>
        <v>-26901.649199999985</v>
      </c>
      <c r="D42" s="106" t="s">
        <v>292</v>
      </c>
      <c r="E42" s="101"/>
      <c r="F42" s="80"/>
      <c r="G42" s="177"/>
      <c r="H42" s="101"/>
      <c r="J42" s="75"/>
    </row>
    <row r="43" spans="1:11" ht="17" x14ac:dyDescent="0.5">
      <c r="C43" s="103"/>
      <c r="D43" s="102"/>
      <c r="E43" s="102"/>
      <c r="F43" s="167"/>
      <c r="G43" s="178"/>
      <c r="H43" s="102"/>
    </row>
    <row r="44" spans="1:11" ht="15.5" x14ac:dyDescent="0.35">
      <c r="C44" s="103"/>
      <c r="D44" s="101"/>
      <c r="E44" s="101"/>
      <c r="F44" s="167"/>
      <c r="G44" s="177"/>
      <c r="H44" s="101"/>
    </row>
    <row r="45" spans="1:11" x14ac:dyDescent="0.35">
      <c r="B45" s="100"/>
    </row>
    <row r="46" spans="1:11" x14ac:dyDescent="0.35">
      <c r="B46" s="294"/>
      <c r="C46" s="12"/>
    </row>
    <row r="58" spans="2:3" x14ac:dyDescent="0.35">
      <c r="B58" s="249"/>
      <c r="C58" s="249"/>
    </row>
    <row r="60" spans="2:3" x14ac:dyDescent="0.35">
      <c r="B60" s="100"/>
    </row>
    <row r="61" spans="2:3" x14ac:dyDescent="0.35">
      <c r="B61" s="294"/>
      <c r="C61" s="12"/>
    </row>
    <row r="73" spans="2:5" x14ac:dyDescent="0.35">
      <c r="B73" s="249"/>
      <c r="C73" s="249"/>
    </row>
    <row r="76" spans="2:5" x14ac:dyDescent="0.35">
      <c r="B76" s="100"/>
    </row>
    <row r="77" spans="2:5" x14ac:dyDescent="0.35">
      <c r="B77" s="294"/>
      <c r="C77" s="12"/>
      <c r="E77" s="304"/>
    </row>
    <row r="87" spans="2:5" x14ac:dyDescent="0.35">
      <c r="E87" s="249"/>
    </row>
    <row r="89" spans="2:5" x14ac:dyDescent="0.35">
      <c r="C89" s="249"/>
    </row>
    <row r="92" spans="2:5" x14ac:dyDescent="0.35">
      <c r="B92" s="100"/>
    </row>
    <row r="93" spans="2:5" x14ac:dyDescent="0.35">
      <c r="B93" s="294"/>
      <c r="C93" s="12"/>
    </row>
    <row r="105" spans="2:3" x14ac:dyDescent="0.35">
      <c r="B105" s="249"/>
      <c r="C105" s="249"/>
    </row>
  </sheetData>
  <phoneticPr fontId="26"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93153-D18D-47C6-A731-B4659C25EE06}">
  <sheetPr>
    <tabColor rgb="FF92D050"/>
  </sheetPr>
  <dimension ref="A1:V58"/>
  <sheetViews>
    <sheetView topLeftCell="A10" workbookViewId="0">
      <selection activeCell="B36" sqref="B36"/>
    </sheetView>
  </sheetViews>
  <sheetFormatPr defaultColWidth="8.84375" defaultRowHeight="14.5" x14ac:dyDescent="0.35"/>
  <cols>
    <col min="1" max="1" width="3.3046875" style="1" customWidth="1"/>
    <col min="2" max="2" width="39.61328125" style="1" customWidth="1"/>
    <col min="3" max="5" width="8.84375" style="1"/>
    <col min="6" max="6" width="9.84375" style="1" bestFit="1" customWidth="1"/>
    <col min="7" max="9" width="8.84375" style="1"/>
    <col min="10" max="10" width="9.84375" style="1" bestFit="1" customWidth="1"/>
    <col min="11" max="11" width="10.23046875" style="81" bestFit="1" customWidth="1"/>
    <col min="12" max="13" width="8.84375" style="1"/>
    <col min="14" max="14" width="23.3046875" style="1" customWidth="1"/>
    <col min="15" max="15" width="11.3046875" style="1" bestFit="1" customWidth="1"/>
    <col min="16" max="16" width="8.84375" style="1"/>
    <col min="17" max="17" width="37.765625" style="1" customWidth="1"/>
    <col min="18" max="18" width="10.15234375" style="1" bestFit="1" customWidth="1"/>
    <col min="19" max="16384" width="8.84375" style="1"/>
  </cols>
  <sheetData>
    <row r="1" spans="1:15" x14ac:dyDescent="0.35">
      <c r="B1" s="127" t="s">
        <v>88</v>
      </c>
    </row>
    <row r="2" spans="1:15" x14ac:dyDescent="0.35">
      <c r="D2" s="12">
        <v>2022</v>
      </c>
      <c r="E2" s="12">
        <v>2022</v>
      </c>
      <c r="F2" s="304">
        <v>44980</v>
      </c>
      <c r="J2" s="12" t="s">
        <v>12</v>
      </c>
      <c r="K2" s="12" t="s">
        <v>89</v>
      </c>
    </row>
    <row r="3" spans="1:15" x14ac:dyDescent="0.35">
      <c r="C3" s="12" t="s">
        <v>89</v>
      </c>
      <c r="D3" s="12" t="s">
        <v>89</v>
      </c>
      <c r="E3" s="12" t="s">
        <v>337</v>
      </c>
      <c r="F3" s="12" t="s">
        <v>90</v>
      </c>
      <c r="G3" s="12" t="s">
        <v>89</v>
      </c>
      <c r="H3" s="12" t="s">
        <v>89</v>
      </c>
      <c r="I3" s="12" t="s">
        <v>336</v>
      </c>
      <c r="J3" s="12" t="s">
        <v>89</v>
      </c>
      <c r="K3" s="12" t="s">
        <v>260</v>
      </c>
      <c r="N3" s="12" t="s">
        <v>257</v>
      </c>
      <c r="O3" s="12"/>
    </row>
    <row r="4" spans="1:15" x14ac:dyDescent="0.35">
      <c r="B4" s="13" t="s">
        <v>91</v>
      </c>
      <c r="C4" s="13" t="s">
        <v>92</v>
      </c>
      <c r="D4" s="13" t="s">
        <v>93</v>
      </c>
      <c r="E4" s="13" t="s">
        <v>338</v>
      </c>
      <c r="F4" s="13" t="s">
        <v>94</v>
      </c>
      <c r="G4" s="13" t="s">
        <v>95</v>
      </c>
      <c r="H4" s="13" t="s">
        <v>96</v>
      </c>
      <c r="I4" s="13" t="s">
        <v>97</v>
      </c>
      <c r="J4" s="13" t="s">
        <v>97</v>
      </c>
      <c r="K4" s="13" t="s">
        <v>261</v>
      </c>
      <c r="N4" s="13" t="s">
        <v>258</v>
      </c>
      <c r="O4" s="13" t="s">
        <v>259</v>
      </c>
    </row>
    <row r="5" spans="1:15" x14ac:dyDescent="0.35">
      <c r="A5" s="100"/>
      <c r="B5" s="12">
        <v>1</v>
      </c>
      <c r="C5" s="259">
        <v>2080</v>
      </c>
      <c r="D5" s="260"/>
      <c r="E5" s="260"/>
      <c r="F5" s="73">
        <v>29.36</v>
      </c>
      <c r="G5" s="10">
        <f>C5*F5</f>
        <v>61068.799999999996</v>
      </c>
      <c r="H5" s="10">
        <f>D5*F5*1.5</f>
        <v>0</v>
      </c>
      <c r="I5" s="10">
        <f>E5*(F5*2)</f>
        <v>0</v>
      </c>
      <c r="J5" s="10">
        <f>G5+H5+I5</f>
        <v>61068.799999999996</v>
      </c>
      <c r="K5" s="339"/>
      <c r="N5" s="12" t="s">
        <v>263</v>
      </c>
      <c r="O5" s="12">
        <v>26.95</v>
      </c>
    </row>
    <row r="6" spans="1:15" x14ac:dyDescent="0.35">
      <c r="A6" s="100"/>
      <c r="B6" s="12">
        <v>2</v>
      </c>
      <c r="C6" s="259">
        <v>2080</v>
      </c>
      <c r="D6" s="260"/>
      <c r="E6" s="260"/>
      <c r="F6" s="73">
        <v>25.39</v>
      </c>
      <c r="G6" s="10">
        <f>C6*F6</f>
        <v>52811.200000000004</v>
      </c>
      <c r="H6" s="10">
        <f>D6*F6*1.5</f>
        <v>0</v>
      </c>
      <c r="I6" s="10">
        <f t="shared" ref="I6:I17" si="0">E6*(F6*2)</f>
        <v>0</v>
      </c>
      <c r="J6" s="10">
        <f t="shared" ref="J6:J17" si="1">G6+H6+I6</f>
        <v>52811.200000000004</v>
      </c>
      <c r="K6" s="339"/>
      <c r="N6" s="12" t="s">
        <v>262</v>
      </c>
      <c r="O6" s="12">
        <v>23.34</v>
      </c>
    </row>
    <row r="7" spans="1:15" x14ac:dyDescent="0.35">
      <c r="A7" s="100"/>
      <c r="B7" s="12" t="s">
        <v>370</v>
      </c>
      <c r="C7" s="259">
        <f>20*12</f>
        <v>240</v>
      </c>
      <c r="D7" s="260"/>
      <c r="E7" s="260"/>
      <c r="F7" s="73">
        <v>16</v>
      </c>
      <c r="G7" s="10">
        <f>C7*F7</f>
        <v>3840</v>
      </c>
      <c r="H7" s="10">
        <f>D7*F7*1.5</f>
        <v>0</v>
      </c>
      <c r="I7" s="10">
        <f t="shared" si="0"/>
        <v>0</v>
      </c>
      <c r="J7" s="10">
        <f t="shared" si="1"/>
        <v>3840</v>
      </c>
      <c r="K7" s="339"/>
    </row>
    <row r="8" spans="1:15" x14ac:dyDescent="0.35">
      <c r="A8" s="100"/>
      <c r="B8" s="12">
        <v>4</v>
      </c>
      <c r="C8" s="259"/>
      <c r="D8" s="260" t="s">
        <v>231</v>
      </c>
      <c r="E8" s="260"/>
      <c r="F8" s="73">
        <v>4320</v>
      </c>
      <c r="G8" s="10">
        <f>F8*24</f>
        <v>103680</v>
      </c>
      <c r="H8" s="10"/>
      <c r="I8" s="10">
        <f t="shared" si="0"/>
        <v>0</v>
      </c>
      <c r="J8" s="10">
        <f t="shared" si="1"/>
        <v>103680</v>
      </c>
      <c r="K8" s="339"/>
    </row>
    <row r="9" spans="1:15" x14ac:dyDescent="0.35">
      <c r="A9" s="100"/>
      <c r="B9" s="12">
        <v>5</v>
      </c>
      <c r="C9" s="259">
        <v>2080</v>
      </c>
      <c r="D9" s="289">
        <v>72.5</v>
      </c>
      <c r="E9" s="289"/>
      <c r="F9" s="73">
        <v>32.520000000000003</v>
      </c>
      <c r="G9" s="10">
        <f t="shared" ref="G9:G10" si="2">C9*F9</f>
        <v>67641.600000000006</v>
      </c>
      <c r="H9" s="14">
        <f t="shared" ref="H9:H10" si="3">D9*F9*1.5</f>
        <v>3536.55</v>
      </c>
      <c r="I9" s="10">
        <f t="shared" si="0"/>
        <v>0</v>
      </c>
      <c r="J9" s="10">
        <f t="shared" si="1"/>
        <v>71178.150000000009</v>
      </c>
      <c r="K9" s="339"/>
    </row>
    <row r="10" spans="1:15" x14ac:dyDescent="0.35">
      <c r="A10" s="100"/>
      <c r="B10" s="12">
        <v>6</v>
      </c>
      <c r="C10" s="259">
        <v>2080</v>
      </c>
      <c r="D10" s="289">
        <v>71</v>
      </c>
      <c r="E10" s="289">
        <v>5.5</v>
      </c>
      <c r="F10" s="73">
        <v>25.65</v>
      </c>
      <c r="G10" s="10">
        <f t="shared" si="2"/>
        <v>53352</v>
      </c>
      <c r="H10" s="14">
        <f t="shared" si="3"/>
        <v>2731.7249999999999</v>
      </c>
      <c r="I10" s="10">
        <f t="shared" si="0"/>
        <v>282.14999999999998</v>
      </c>
      <c r="J10" s="10">
        <f t="shared" si="1"/>
        <v>56365.875</v>
      </c>
      <c r="K10" s="339"/>
    </row>
    <row r="11" spans="1:15" x14ac:dyDescent="0.35">
      <c r="A11" s="100"/>
      <c r="B11" s="12">
        <v>7</v>
      </c>
      <c r="C11" s="259">
        <v>2080</v>
      </c>
      <c r="D11" s="289">
        <v>56.5</v>
      </c>
      <c r="E11" s="289"/>
      <c r="F11" s="73">
        <v>23.62</v>
      </c>
      <c r="G11" s="10">
        <f>C11*F11</f>
        <v>49129.599999999999</v>
      </c>
      <c r="H11" s="14">
        <f t="shared" ref="H11" si="4">D11*F11*1.5</f>
        <v>2001.7950000000001</v>
      </c>
      <c r="I11" s="10">
        <f t="shared" si="0"/>
        <v>0</v>
      </c>
      <c r="J11" s="10">
        <f t="shared" si="1"/>
        <v>51131.394999999997</v>
      </c>
      <c r="K11" s="339"/>
    </row>
    <row r="12" spans="1:15" x14ac:dyDescent="0.35">
      <c r="A12" s="100"/>
      <c r="B12" s="12">
        <v>8</v>
      </c>
      <c r="C12" s="259">
        <v>2080</v>
      </c>
      <c r="D12" s="289">
        <v>52.5</v>
      </c>
      <c r="E12" s="289">
        <v>16</v>
      </c>
      <c r="F12" s="73">
        <v>20.09</v>
      </c>
      <c r="G12" s="10">
        <f t="shared" ref="G12:G14" si="5">C12*F12</f>
        <v>41787.199999999997</v>
      </c>
      <c r="H12" s="14">
        <f t="shared" ref="H12:H14" si="6">D12*F12*1.5</f>
        <v>1582.0874999999999</v>
      </c>
      <c r="I12" s="10">
        <f t="shared" si="0"/>
        <v>642.88</v>
      </c>
      <c r="J12" s="10">
        <f t="shared" si="1"/>
        <v>44012.167499999996</v>
      </c>
      <c r="K12" s="339"/>
    </row>
    <row r="13" spans="1:15" x14ac:dyDescent="0.35">
      <c r="A13" s="100"/>
      <c r="B13" s="12">
        <v>9</v>
      </c>
      <c r="C13" s="259">
        <v>2080</v>
      </c>
      <c r="D13" s="289">
        <v>60</v>
      </c>
      <c r="E13" s="289">
        <v>3.5</v>
      </c>
      <c r="F13" s="73">
        <v>18.97</v>
      </c>
      <c r="G13" s="10">
        <f t="shared" si="5"/>
        <v>39457.599999999999</v>
      </c>
      <c r="H13" s="14">
        <f t="shared" si="6"/>
        <v>1707.2999999999997</v>
      </c>
      <c r="I13" s="10">
        <f t="shared" si="0"/>
        <v>132.79</v>
      </c>
      <c r="J13" s="10">
        <f t="shared" si="1"/>
        <v>41297.69</v>
      </c>
      <c r="K13" s="339"/>
    </row>
    <row r="14" spans="1:15" x14ac:dyDescent="0.35">
      <c r="A14" s="100"/>
      <c r="B14" s="12">
        <v>10</v>
      </c>
      <c r="C14" s="4">
        <v>2080</v>
      </c>
      <c r="D14" s="260">
        <v>48.5</v>
      </c>
      <c r="E14" s="260"/>
      <c r="F14" s="7">
        <v>18.03</v>
      </c>
      <c r="G14" s="7">
        <f t="shared" si="5"/>
        <v>37502.400000000001</v>
      </c>
      <c r="H14" s="7">
        <f t="shared" si="6"/>
        <v>1311.6825000000001</v>
      </c>
      <c r="I14" s="10">
        <f t="shared" si="0"/>
        <v>0</v>
      </c>
      <c r="J14" s="10">
        <f t="shared" si="1"/>
        <v>38814.082500000004</v>
      </c>
      <c r="K14" s="260"/>
    </row>
    <row r="15" spans="1:15" x14ac:dyDescent="0.35">
      <c r="A15" s="100"/>
      <c r="B15" s="12">
        <v>11</v>
      </c>
      <c r="C15" s="259">
        <v>2080</v>
      </c>
      <c r="D15" s="289">
        <v>96</v>
      </c>
      <c r="E15" s="289"/>
      <c r="F15" s="73">
        <v>38.08</v>
      </c>
      <c r="G15" s="10">
        <f>C15*F15</f>
        <v>79206.399999999994</v>
      </c>
      <c r="H15" s="14">
        <f>D15*F15*1.5</f>
        <v>5483.5199999999995</v>
      </c>
      <c r="I15" s="10">
        <f t="shared" si="0"/>
        <v>0</v>
      </c>
      <c r="J15" s="10">
        <f t="shared" si="1"/>
        <v>84689.919999999998</v>
      </c>
      <c r="K15" s="339"/>
    </row>
    <row r="16" spans="1:15" x14ac:dyDescent="0.35">
      <c r="A16" s="100"/>
      <c r="B16" s="12">
        <v>12</v>
      </c>
      <c r="D16" s="1" t="s">
        <v>231</v>
      </c>
      <c r="F16" s="1">
        <v>2291.67</v>
      </c>
      <c r="G16" s="108">
        <v>55000</v>
      </c>
      <c r="I16" s="10">
        <f t="shared" si="0"/>
        <v>0</v>
      </c>
      <c r="J16" s="10">
        <f t="shared" si="1"/>
        <v>55000</v>
      </c>
      <c r="K16" s="340"/>
    </row>
    <row r="17" spans="1:12" x14ac:dyDescent="0.35">
      <c r="A17" s="100"/>
      <c r="B17" s="525" t="s">
        <v>376</v>
      </c>
      <c r="C17" s="526">
        <f>36*52</f>
        <v>1872</v>
      </c>
      <c r="D17" s="527"/>
      <c r="E17" s="527"/>
      <c r="F17" s="528">
        <v>20.5</v>
      </c>
      <c r="G17" s="529">
        <f t="shared" ref="G17" si="7">C17*F17</f>
        <v>38376</v>
      </c>
      <c r="H17" s="529">
        <f t="shared" ref="H17" si="8">D17*F17*1.5</f>
        <v>0</v>
      </c>
      <c r="I17" s="529">
        <f t="shared" si="0"/>
        <v>0</v>
      </c>
      <c r="J17" s="529">
        <f t="shared" si="1"/>
        <v>38376</v>
      </c>
    </row>
    <row r="18" spans="1:12" hidden="1" x14ac:dyDescent="0.35">
      <c r="A18" s="100"/>
    </row>
    <row r="19" spans="1:12" hidden="1" x14ac:dyDescent="0.35">
      <c r="A19" s="100"/>
    </row>
    <row r="20" spans="1:12" x14ac:dyDescent="0.35">
      <c r="A20" s="100"/>
      <c r="C20" s="249"/>
      <c r="D20" s="249"/>
      <c r="E20" s="249"/>
      <c r="F20" s="249"/>
      <c r="G20" s="249"/>
      <c r="H20" s="249"/>
      <c r="I20" s="249"/>
      <c r="J20" s="249"/>
    </row>
    <row r="21" spans="1:12" x14ac:dyDescent="0.35">
      <c r="B21" s="1" t="s">
        <v>161</v>
      </c>
      <c r="C21" s="14">
        <f>SUM(C5:C20)</f>
        <v>20832</v>
      </c>
      <c r="D21" s="16">
        <f t="shared" ref="D21:J21" si="9">SUM(D5:D20)</f>
        <v>457</v>
      </c>
      <c r="E21" s="16"/>
      <c r="F21" s="14"/>
      <c r="G21" s="14">
        <f t="shared" si="9"/>
        <v>682852.79999999993</v>
      </c>
      <c r="H21" s="14">
        <f t="shared" si="9"/>
        <v>18354.66</v>
      </c>
      <c r="I21" s="14"/>
      <c r="J21" s="14">
        <f t="shared" si="9"/>
        <v>702265.28</v>
      </c>
      <c r="K21" s="14"/>
    </row>
    <row r="22" spans="1:12" x14ac:dyDescent="0.35">
      <c r="C22" s="10"/>
      <c r="D22" s="10"/>
      <c r="E22" s="10"/>
      <c r="F22" s="59"/>
      <c r="G22" s="14"/>
      <c r="H22" s="14"/>
      <c r="I22" s="14"/>
      <c r="J22" s="14"/>
    </row>
    <row r="23" spans="1:12" x14ac:dyDescent="0.35">
      <c r="B23" s="1" t="s">
        <v>162</v>
      </c>
      <c r="C23" s="10"/>
      <c r="D23" s="10"/>
      <c r="E23" s="10"/>
      <c r="F23" s="59"/>
      <c r="G23" s="14"/>
      <c r="H23" s="14"/>
      <c r="I23" s="14"/>
      <c r="J23" s="173">
        <f>J5+J6+J8+J9+J10+J11+J12+J13+J14+J15+J16+J17</f>
        <v>698425.28</v>
      </c>
      <c r="K23" s="341">
        <f>J23*0.2334</f>
        <v>163012.46035199999</v>
      </c>
      <c r="L23" s="274" t="s">
        <v>302</v>
      </c>
    </row>
    <row r="24" spans="1:12" x14ac:dyDescent="0.35">
      <c r="B24" s="10"/>
      <c r="C24" s="10"/>
      <c r="D24" s="10"/>
      <c r="E24" s="10"/>
      <c r="J24" s="61"/>
    </row>
    <row r="25" spans="1:12" x14ac:dyDescent="0.35">
      <c r="B25" s="62"/>
      <c r="C25" s="10"/>
      <c r="D25" s="10"/>
      <c r="E25" s="10"/>
      <c r="J25" s="61" t="s">
        <v>30</v>
      </c>
    </row>
    <row r="26" spans="1:12" x14ac:dyDescent="0.35">
      <c r="B26" s="10"/>
      <c r="C26" s="10"/>
      <c r="D26" s="10"/>
      <c r="E26" s="10"/>
      <c r="F26" s="1" t="s">
        <v>98</v>
      </c>
      <c r="J26" s="63">
        <f>J21</f>
        <v>702265.28</v>
      </c>
    </row>
    <row r="27" spans="1:12" ht="16" x14ac:dyDescent="0.5">
      <c r="B27" s="10"/>
      <c r="C27" s="10"/>
      <c r="D27" s="10"/>
      <c r="E27" s="10"/>
      <c r="F27" s="1" t="s">
        <v>99</v>
      </c>
      <c r="J27" s="19">
        <f>-SAO!D17</f>
        <v>-591437</v>
      </c>
      <c r="K27" s="81" t="s">
        <v>309</v>
      </c>
    </row>
    <row r="28" spans="1:12" ht="15" thickBot="1" x14ac:dyDescent="0.4">
      <c r="B28" s="10"/>
      <c r="C28" s="10"/>
      <c r="D28" s="10"/>
      <c r="E28" s="10"/>
      <c r="F28" s="32" t="s">
        <v>100</v>
      </c>
      <c r="G28" s="32"/>
      <c r="H28" s="32"/>
      <c r="I28" s="32"/>
      <c r="J28" s="64">
        <f>J26+J27</f>
        <v>110828.28000000003</v>
      </c>
      <c r="K28" s="12" t="s">
        <v>255</v>
      </c>
    </row>
    <row r="29" spans="1:12" ht="15" thickTop="1" x14ac:dyDescent="0.35">
      <c r="B29" s="10"/>
      <c r="C29" s="10"/>
      <c r="D29" s="10"/>
      <c r="E29" s="10"/>
      <c r="J29" s="1" t="s">
        <v>101</v>
      </c>
      <c r="K29" s="12"/>
    </row>
    <row r="30" spans="1:12" x14ac:dyDescent="0.35">
      <c r="B30" s="10"/>
      <c r="C30" s="10"/>
      <c r="D30" s="10"/>
      <c r="E30" s="10"/>
      <c r="F30" s="1" t="s">
        <v>102</v>
      </c>
      <c r="J30" s="20">
        <f>J21</f>
        <v>702265.28</v>
      </c>
      <c r="K30" s="12"/>
    </row>
    <row r="31" spans="1:12" x14ac:dyDescent="0.35">
      <c r="B31" s="10"/>
      <c r="C31" s="10"/>
      <c r="D31" s="10"/>
      <c r="E31" s="10"/>
      <c r="F31" s="1" t="s">
        <v>264</v>
      </c>
      <c r="J31" s="20">
        <f>J55</f>
        <v>30000</v>
      </c>
      <c r="K31" s="12"/>
    </row>
    <row r="32" spans="1:12" x14ac:dyDescent="0.35">
      <c r="B32" s="10"/>
      <c r="C32" s="10"/>
      <c r="D32" s="10"/>
      <c r="E32" s="10"/>
      <c r="G32" s="1" t="s">
        <v>265</v>
      </c>
      <c r="J32" s="20">
        <f>SUM(J30:J31)</f>
        <v>732265.28</v>
      </c>
      <c r="K32" s="12"/>
    </row>
    <row r="33" spans="2:22" ht="15" thickBot="1" x14ac:dyDescent="0.4">
      <c r="B33" s="10"/>
      <c r="C33" s="10"/>
      <c r="D33" s="10"/>
      <c r="E33" s="10"/>
      <c r="F33" s="1" t="s">
        <v>103</v>
      </c>
      <c r="J33" s="290">
        <v>7.6499999999999999E-2</v>
      </c>
      <c r="K33" s="12"/>
    </row>
    <row r="34" spans="2:22" ht="15.5" x14ac:dyDescent="0.35">
      <c r="B34" s="10"/>
      <c r="C34" s="10"/>
      <c r="D34" s="10"/>
      <c r="E34" s="10"/>
      <c r="F34" s="1" t="s">
        <v>104</v>
      </c>
      <c r="J34" s="10">
        <f>+J32*J33</f>
        <v>56018.293920000004</v>
      </c>
      <c r="K34" s="12"/>
      <c r="M34" s="398" t="s">
        <v>340</v>
      </c>
      <c r="N34" s="399"/>
      <c r="O34" s="399"/>
      <c r="P34" s="235"/>
      <c r="Q34" s="235"/>
      <c r="R34" s="235"/>
      <c r="S34" s="235"/>
      <c r="T34" s="235"/>
      <c r="U34" s="235"/>
      <c r="V34" s="233"/>
    </row>
    <row r="35" spans="2:22" x14ac:dyDescent="0.35">
      <c r="B35" s="10"/>
      <c r="C35" s="10"/>
      <c r="D35" s="10"/>
      <c r="E35" s="10"/>
      <c r="F35" s="1" t="s">
        <v>105</v>
      </c>
      <c r="J35" s="343">
        <f>-O35</f>
        <v>-49628.63</v>
      </c>
      <c r="K35" s="12"/>
      <c r="M35" s="400" t="s">
        <v>268</v>
      </c>
      <c r="N35" s="401" t="s">
        <v>269</v>
      </c>
      <c r="O35" s="402">
        <v>49628.63</v>
      </c>
      <c r="V35" s="222"/>
    </row>
    <row r="36" spans="2:22" ht="15" thickBot="1" x14ac:dyDescent="0.4">
      <c r="B36" s="10"/>
      <c r="C36" s="10"/>
      <c r="D36" s="10"/>
      <c r="E36" s="10"/>
      <c r="F36" s="32" t="s">
        <v>106</v>
      </c>
      <c r="G36" s="32"/>
      <c r="H36" s="32"/>
      <c r="I36" s="32"/>
      <c r="J36" s="64">
        <f>J34+J35</f>
        <v>6389.6639200000063</v>
      </c>
      <c r="K36" s="12" t="s">
        <v>297</v>
      </c>
      <c r="M36" s="400" t="s">
        <v>270</v>
      </c>
      <c r="N36" s="401" t="s">
        <v>271</v>
      </c>
      <c r="O36" s="402">
        <v>3864.88</v>
      </c>
      <c r="V36" s="222"/>
    </row>
    <row r="37" spans="2:22" ht="15.5" thickTop="1" thickBot="1" x14ac:dyDescent="0.4">
      <c r="B37" s="10"/>
      <c r="C37" s="10"/>
      <c r="D37" s="10"/>
      <c r="E37" s="10"/>
      <c r="K37" s="12"/>
      <c r="M37" s="403" t="s">
        <v>272</v>
      </c>
      <c r="N37" s="404" t="s">
        <v>267</v>
      </c>
      <c r="O37" s="405">
        <f>SUM(O35:O36)</f>
        <v>53493.509999999995</v>
      </c>
      <c r="V37" s="222"/>
    </row>
    <row r="38" spans="2:22" ht="15" thickTop="1" x14ac:dyDescent="0.35">
      <c r="B38" s="10"/>
      <c r="C38" s="10"/>
      <c r="D38" s="10"/>
      <c r="E38" s="10"/>
      <c r="F38" s="1" t="s">
        <v>107</v>
      </c>
      <c r="J38" s="10">
        <f>K23</f>
        <v>163012.46035199999</v>
      </c>
      <c r="K38" s="12"/>
      <c r="M38" s="202"/>
      <c r="V38" s="222"/>
    </row>
    <row r="39" spans="2:22" ht="15.5" x14ac:dyDescent="0.35">
      <c r="B39" s="10"/>
      <c r="C39" s="10"/>
      <c r="D39" s="10"/>
      <c r="E39" s="10"/>
      <c r="F39" s="1" t="s">
        <v>108</v>
      </c>
      <c r="J39" s="353">
        <f>O41-R42-R43</f>
        <v>163985.94</v>
      </c>
      <c r="K39" s="12"/>
      <c r="M39" s="406" t="s">
        <v>290</v>
      </c>
      <c r="N39"/>
      <c r="O39"/>
      <c r="V39" s="222"/>
    </row>
    <row r="40" spans="2:22" ht="15" thickBot="1" x14ac:dyDescent="0.4">
      <c r="B40" s="10"/>
      <c r="C40" s="10"/>
      <c r="D40" s="10"/>
      <c r="E40" s="10"/>
      <c r="F40" s="100" t="s">
        <v>109</v>
      </c>
      <c r="G40" s="100"/>
      <c r="H40" s="100"/>
      <c r="I40" s="100"/>
      <c r="J40" s="176">
        <f>+J38-J39</f>
        <v>-973.47964800000773</v>
      </c>
      <c r="K40" s="12" t="s">
        <v>293</v>
      </c>
      <c r="M40" s="400" t="s">
        <v>278</v>
      </c>
      <c r="N40" s="401" t="s">
        <v>279</v>
      </c>
      <c r="O40" s="402">
        <v>128831.38</v>
      </c>
      <c r="P40" s="397"/>
      <c r="V40" s="222"/>
    </row>
    <row r="41" spans="2:22" ht="17" thickTop="1" x14ac:dyDescent="0.45">
      <c r="B41" s="10"/>
      <c r="C41" s="10"/>
      <c r="D41" s="10"/>
      <c r="E41" s="10"/>
      <c r="F41" s="100"/>
      <c r="G41" s="100"/>
      <c r="H41" s="100"/>
      <c r="I41" s="100"/>
      <c r="J41" s="164"/>
      <c r="K41" s="12"/>
      <c r="M41" s="400" t="s">
        <v>280</v>
      </c>
      <c r="N41" s="401" t="s">
        <v>281</v>
      </c>
      <c r="O41" s="402">
        <v>222529.94</v>
      </c>
      <c r="Q41" s="351" t="s">
        <v>301</v>
      </c>
      <c r="R41" s="188"/>
      <c r="V41" s="222"/>
    </row>
    <row r="42" spans="2:22" ht="15.5" x14ac:dyDescent="0.35">
      <c r="B42" s="10"/>
      <c r="C42" s="10"/>
      <c r="D42" s="10"/>
      <c r="E42" s="10"/>
      <c r="G42" s="100"/>
      <c r="H42" s="100"/>
      <c r="I42" s="100"/>
      <c r="J42" s="342"/>
      <c r="K42" s="12"/>
      <c r="M42" s="400" t="s">
        <v>282</v>
      </c>
      <c r="N42" s="401" t="s">
        <v>229</v>
      </c>
      <c r="O42" s="402">
        <v>2985.4</v>
      </c>
      <c r="Q42" t="s">
        <v>283</v>
      </c>
      <c r="R42" s="188">
        <v>12367</v>
      </c>
      <c r="V42" s="222"/>
    </row>
    <row r="43" spans="2:22" ht="15.5" x14ac:dyDescent="0.35">
      <c r="B43" s="10"/>
      <c r="C43" s="10"/>
      <c r="D43" s="10"/>
      <c r="E43" s="10"/>
      <c r="G43" s="100"/>
      <c r="H43" s="100"/>
      <c r="I43" s="100"/>
      <c r="J43" s="342"/>
      <c r="K43" s="12"/>
      <c r="M43" s="400" t="s">
        <v>284</v>
      </c>
      <c r="N43" s="401" t="s">
        <v>285</v>
      </c>
      <c r="O43" s="402">
        <v>4811.16</v>
      </c>
      <c r="Q43" t="s">
        <v>286</v>
      </c>
      <c r="R43" s="319">
        <v>46177</v>
      </c>
      <c r="V43" s="222"/>
    </row>
    <row r="44" spans="2:22" x14ac:dyDescent="0.35">
      <c r="B44" s="10"/>
      <c r="C44" s="10"/>
      <c r="D44" s="10"/>
      <c r="E44" s="10"/>
      <c r="G44" s="100"/>
      <c r="H44" s="100"/>
      <c r="I44" s="100"/>
      <c r="J44" s="342"/>
      <c r="K44" s="12"/>
      <c r="M44" s="400" t="s">
        <v>287</v>
      </c>
      <c r="N44" s="401" t="s">
        <v>288</v>
      </c>
      <c r="O44" s="402">
        <v>6589.11</v>
      </c>
      <c r="R44" s="274">
        <f>SUM(R42:R43)</f>
        <v>58544</v>
      </c>
      <c r="V44" s="222"/>
    </row>
    <row r="45" spans="2:22" ht="15" thickBot="1" x14ac:dyDescent="0.4">
      <c r="F45" s="100"/>
      <c r="J45" s="306"/>
      <c r="M45" s="407" t="s">
        <v>289</v>
      </c>
      <c r="N45" s="408" t="s">
        <v>277</v>
      </c>
      <c r="O45" s="409">
        <f>SUM(O40:O44)</f>
        <v>365746.99</v>
      </c>
      <c r="P45" s="231"/>
      <c r="Q45" s="231"/>
      <c r="R45" s="231"/>
      <c r="S45" s="231"/>
      <c r="T45" s="231"/>
      <c r="U45" s="231"/>
      <c r="V45" s="234"/>
    </row>
    <row r="46" spans="2:22" x14ac:dyDescent="0.35">
      <c r="F46" s="100"/>
      <c r="J46" s="306"/>
    </row>
    <row r="47" spans="2:22" x14ac:dyDescent="0.35">
      <c r="F47" s="210" t="s">
        <v>266</v>
      </c>
      <c r="J47" s="12" t="s">
        <v>12</v>
      </c>
    </row>
    <row r="48" spans="2:22" x14ac:dyDescent="0.35">
      <c r="F48" s="12" t="s">
        <v>90</v>
      </c>
      <c r="J48" s="12" t="s">
        <v>89</v>
      </c>
    </row>
    <row r="49" spans="2:12" x14ac:dyDescent="0.35">
      <c r="B49" s="210" t="s">
        <v>232</v>
      </c>
      <c r="F49" s="13" t="s">
        <v>94</v>
      </c>
      <c r="J49" s="13" t="s">
        <v>97</v>
      </c>
    </row>
    <row r="50" spans="2:12" ht="16" x14ac:dyDescent="0.5">
      <c r="B50" s="1" t="s">
        <v>374</v>
      </c>
      <c r="C50" s="305">
        <v>12</v>
      </c>
      <c r="D50" s="289" t="s">
        <v>230</v>
      </c>
      <c r="E50" s="289"/>
      <c r="F50" s="260">
        <v>500</v>
      </c>
      <c r="G50" s="14">
        <f>C50*F50</f>
        <v>6000</v>
      </c>
      <c r="H50" s="14"/>
      <c r="I50" s="76"/>
      <c r="J50" s="10">
        <f>G50+H50</f>
        <v>6000</v>
      </c>
    </row>
    <row r="51" spans="2:12" ht="16" x14ac:dyDescent="0.5">
      <c r="B51" s="1" t="s">
        <v>374</v>
      </c>
      <c r="C51" s="305">
        <v>12</v>
      </c>
      <c r="D51" s="289" t="s">
        <v>230</v>
      </c>
      <c r="E51" s="289"/>
      <c r="F51" s="260">
        <v>500</v>
      </c>
      <c r="G51" s="14">
        <f>C51*F51</f>
        <v>6000</v>
      </c>
      <c r="H51" s="14"/>
      <c r="I51" s="76"/>
      <c r="J51" s="10">
        <f>G51+H51</f>
        <v>6000</v>
      </c>
    </row>
    <row r="52" spans="2:12" ht="16" x14ac:dyDescent="0.5">
      <c r="B52" s="1" t="s">
        <v>374</v>
      </c>
      <c r="C52" s="305">
        <v>12</v>
      </c>
      <c r="D52" s="289" t="s">
        <v>230</v>
      </c>
      <c r="E52" s="289"/>
      <c r="F52" s="260">
        <v>500</v>
      </c>
      <c r="G52" s="14">
        <f>C52*F52</f>
        <v>6000</v>
      </c>
      <c r="H52" s="14"/>
      <c r="I52" s="76"/>
      <c r="J52" s="10">
        <f>G52+H52</f>
        <v>6000</v>
      </c>
    </row>
    <row r="53" spans="2:12" x14ac:dyDescent="0.35">
      <c r="B53" s="1" t="s">
        <v>374</v>
      </c>
      <c r="C53" s="14">
        <v>12</v>
      </c>
      <c r="D53" s="289" t="s">
        <v>230</v>
      </c>
      <c r="E53" s="289"/>
      <c r="F53" s="73">
        <v>500</v>
      </c>
      <c r="G53" s="14">
        <f>C53*F53</f>
        <v>6000</v>
      </c>
      <c r="H53" s="14"/>
      <c r="I53" s="14"/>
      <c r="J53" s="10">
        <f>G53+H53</f>
        <v>6000</v>
      </c>
    </row>
    <row r="54" spans="2:12" x14ac:dyDescent="0.35">
      <c r="B54" s="1" t="s">
        <v>375</v>
      </c>
      <c r="C54" s="14">
        <v>12</v>
      </c>
      <c r="D54" s="289" t="s">
        <v>230</v>
      </c>
      <c r="E54" s="289"/>
      <c r="F54" s="73">
        <v>500</v>
      </c>
      <c r="G54" s="14">
        <f>C54*F54</f>
        <v>6000</v>
      </c>
      <c r="H54" s="14"/>
      <c r="I54" s="14"/>
      <c r="J54" s="307">
        <f>G54+H54</f>
        <v>6000</v>
      </c>
    </row>
    <row r="55" spans="2:12" x14ac:dyDescent="0.35">
      <c r="J55" s="4">
        <f>SUM(J50:J54)</f>
        <v>30000</v>
      </c>
    </row>
    <row r="56" spans="2:12" x14ac:dyDescent="0.35">
      <c r="J56" s="2">
        <f>SAO!D20</f>
        <v>29602</v>
      </c>
      <c r="L56" s="1" t="s">
        <v>311</v>
      </c>
    </row>
    <row r="57" spans="2:12" x14ac:dyDescent="0.35">
      <c r="J57" s="4">
        <f>J55-J56</f>
        <v>398</v>
      </c>
      <c r="K57" s="12" t="s">
        <v>256</v>
      </c>
      <c r="L57" s="1" t="s">
        <v>67</v>
      </c>
    </row>
    <row r="58" spans="2:12" x14ac:dyDescent="0.35">
      <c r="J58" s="4"/>
    </row>
  </sheetData>
  <pageMargins left="0.7" right="0.7" top="0.75" bottom="0.75" header="0.3" footer="0.3"/>
  <pageSetup orientation="portrait" horizontalDpi="4294967293" r:id="rId1"/>
  <ignoredErrors>
    <ignoredError sqref="G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58E55-8DC2-4CD5-8872-149491EA390B}">
  <sheetPr>
    <tabColor rgb="FF92D050"/>
    <pageSetUpPr fitToPage="1"/>
  </sheetPr>
  <dimension ref="B1:X45"/>
  <sheetViews>
    <sheetView showGridLines="0" topLeftCell="A12" workbookViewId="0">
      <selection sqref="A1:N26"/>
    </sheetView>
  </sheetViews>
  <sheetFormatPr defaultRowHeight="15.5" x14ac:dyDescent="0.35"/>
  <cols>
    <col min="1" max="1" width="1.765625" customWidth="1"/>
    <col min="2" max="2" width="17.765625" customWidth="1"/>
    <col min="3" max="3" width="8.69140625" customWidth="1"/>
    <col min="4" max="4" width="8.53515625" customWidth="1"/>
    <col min="5" max="5" width="11.15234375" bestFit="1" customWidth="1"/>
    <col min="6" max="12" width="7.765625" customWidth="1"/>
    <col min="13" max="13" width="10.61328125" customWidth="1"/>
    <col min="14" max="14" width="2.3046875" customWidth="1"/>
    <col min="15" max="15" width="11.4609375" style="253" customWidth="1"/>
    <col min="16" max="16" width="9.69140625" customWidth="1"/>
    <col min="17" max="17" width="10.07421875" bestFit="1" customWidth="1"/>
    <col min="18" max="18" width="9.3828125" bestFit="1" customWidth="1"/>
  </cols>
  <sheetData>
    <row r="1" spans="2:24" x14ac:dyDescent="0.35">
      <c r="B1" s="10"/>
      <c r="C1" s="10"/>
      <c r="D1" s="10"/>
      <c r="E1" s="10"/>
      <c r="F1" s="10"/>
      <c r="G1" s="10"/>
      <c r="H1" s="10"/>
      <c r="I1" s="10"/>
      <c r="J1" s="10"/>
      <c r="K1" s="10"/>
      <c r="L1" s="10"/>
      <c r="M1" s="10"/>
      <c r="N1" s="10"/>
      <c r="O1" s="328"/>
      <c r="P1" s="10"/>
    </row>
    <row r="2" spans="2:24" ht="13.5" customHeight="1" x14ac:dyDescent="0.35">
      <c r="B2" s="134"/>
      <c r="C2" s="135"/>
      <c r="D2" s="135"/>
      <c r="E2" s="135"/>
      <c r="F2" s="135"/>
      <c r="G2" s="135"/>
      <c r="H2" s="135"/>
      <c r="I2" s="135"/>
      <c r="J2" s="135"/>
      <c r="K2" s="135"/>
      <c r="L2" s="135"/>
      <c r="M2" s="136"/>
      <c r="N2" s="14"/>
      <c r="O2" s="328"/>
      <c r="P2" s="10"/>
    </row>
    <row r="3" spans="2:24" ht="15" customHeight="1" x14ac:dyDescent="0.45">
      <c r="B3" s="137" t="s">
        <v>146</v>
      </c>
      <c r="C3" s="364"/>
      <c r="D3" s="364"/>
      <c r="E3" s="364"/>
      <c r="F3" s="364"/>
      <c r="G3" s="364"/>
      <c r="H3" s="364"/>
      <c r="I3" s="364"/>
      <c r="J3" s="364"/>
      <c r="K3" s="364"/>
      <c r="L3" s="364"/>
      <c r="M3" s="370"/>
      <c r="N3" s="14"/>
      <c r="O3" s="328"/>
      <c r="P3" s="10"/>
    </row>
    <row r="4" spans="2:24" ht="18.5" x14ac:dyDescent="0.45">
      <c r="B4" s="138" t="s">
        <v>147</v>
      </c>
      <c r="C4" s="365"/>
      <c r="D4" s="365"/>
      <c r="E4" s="365"/>
      <c r="F4" s="365"/>
      <c r="G4" s="365"/>
      <c r="H4" s="365"/>
      <c r="I4" s="365"/>
      <c r="J4" s="365"/>
      <c r="K4" s="365"/>
      <c r="L4" s="365"/>
      <c r="M4" s="371"/>
      <c r="N4" s="14"/>
      <c r="O4" s="328"/>
      <c r="P4" s="10"/>
    </row>
    <row r="5" spans="2:24" x14ac:dyDescent="0.35">
      <c r="B5" s="139" t="str">
        <f>SAO!A2</f>
        <v>North Mercer Water District</v>
      </c>
      <c r="C5" s="364"/>
      <c r="D5" s="364"/>
      <c r="E5" s="364"/>
      <c r="F5" s="364"/>
      <c r="G5" s="364"/>
      <c r="H5" s="364"/>
      <c r="I5" s="364"/>
      <c r="J5" s="364"/>
      <c r="K5" s="364"/>
      <c r="L5" s="364"/>
      <c r="M5" s="370"/>
      <c r="N5" s="14"/>
      <c r="O5" s="328"/>
      <c r="P5" s="10"/>
    </row>
    <row r="6" spans="2:24" x14ac:dyDescent="0.35">
      <c r="B6" s="140" t="s">
        <v>318</v>
      </c>
      <c r="C6" s="366"/>
      <c r="D6" s="366"/>
      <c r="E6" s="366"/>
      <c r="F6" s="366"/>
      <c r="G6" s="366"/>
      <c r="H6" s="366"/>
      <c r="I6" s="366"/>
      <c r="J6" s="366"/>
      <c r="K6" s="366"/>
      <c r="L6" s="366"/>
      <c r="M6" s="372"/>
      <c r="N6" s="14"/>
      <c r="O6" s="328"/>
      <c r="P6" s="10"/>
    </row>
    <row r="7" spans="2:24" x14ac:dyDescent="0.35">
      <c r="B7" s="141"/>
      <c r="C7" s="366"/>
      <c r="D7" s="366"/>
      <c r="E7" s="366"/>
      <c r="F7" s="366"/>
      <c r="G7" s="366"/>
      <c r="H7" s="366"/>
      <c r="I7" s="366"/>
      <c r="J7" s="366"/>
      <c r="K7" s="366"/>
      <c r="L7" s="366"/>
      <c r="M7" s="372"/>
      <c r="N7" s="14"/>
      <c r="O7" s="328"/>
      <c r="P7" s="10"/>
    </row>
    <row r="8" spans="2:24" x14ac:dyDescent="0.35">
      <c r="B8" s="142"/>
      <c r="C8" s="143"/>
      <c r="D8" s="144"/>
      <c r="E8" s="143"/>
      <c r="F8" s="145"/>
      <c r="G8" s="143"/>
      <c r="H8" s="145"/>
      <c r="I8" s="143"/>
      <c r="J8" s="145"/>
      <c r="K8" s="143"/>
      <c r="L8" s="145"/>
      <c r="M8" s="145"/>
      <c r="N8" s="14"/>
      <c r="O8" s="328"/>
      <c r="P8" s="10"/>
      <c r="Q8" s="321"/>
      <c r="R8" s="321"/>
    </row>
    <row r="9" spans="2:24" ht="16" x14ac:dyDescent="0.35">
      <c r="B9" s="146"/>
      <c r="C9" s="489" t="s">
        <v>148</v>
      </c>
      <c r="D9" s="490"/>
      <c r="E9" s="491" t="s">
        <v>149</v>
      </c>
      <c r="F9" s="492"/>
      <c r="G9" s="491" t="s">
        <v>150</v>
      </c>
      <c r="H9" s="492"/>
      <c r="I9" s="491" t="s">
        <v>241</v>
      </c>
      <c r="J9" s="492"/>
      <c r="K9" s="491" t="s">
        <v>317</v>
      </c>
      <c r="L9" s="492"/>
      <c r="M9" s="60"/>
      <c r="N9" s="14"/>
      <c r="O9" s="328"/>
      <c r="P9" s="10"/>
      <c r="Q9" s="488"/>
      <c r="R9" s="488"/>
      <c r="U9" s="327"/>
    </row>
    <row r="10" spans="2:24" ht="16" x14ac:dyDescent="0.35">
      <c r="B10" s="146"/>
      <c r="C10" s="151"/>
      <c r="D10" s="148" t="s">
        <v>151</v>
      </c>
      <c r="E10" s="332"/>
      <c r="F10" s="148" t="s">
        <v>151</v>
      </c>
      <c r="G10" s="332"/>
      <c r="H10" s="148" t="s">
        <v>151</v>
      </c>
      <c r="I10" s="332"/>
      <c r="J10" s="148" t="s">
        <v>151</v>
      </c>
      <c r="K10" s="332"/>
      <c r="L10" s="148" t="s">
        <v>151</v>
      </c>
      <c r="M10" s="60"/>
      <c r="N10" s="14"/>
      <c r="P10" s="10"/>
      <c r="Q10" s="149"/>
      <c r="R10" s="332"/>
    </row>
    <row r="11" spans="2:24" ht="17" x14ac:dyDescent="0.5">
      <c r="B11" s="146"/>
      <c r="C11" s="151" t="s">
        <v>152</v>
      </c>
      <c r="D11" s="150" t="s">
        <v>153</v>
      </c>
      <c r="E11" s="151" t="s">
        <v>152</v>
      </c>
      <c r="F11" s="150" t="s">
        <v>153</v>
      </c>
      <c r="G11" s="151" t="s">
        <v>152</v>
      </c>
      <c r="H11" s="150" t="s">
        <v>153</v>
      </c>
      <c r="I11" s="151" t="s">
        <v>152</v>
      </c>
      <c r="J11" s="150" t="s">
        <v>153</v>
      </c>
      <c r="K11" s="151" t="s">
        <v>152</v>
      </c>
      <c r="L11" s="150" t="s">
        <v>153</v>
      </c>
      <c r="M11" s="150" t="s">
        <v>83</v>
      </c>
      <c r="N11" s="14"/>
      <c r="O11" s="336" t="s">
        <v>254</v>
      </c>
      <c r="P11" s="10"/>
      <c r="Q11" s="147"/>
      <c r="R11" s="151"/>
    </row>
    <row r="12" spans="2:24" x14ac:dyDescent="0.35">
      <c r="B12" s="329" t="s">
        <v>248</v>
      </c>
      <c r="C12" s="330">
        <v>40000</v>
      </c>
      <c r="D12" s="367">
        <v>20451</v>
      </c>
      <c r="E12" s="330">
        <v>45000</v>
      </c>
      <c r="F12" s="331">
        <v>18871</v>
      </c>
      <c r="G12" s="330">
        <v>50000</v>
      </c>
      <c r="H12" s="331">
        <v>17038</v>
      </c>
      <c r="I12" s="330">
        <v>50000</v>
      </c>
      <c r="J12" s="331">
        <v>14938</v>
      </c>
      <c r="K12" s="330">
        <v>55000</v>
      </c>
      <c r="L12" s="331">
        <v>12837</v>
      </c>
      <c r="M12" s="373">
        <f t="shared" ref="M12:M16" si="0">SUM(C12:L12)</f>
        <v>324135</v>
      </c>
      <c r="N12" s="14"/>
      <c r="O12" s="333" t="s">
        <v>242</v>
      </c>
      <c r="P12" s="10"/>
      <c r="Q12" s="323"/>
      <c r="R12" s="4"/>
      <c r="T12" s="10"/>
      <c r="V12" s="10"/>
      <c r="X12" s="10"/>
    </row>
    <row r="13" spans="2:24" x14ac:dyDescent="0.35">
      <c r="B13" s="395" t="s">
        <v>249</v>
      </c>
      <c r="C13" s="330">
        <v>30500</v>
      </c>
      <c r="D13" s="367">
        <v>52716</v>
      </c>
      <c r="E13" s="330">
        <v>31500</v>
      </c>
      <c r="F13" s="331">
        <v>51553</v>
      </c>
      <c r="G13" s="330">
        <v>33000</v>
      </c>
      <c r="H13" s="331">
        <v>50344</v>
      </c>
      <c r="I13" s="330">
        <v>34500</v>
      </c>
      <c r="J13" s="331">
        <v>49078</v>
      </c>
      <c r="K13" s="330">
        <v>36000</v>
      </c>
      <c r="L13" s="331">
        <v>47756</v>
      </c>
      <c r="M13" s="374">
        <f t="shared" si="0"/>
        <v>416947</v>
      </c>
      <c r="N13" s="14"/>
      <c r="O13" s="253" t="s">
        <v>244</v>
      </c>
      <c r="P13" s="10"/>
      <c r="Q13" s="323"/>
      <c r="R13" s="4"/>
      <c r="T13" s="10"/>
      <c r="V13" s="10"/>
      <c r="X13" s="10"/>
    </row>
    <row r="14" spans="2:24" x14ac:dyDescent="0.35">
      <c r="B14" s="329" t="s">
        <v>250</v>
      </c>
      <c r="C14" s="330">
        <v>28000</v>
      </c>
      <c r="D14" s="367">
        <v>32940</v>
      </c>
      <c r="E14" s="330">
        <v>29000</v>
      </c>
      <c r="F14" s="331">
        <v>32085</v>
      </c>
      <c r="G14" s="330">
        <v>30000</v>
      </c>
      <c r="H14" s="331">
        <v>31200</v>
      </c>
      <c r="I14" s="330">
        <v>31000</v>
      </c>
      <c r="J14" s="331">
        <v>30285</v>
      </c>
      <c r="K14" s="330">
        <v>32000</v>
      </c>
      <c r="L14" s="331">
        <v>29340</v>
      </c>
      <c r="M14" s="374">
        <f t="shared" si="0"/>
        <v>305850</v>
      </c>
      <c r="N14" s="14"/>
      <c r="O14" s="328" t="s">
        <v>243</v>
      </c>
      <c r="P14" s="10"/>
      <c r="Q14" s="323"/>
      <c r="R14" s="4"/>
      <c r="T14" s="10"/>
      <c r="V14" s="10"/>
      <c r="X14" s="10"/>
    </row>
    <row r="15" spans="2:24" x14ac:dyDescent="0.35">
      <c r="B15" s="329" t="s">
        <v>251</v>
      </c>
      <c r="C15" s="330">
        <v>70000</v>
      </c>
      <c r="D15" s="367">
        <v>58875</v>
      </c>
      <c r="E15" s="330">
        <v>70000</v>
      </c>
      <c r="F15" s="331">
        <v>56005</v>
      </c>
      <c r="G15" s="330">
        <v>75000</v>
      </c>
      <c r="H15" s="331">
        <v>52658</v>
      </c>
      <c r="I15" s="330">
        <v>75000</v>
      </c>
      <c r="J15" s="331">
        <v>49208</v>
      </c>
      <c r="K15" s="330">
        <v>80000</v>
      </c>
      <c r="L15" s="331">
        <v>46030</v>
      </c>
      <c r="M15" s="374">
        <f t="shared" si="0"/>
        <v>632776</v>
      </c>
      <c r="N15" s="14"/>
      <c r="O15" s="328" t="s">
        <v>245</v>
      </c>
      <c r="P15" s="10"/>
      <c r="Q15" s="323"/>
      <c r="R15" s="4"/>
      <c r="T15" s="10"/>
      <c r="V15" s="10"/>
      <c r="X15" s="10"/>
    </row>
    <row r="16" spans="2:24" x14ac:dyDescent="0.35">
      <c r="B16" s="395" t="s">
        <v>252</v>
      </c>
      <c r="C16" s="330">
        <v>59000</v>
      </c>
      <c r="D16" s="367">
        <v>62662</v>
      </c>
      <c r="E16" s="330">
        <v>60000</v>
      </c>
      <c r="F16" s="367">
        <v>61556</v>
      </c>
      <c r="G16" s="330">
        <v>61000</v>
      </c>
      <c r="H16" s="367">
        <v>60431</v>
      </c>
      <c r="I16" s="330">
        <v>62500</v>
      </c>
      <c r="J16" s="367">
        <v>59287</v>
      </c>
      <c r="K16" s="330">
        <v>63500</v>
      </c>
      <c r="L16" s="331">
        <v>58115</v>
      </c>
      <c r="M16" s="374">
        <f t="shared" si="0"/>
        <v>608051</v>
      </c>
      <c r="N16" s="14"/>
      <c r="O16" s="328" t="s">
        <v>246</v>
      </c>
      <c r="P16" s="10"/>
      <c r="Q16" s="323"/>
      <c r="R16" s="4"/>
      <c r="T16" s="10"/>
      <c r="V16" s="10"/>
      <c r="X16" s="10"/>
    </row>
    <row r="17" spans="2:24" x14ac:dyDescent="0.35">
      <c r="B17" s="329"/>
      <c r="C17" s="330"/>
      <c r="D17" s="367"/>
      <c r="E17" s="330"/>
      <c r="F17" s="367"/>
      <c r="G17" s="330"/>
      <c r="H17" s="367"/>
      <c r="I17" s="330"/>
      <c r="J17" s="367"/>
      <c r="K17" s="330"/>
      <c r="L17" s="331"/>
      <c r="M17" s="374"/>
      <c r="N17" s="14"/>
      <c r="O17" s="328"/>
      <c r="P17" s="10"/>
      <c r="R17" s="10"/>
      <c r="T17" s="10"/>
      <c r="V17" s="10"/>
      <c r="X17" s="10"/>
    </row>
    <row r="18" spans="2:24" x14ac:dyDescent="0.35">
      <c r="B18" s="152"/>
      <c r="C18" s="153"/>
      <c r="D18" s="368"/>
      <c r="E18" s="153"/>
      <c r="F18" s="368"/>
      <c r="G18" s="153"/>
      <c r="H18" s="368"/>
      <c r="I18" s="153"/>
      <c r="J18" s="368"/>
      <c r="K18" s="153"/>
      <c r="L18" s="368"/>
      <c r="M18" s="375"/>
      <c r="N18" s="14"/>
      <c r="O18" s="328"/>
      <c r="P18" s="10"/>
    </row>
    <row r="19" spans="2:24" x14ac:dyDescent="0.35">
      <c r="B19" s="107" t="s">
        <v>83</v>
      </c>
      <c r="C19" s="154">
        <f>SUM(C12:C18)</f>
        <v>227500</v>
      </c>
      <c r="D19" s="154">
        <f t="shared" ref="D19:M19" si="1">SUM(D12:D18)</f>
        <v>227644</v>
      </c>
      <c r="E19" s="154">
        <f t="shared" si="1"/>
        <v>235500</v>
      </c>
      <c r="F19" s="154">
        <f t="shared" si="1"/>
        <v>220070</v>
      </c>
      <c r="G19" s="154">
        <f t="shared" si="1"/>
        <v>249000</v>
      </c>
      <c r="H19" s="154">
        <f t="shared" si="1"/>
        <v>211671</v>
      </c>
      <c r="I19" s="154">
        <f t="shared" si="1"/>
        <v>253000</v>
      </c>
      <c r="J19" s="154">
        <f t="shared" si="1"/>
        <v>202796</v>
      </c>
      <c r="K19" s="154">
        <f t="shared" si="1"/>
        <v>266500</v>
      </c>
      <c r="L19" s="154">
        <f t="shared" si="1"/>
        <v>194078</v>
      </c>
      <c r="M19" s="376">
        <f t="shared" si="1"/>
        <v>2287759</v>
      </c>
      <c r="N19" s="14"/>
      <c r="O19" s="328"/>
      <c r="P19" s="10">
        <f>SUM(C19:L19)</f>
        <v>2287759</v>
      </c>
    </row>
    <row r="20" spans="2:24" x14ac:dyDescent="0.35">
      <c r="B20" s="155"/>
      <c r="C20" s="156"/>
      <c r="D20" s="157"/>
      <c r="E20" s="156"/>
      <c r="F20" s="158"/>
      <c r="G20" s="156"/>
      <c r="H20" s="158"/>
      <c r="I20" s="156"/>
      <c r="J20" s="159"/>
      <c r="K20" s="156"/>
      <c r="L20" s="158"/>
      <c r="M20" s="158"/>
      <c r="N20" s="14"/>
      <c r="O20" s="328"/>
      <c r="P20" s="10"/>
    </row>
    <row r="21" spans="2:24" x14ac:dyDescent="0.35">
      <c r="B21" s="160"/>
      <c r="C21" s="369"/>
      <c r="D21" s="369"/>
      <c r="E21" s="369"/>
      <c r="F21" s="369"/>
      <c r="G21" s="369"/>
      <c r="H21" s="369"/>
      <c r="I21" s="369"/>
      <c r="J21" s="161"/>
      <c r="K21" s="161"/>
      <c r="L21" s="161"/>
      <c r="M21" s="159"/>
      <c r="N21" s="14"/>
      <c r="O21" s="328"/>
      <c r="P21" s="10"/>
    </row>
    <row r="22" spans="2:24" x14ac:dyDescent="0.35">
      <c r="B22" s="162"/>
      <c r="C22" s="164"/>
      <c r="D22" s="163"/>
      <c r="E22" s="164"/>
      <c r="F22" s="164"/>
      <c r="G22" s="164"/>
      <c r="H22" s="164"/>
      <c r="I22" s="163" t="s">
        <v>154</v>
      </c>
      <c r="J22" s="14"/>
      <c r="K22" s="163"/>
      <c r="L22" s="164"/>
      <c r="M22" s="377">
        <f>M19/5</f>
        <v>457551.8</v>
      </c>
      <c r="N22" s="14"/>
      <c r="O22" s="354" t="s">
        <v>298</v>
      </c>
      <c r="P22" s="10"/>
    </row>
    <row r="23" spans="2:24" x14ac:dyDescent="0.35">
      <c r="B23" s="11"/>
      <c r="C23" s="163"/>
      <c r="D23" s="14"/>
      <c r="E23" s="163"/>
      <c r="F23" s="163"/>
      <c r="G23" s="163"/>
      <c r="H23" s="163"/>
      <c r="I23" s="163"/>
      <c r="J23" s="14"/>
      <c r="K23" s="14"/>
      <c r="L23" s="163"/>
      <c r="M23" s="378"/>
      <c r="N23" s="14"/>
      <c r="O23" s="354" t="s">
        <v>299</v>
      </c>
      <c r="P23" s="10"/>
    </row>
    <row r="24" spans="2:24" x14ac:dyDescent="0.35">
      <c r="B24" s="162"/>
      <c r="C24" s="163"/>
      <c r="D24" s="163"/>
      <c r="E24" s="163"/>
      <c r="F24" s="163"/>
      <c r="G24" s="163"/>
      <c r="H24" s="163"/>
      <c r="I24" s="163" t="s">
        <v>155</v>
      </c>
      <c r="J24" s="14"/>
      <c r="K24" s="163"/>
      <c r="L24" s="163"/>
      <c r="M24" s="377">
        <f>M22*0.2</f>
        <v>91510.36</v>
      </c>
      <c r="N24" s="14"/>
      <c r="O24" s="328"/>
      <c r="P24" s="10">
        <f>M24+M22</f>
        <v>549062.16</v>
      </c>
    </row>
    <row r="25" spans="2:24" x14ac:dyDescent="0.35">
      <c r="B25" s="165"/>
      <c r="C25" s="166"/>
      <c r="D25" s="166"/>
      <c r="E25" s="166"/>
      <c r="F25" s="166"/>
      <c r="G25" s="166"/>
      <c r="H25" s="166"/>
      <c r="I25" s="166"/>
      <c r="J25" s="166"/>
      <c r="K25" s="166"/>
      <c r="L25" s="166"/>
      <c r="M25" s="379"/>
      <c r="N25" s="14"/>
      <c r="O25" s="328"/>
      <c r="P25" s="10"/>
    </row>
    <row r="26" spans="2:24" x14ac:dyDescent="0.35">
      <c r="B26" s="253"/>
      <c r="C26" s="253"/>
      <c r="D26" s="253"/>
      <c r="E26" s="253"/>
      <c r="F26" s="253"/>
      <c r="G26" s="253"/>
      <c r="H26" s="253"/>
      <c r="I26" s="253"/>
      <c r="J26" s="253"/>
      <c r="K26" s="253"/>
      <c r="L26" s="253"/>
      <c r="M26" s="253"/>
      <c r="N26" s="253"/>
      <c r="P26" s="253"/>
    </row>
    <row r="27" spans="2:24" x14ac:dyDescent="0.35">
      <c r="B27" s="253"/>
      <c r="C27" s="253"/>
      <c r="D27" s="253"/>
      <c r="E27" s="253"/>
      <c r="F27" s="253"/>
      <c r="G27" s="253"/>
      <c r="H27" s="253"/>
      <c r="I27" s="253" t="s">
        <v>203</v>
      </c>
      <c r="J27" s="253"/>
      <c r="K27" s="253"/>
      <c r="L27" s="253"/>
      <c r="M27" s="254">
        <f>D19+F19+H19+J19+L19</f>
        <v>1056259</v>
      </c>
      <c r="N27" s="253"/>
      <c r="P27" s="253"/>
    </row>
    <row r="28" spans="2:24" x14ac:dyDescent="0.35">
      <c r="B28" s="253"/>
      <c r="C28" s="253"/>
      <c r="D28" s="253"/>
      <c r="E28" s="253"/>
      <c r="F28" s="253"/>
      <c r="G28" s="253"/>
      <c r="H28" s="253"/>
      <c r="I28" s="253"/>
      <c r="J28" s="253"/>
      <c r="K28" s="253"/>
      <c r="L28" s="253"/>
      <c r="M28" s="253"/>
      <c r="N28" s="253"/>
      <c r="P28" s="253"/>
    </row>
    <row r="29" spans="2:24" x14ac:dyDescent="0.35">
      <c r="B29" s="253"/>
      <c r="C29" s="253"/>
      <c r="D29" s="253"/>
      <c r="E29" s="253"/>
      <c r="F29" s="253"/>
      <c r="G29" s="253"/>
      <c r="H29" s="253"/>
      <c r="I29" s="253" t="s">
        <v>253</v>
      </c>
      <c r="J29" s="253"/>
      <c r="K29" s="253"/>
      <c r="L29" s="253"/>
      <c r="M29" s="254">
        <f>M27/5</f>
        <v>211251.8</v>
      </c>
      <c r="N29" s="253"/>
      <c r="P29" s="253"/>
    </row>
    <row r="30" spans="2:24" x14ac:dyDescent="0.35">
      <c r="B30" s="253"/>
      <c r="C30" s="253"/>
      <c r="D30" s="253"/>
      <c r="E30" s="253"/>
      <c r="F30" s="253"/>
      <c r="G30" s="253"/>
      <c r="H30" s="253"/>
      <c r="I30" s="253"/>
      <c r="J30" s="253"/>
      <c r="K30" s="253"/>
      <c r="L30" s="253"/>
      <c r="M30" s="253"/>
      <c r="N30" s="253"/>
      <c r="P30" s="253"/>
    </row>
    <row r="31" spans="2:24" x14ac:dyDescent="0.35">
      <c r="B31" s="253"/>
      <c r="C31" s="253"/>
      <c r="D31" s="253"/>
      <c r="E31" s="253"/>
      <c r="F31" s="253"/>
      <c r="G31" s="253"/>
      <c r="H31" s="253"/>
      <c r="I31" s="253"/>
      <c r="J31" s="253"/>
      <c r="K31" s="253"/>
      <c r="L31" s="253"/>
      <c r="M31" s="253"/>
      <c r="N31" s="253"/>
      <c r="P31" s="253"/>
    </row>
    <row r="32" spans="2:24" x14ac:dyDescent="0.35">
      <c r="B32" s="253"/>
      <c r="C32" s="253"/>
      <c r="D32" s="253"/>
      <c r="E32" s="253"/>
      <c r="F32" s="253"/>
      <c r="G32" s="253"/>
      <c r="H32" s="253"/>
      <c r="I32" s="253"/>
      <c r="J32" s="253"/>
      <c r="K32" s="253"/>
      <c r="L32" s="253"/>
      <c r="M32" s="253"/>
      <c r="N32" s="253"/>
      <c r="P32" s="253"/>
    </row>
    <row r="33" spans="2:16" x14ac:dyDescent="0.35">
      <c r="B33" s="253"/>
      <c r="C33" s="253"/>
      <c r="D33" s="253"/>
      <c r="E33" s="253"/>
      <c r="F33" s="253"/>
      <c r="G33" s="253"/>
      <c r="H33" s="253"/>
      <c r="I33" s="253"/>
      <c r="J33" s="253"/>
      <c r="K33" s="253"/>
      <c r="L33" s="253"/>
      <c r="M33" s="253"/>
      <c r="N33" s="253"/>
      <c r="P33" s="253"/>
    </row>
    <row r="34" spans="2:16" x14ac:dyDescent="0.35">
      <c r="B34" s="253"/>
      <c r="C34" s="335"/>
      <c r="D34" s="335"/>
      <c r="E34" s="335"/>
      <c r="F34" s="253"/>
      <c r="G34" s="253"/>
      <c r="H34" s="253"/>
      <c r="I34" s="253"/>
      <c r="J34" s="253"/>
      <c r="K34" s="253"/>
      <c r="L34" s="253"/>
      <c r="M34" s="253"/>
      <c r="N34" s="253"/>
      <c r="P34" s="253"/>
    </row>
    <row r="35" spans="2:16" x14ac:dyDescent="0.35">
      <c r="B35" s="321"/>
      <c r="C35" s="322"/>
      <c r="D35" s="322"/>
      <c r="E35" s="322"/>
      <c r="F35" s="321"/>
      <c r="G35" s="253"/>
      <c r="H35" s="253"/>
      <c r="I35" s="253"/>
      <c r="J35" s="253"/>
      <c r="K35" s="253"/>
      <c r="L35" s="253"/>
      <c r="M35" s="253"/>
      <c r="N35" s="253"/>
      <c r="P35" s="253"/>
    </row>
    <row r="36" spans="2:16" x14ac:dyDescent="0.35">
      <c r="B36" s="321"/>
      <c r="C36" s="323"/>
      <c r="D36" s="323"/>
      <c r="E36" s="322"/>
      <c r="F36" s="334"/>
    </row>
    <row r="37" spans="2:16" x14ac:dyDescent="0.35">
      <c r="B37" s="321"/>
      <c r="C37" s="323"/>
      <c r="D37" s="323"/>
      <c r="E37" s="322"/>
      <c r="F37" s="334"/>
    </row>
    <row r="38" spans="2:16" x14ac:dyDescent="0.35">
      <c r="B38" s="321"/>
      <c r="C38" s="323"/>
      <c r="D38" s="323"/>
      <c r="E38" s="322"/>
      <c r="F38" s="321"/>
    </row>
    <row r="39" spans="2:16" x14ac:dyDescent="0.35">
      <c r="B39" s="321"/>
      <c r="C39" s="323"/>
      <c r="D39" s="323"/>
      <c r="E39" s="322"/>
      <c r="F39" s="321"/>
    </row>
    <row r="40" spans="2:16" x14ac:dyDescent="0.35">
      <c r="B40" s="321"/>
      <c r="C40" s="323"/>
      <c r="D40" s="323"/>
      <c r="E40" s="322"/>
      <c r="F40" s="321"/>
    </row>
    <row r="41" spans="2:16" x14ac:dyDescent="0.35">
      <c r="B41" s="321"/>
      <c r="C41" s="321"/>
      <c r="D41" s="321"/>
      <c r="E41" s="324"/>
      <c r="F41" s="325"/>
    </row>
    <row r="43" spans="2:16" x14ac:dyDescent="0.35">
      <c r="B43" s="280"/>
      <c r="E43" s="326"/>
    </row>
    <row r="45" spans="2:16" x14ac:dyDescent="0.35">
      <c r="B45" s="280"/>
      <c r="C45" s="280"/>
      <c r="E45" s="91"/>
    </row>
  </sheetData>
  <mergeCells count="6">
    <mergeCell ref="Q9:R9"/>
    <mergeCell ref="C9:D9"/>
    <mergeCell ref="E9:F9"/>
    <mergeCell ref="G9:H9"/>
    <mergeCell ref="I9:J9"/>
    <mergeCell ref="K9:L9"/>
  </mergeCells>
  <pageMargins left="0.7" right="0.7" top="0.75" bottom="0.75" header="0.3" footer="0.3"/>
  <pageSetup scale="92" orientation="landscape" horizontalDpi="4294967293" r:id="rId1"/>
  <ignoredErrors>
    <ignoredError sqref="B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34C12-8B08-4347-8810-FE79CDF4480C}">
  <sheetPr>
    <tabColor rgb="FF92D050"/>
    <pageSetUpPr fitToPage="1"/>
  </sheetPr>
  <dimension ref="A1:N48"/>
  <sheetViews>
    <sheetView showGridLines="0" topLeftCell="A18" workbookViewId="0">
      <selection sqref="A1:M46"/>
    </sheetView>
  </sheetViews>
  <sheetFormatPr defaultRowHeight="15.5" x14ac:dyDescent="0.35"/>
  <cols>
    <col min="1" max="1" width="2" customWidth="1"/>
    <col min="2" max="2" width="1.84375" customWidth="1"/>
    <col min="3" max="3" width="1.765625" customWidth="1"/>
    <col min="4" max="4" width="27.4609375" customWidth="1"/>
    <col min="5" max="5" width="8.3046875" customWidth="1"/>
    <col min="6" max="6" width="11.69140625" style="293" customWidth="1"/>
    <col min="7" max="7" width="6.07421875" customWidth="1"/>
    <col min="8" max="8" width="10.15234375" customWidth="1"/>
    <col min="9" max="9" width="6.07421875" customWidth="1"/>
    <col min="10" max="10" width="9.3046875" customWidth="1"/>
    <col min="11" max="11" width="10.69140625" customWidth="1"/>
    <col min="12" max="12" width="1.84375" customWidth="1"/>
    <col min="13" max="13" width="2.4609375" customWidth="1"/>
  </cols>
  <sheetData>
    <row r="1" spans="1:13" ht="18" customHeight="1" x14ac:dyDescent="0.35">
      <c r="A1" s="1"/>
      <c r="B1" s="1"/>
      <c r="C1" s="108"/>
      <c r="D1" s="108"/>
      <c r="E1" s="108"/>
      <c r="F1" s="108"/>
      <c r="G1" s="109"/>
      <c r="H1" s="108"/>
      <c r="I1" s="109"/>
      <c r="J1" s="108"/>
      <c r="K1" s="108"/>
      <c r="L1" s="108"/>
      <c r="M1" s="108"/>
    </row>
    <row r="2" spans="1:13" x14ac:dyDescent="0.35">
      <c r="A2" s="1"/>
      <c r="B2" s="69"/>
      <c r="C2" s="110"/>
      <c r="D2" s="110"/>
      <c r="E2" s="110"/>
      <c r="F2" s="110"/>
      <c r="G2" s="111"/>
      <c r="H2" s="110"/>
      <c r="I2" s="111"/>
      <c r="J2" s="110"/>
      <c r="K2" s="110"/>
      <c r="L2" s="112"/>
      <c r="M2" s="113"/>
    </row>
    <row r="3" spans="1:13" ht="17" customHeight="1" x14ac:dyDescent="0.45">
      <c r="A3" s="1"/>
      <c r="B3" s="38"/>
      <c r="C3" s="493" t="s">
        <v>27</v>
      </c>
      <c r="D3" s="493"/>
      <c r="E3" s="493"/>
      <c r="F3" s="493"/>
      <c r="G3" s="493"/>
      <c r="H3" s="493"/>
      <c r="I3" s="493"/>
      <c r="J3" s="493"/>
      <c r="K3" s="493"/>
      <c r="L3" s="114"/>
      <c r="M3" s="113"/>
    </row>
    <row r="4" spans="1:13" ht="18.5" x14ac:dyDescent="0.45">
      <c r="A4" s="1"/>
      <c r="B4" s="38"/>
      <c r="C4" s="494" t="s">
        <v>41</v>
      </c>
      <c r="D4" s="494"/>
      <c r="E4" s="494"/>
      <c r="F4" s="494"/>
      <c r="G4" s="494"/>
      <c r="H4" s="494"/>
      <c r="I4" s="494"/>
      <c r="J4" s="494"/>
      <c r="K4" s="494"/>
      <c r="L4" s="114"/>
      <c r="M4" s="113"/>
    </row>
    <row r="5" spans="1:13" x14ac:dyDescent="0.35">
      <c r="A5" s="1"/>
      <c r="B5" s="38"/>
      <c r="C5" s="495" t="str">
        <f>SAO!A2</f>
        <v>North Mercer Water District</v>
      </c>
      <c r="D5" s="495"/>
      <c r="E5" s="495"/>
      <c r="F5" s="495"/>
      <c r="G5" s="495"/>
      <c r="H5" s="495"/>
      <c r="I5" s="495"/>
      <c r="J5" s="495"/>
      <c r="K5" s="495"/>
      <c r="L5" s="114"/>
      <c r="M5" s="113"/>
    </row>
    <row r="6" spans="1:13" x14ac:dyDescent="0.35">
      <c r="A6" s="1"/>
      <c r="B6" s="38"/>
      <c r="C6" s="108"/>
      <c r="D6" s="108"/>
      <c r="E6" s="108"/>
      <c r="F6" s="108" t="s">
        <v>219</v>
      </c>
      <c r="G6" s="115"/>
      <c r="H6" s="108"/>
      <c r="I6" s="115"/>
      <c r="J6" s="108"/>
      <c r="K6" s="116" t="s">
        <v>42</v>
      </c>
      <c r="L6" s="114"/>
      <c r="M6" s="113"/>
    </row>
    <row r="7" spans="1:13" x14ac:dyDescent="0.35">
      <c r="A7" s="1"/>
      <c r="B7" s="38"/>
      <c r="C7" s="117"/>
      <c r="D7" s="117"/>
      <c r="E7" s="117" t="s">
        <v>43</v>
      </c>
      <c r="F7" s="117" t="s">
        <v>44</v>
      </c>
      <c r="G7" s="118" t="s">
        <v>119</v>
      </c>
      <c r="H7" s="119"/>
      <c r="I7" s="118" t="s">
        <v>32</v>
      </c>
      <c r="J7" s="119"/>
      <c r="K7" s="116" t="s">
        <v>45</v>
      </c>
      <c r="L7" s="114"/>
      <c r="M7" s="113"/>
    </row>
    <row r="8" spans="1:13" ht="17" x14ac:dyDescent="0.5">
      <c r="A8" s="1"/>
      <c r="B8" s="38"/>
      <c r="C8" s="116"/>
      <c r="D8" s="120" t="s">
        <v>120</v>
      </c>
      <c r="E8" s="116" t="s">
        <v>46</v>
      </c>
      <c r="F8" s="116" t="s">
        <v>121</v>
      </c>
      <c r="G8" s="17" t="s">
        <v>47</v>
      </c>
      <c r="H8" s="116" t="s">
        <v>48</v>
      </c>
      <c r="I8" s="17" t="s">
        <v>47</v>
      </c>
      <c r="J8" s="116" t="s">
        <v>48</v>
      </c>
      <c r="K8" s="116" t="s">
        <v>38</v>
      </c>
      <c r="L8" s="114"/>
      <c r="M8" s="113"/>
    </row>
    <row r="9" spans="1:13" x14ac:dyDescent="0.35">
      <c r="A9" s="1"/>
      <c r="B9" s="38"/>
      <c r="C9" s="116"/>
      <c r="D9" s="116"/>
      <c r="E9" s="116"/>
      <c r="F9" s="116"/>
      <c r="G9" s="17"/>
      <c r="H9" s="116"/>
      <c r="I9" s="17"/>
      <c r="J9" s="116"/>
      <c r="K9" s="116"/>
      <c r="L9" s="114"/>
      <c r="M9" s="113"/>
    </row>
    <row r="10" spans="1:13" x14ac:dyDescent="0.35">
      <c r="A10" s="1"/>
      <c r="B10" s="38"/>
      <c r="C10" s="121" t="s">
        <v>122</v>
      </c>
      <c r="D10" s="108"/>
      <c r="E10" s="122"/>
      <c r="F10" s="108"/>
      <c r="G10" s="115"/>
      <c r="H10" s="75"/>
      <c r="I10" s="115"/>
      <c r="J10" s="75"/>
      <c r="K10" s="75"/>
      <c r="L10" s="114"/>
      <c r="M10" s="113"/>
    </row>
    <row r="11" spans="1:13" x14ac:dyDescent="0.35">
      <c r="A11" s="1"/>
      <c r="B11" s="38"/>
      <c r="C11" s="121"/>
      <c r="D11" s="108" t="s">
        <v>123</v>
      </c>
      <c r="E11" s="122" t="s">
        <v>65</v>
      </c>
      <c r="F11" s="291">
        <v>265270.14</v>
      </c>
      <c r="G11" s="56" t="s">
        <v>124</v>
      </c>
      <c r="H11" s="14">
        <v>7853.05</v>
      </c>
      <c r="I11" s="115">
        <v>37.5</v>
      </c>
      <c r="J11" s="14">
        <f>F11/I11</f>
        <v>7073.8704000000007</v>
      </c>
      <c r="K11" s="14">
        <f>J11-H11</f>
        <v>-779.17959999999948</v>
      </c>
      <c r="L11" s="114"/>
      <c r="M11" s="113"/>
    </row>
    <row r="12" spans="1:13" x14ac:dyDescent="0.35">
      <c r="A12" s="1"/>
      <c r="B12" s="38"/>
      <c r="C12" s="121"/>
      <c r="D12" s="108" t="s">
        <v>125</v>
      </c>
      <c r="E12" s="122" t="s">
        <v>65</v>
      </c>
      <c r="F12" s="291">
        <v>579303.4</v>
      </c>
      <c r="G12" s="56" t="s">
        <v>124</v>
      </c>
      <c r="H12" s="14">
        <v>30832.9</v>
      </c>
      <c r="I12" s="115">
        <v>10</v>
      </c>
      <c r="J12" s="14">
        <f>F12/I12</f>
        <v>57930.340000000004</v>
      </c>
      <c r="K12" s="14">
        <f>J12-H12</f>
        <v>27097.440000000002</v>
      </c>
      <c r="L12" s="114"/>
      <c r="M12" s="113"/>
    </row>
    <row r="13" spans="1:13" x14ac:dyDescent="0.35">
      <c r="A13" s="1"/>
      <c r="B13" s="38"/>
      <c r="C13" s="108"/>
      <c r="D13" s="108" t="s">
        <v>126</v>
      </c>
      <c r="E13" s="122" t="s">
        <v>65</v>
      </c>
      <c r="F13" s="291">
        <v>5436.7</v>
      </c>
      <c r="G13" s="56" t="s">
        <v>124</v>
      </c>
      <c r="H13" s="14">
        <v>487.34</v>
      </c>
      <c r="I13" s="115">
        <v>22.5</v>
      </c>
      <c r="J13" s="14">
        <f>F13/I13</f>
        <v>241.6311111111111</v>
      </c>
      <c r="K13" s="14">
        <f>J13-H13</f>
        <v>-245.70888888888888</v>
      </c>
      <c r="L13" s="114"/>
      <c r="M13" s="113"/>
    </row>
    <row r="14" spans="1:13" x14ac:dyDescent="0.35">
      <c r="A14" s="1"/>
      <c r="B14" s="38"/>
      <c r="C14" s="108"/>
      <c r="D14" s="108" t="s">
        <v>127</v>
      </c>
      <c r="E14" s="122" t="s">
        <v>65</v>
      </c>
      <c r="F14" s="291">
        <v>50195.95</v>
      </c>
      <c r="G14" s="56" t="s">
        <v>124</v>
      </c>
      <c r="H14" s="14">
        <v>2770.85</v>
      </c>
      <c r="I14" s="115">
        <v>12.5</v>
      </c>
      <c r="J14" s="14">
        <f t="shared" ref="J14:J16" si="0">F14/I14</f>
        <v>4015.6759999999999</v>
      </c>
      <c r="K14" s="14">
        <f t="shared" ref="K14:K16" si="1">J14-H14</f>
        <v>1244.826</v>
      </c>
      <c r="L14" s="114"/>
      <c r="M14" s="113"/>
    </row>
    <row r="15" spans="1:13" x14ac:dyDescent="0.35">
      <c r="A15" s="1"/>
      <c r="B15" s="38"/>
      <c r="C15" s="108"/>
      <c r="D15" s="108" t="s">
        <v>128</v>
      </c>
      <c r="E15" s="122" t="s">
        <v>65</v>
      </c>
      <c r="F15" s="291">
        <v>5300</v>
      </c>
      <c r="G15" s="56" t="s">
        <v>124</v>
      </c>
      <c r="H15" s="14">
        <v>1060</v>
      </c>
      <c r="I15" s="115">
        <v>17.5</v>
      </c>
      <c r="J15" s="14">
        <f t="shared" si="0"/>
        <v>302.85714285714283</v>
      </c>
      <c r="K15" s="14">
        <f t="shared" si="1"/>
        <v>-757.14285714285711</v>
      </c>
      <c r="L15" s="114"/>
      <c r="M15" s="113"/>
    </row>
    <row r="16" spans="1:13" x14ac:dyDescent="0.35">
      <c r="A16" s="1"/>
      <c r="B16" s="38"/>
      <c r="C16" s="108"/>
      <c r="D16" s="108" t="s">
        <v>129</v>
      </c>
      <c r="E16" s="122" t="s">
        <v>65</v>
      </c>
      <c r="F16" s="291">
        <v>16720</v>
      </c>
      <c r="G16" s="56" t="s">
        <v>124</v>
      </c>
      <c r="H16" s="14">
        <v>1114.67</v>
      </c>
      <c r="I16" s="115">
        <v>15</v>
      </c>
      <c r="J16" s="14">
        <f t="shared" si="0"/>
        <v>1114.6666666666667</v>
      </c>
      <c r="K16" s="14">
        <f t="shared" si="1"/>
        <v>-3.3333333333303017E-3</v>
      </c>
      <c r="L16" s="114"/>
      <c r="M16" s="113"/>
    </row>
    <row r="17" spans="1:13" x14ac:dyDescent="0.35">
      <c r="A17" s="1"/>
      <c r="B17" s="38"/>
      <c r="C17" s="116"/>
      <c r="D17" s="116"/>
      <c r="E17" s="116"/>
      <c r="F17" s="116"/>
      <c r="G17" s="17"/>
      <c r="H17" s="116"/>
      <c r="I17" s="17"/>
      <c r="J17" s="116"/>
      <c r="K17" s="116"/>
      <c r="L17" s="114"/>
      <c r="M17" s="113"/>
    </row>
    <row r="18" spans="1:13" x14ac:dyDescent="0.35">
      <c r="A18" s="1"/>
      <c r="B18" s="38"/>
      <c r="C18" s="121" t="s">
        <v>130</v>
      </c>
      <c r="D18" s="108"/>
      <c r="E18" s="122"/>
      <c r="F18" s="108"/>
      <c r="G18" s="123"/>
      <c r="H18" s="75"/>
      <c r="I18" s="123"/>
      <c r="J18" s="75"/>
      <c r="K18" s="75"/>
      <c r="L18" s="114"/>
      <c r="M18" s="113"/>
    </row>
    <row r="19" spans="1:13" x14ac:dyDescent="0.35">
      <c r="A19" s="1"/>
      <c r="B19" s="38"/>
      <c r="C19" s="121"/>
      <c r="D19" s="108" t="s">
        <v>123</v>
      </c>
      <c r="E19" s="122" t="s">
        <v>65</v>
      </c>
      <c r="F19" s="291">
        <v>504124.15999999997</v>
      </c>
      <c r="G19" s="56" t="s">
        <v>124</v>
      </c>
      <c r="H19" s="14">
        <v>12603.1</v>
      </c>
      <c r="I19" s="115">
        <v>37.5</v>
      </c>
      <c r="J19" s="14">
        <f>F19/I19</f>
        <v>13443.310933333332</v>
      </c>
      <c r="K19" s="14">
        <f>J19-H19</f>
        <v>840.21093333333192</v>
      </c>
      <c r="L19" s="114"/>
      <c r="M19" s="113"/>
    </row>
    <row r="20" spans="1:13" x14ac:dyDescent="0.35">
      <c r="A20" s="1"/>
      <c r="B20" s="38"/>
      <c r="C20" s="108"/>
      <c r="D20" s="108" t="s">
        <v>131</v>
      </c>
      <c r="E20" s="122" t="s">
        <v>65</v>
      </c>
      <c r="F20" s="108">
        <v>129711</v>
      </c>
      <c r="G20" s="56">
        <v>40</v>
      </c>
      <c r="H20" s="14">
        <v>3242.78</v>
      </c>
      <c r="I20" s="115">
        <v>10</v>
      </c>
      <c r="J20" s="75">
        <f>F20/I20</f>
        <v>12971.1</v>
      </c>
      <c r="K20" s="14">
        <f>J20-H20</f>
        <v>9728.32</v>
      </c>
      <c r="L20" s="114"/>
      <c r="M20" s="113"/>
    </row>
    <row r="21" spans="1:13" x14ac:dyDescent="0.35">
      <c r="A21" s="1"/>
      <c r="B21" s="38"/>
      <c r="C21" s="108"/>
      <c r="D21" s="108" t="s">
        <v>132</v>
      </c>
      <c r="E21" s="122" t="s">
        <v>65</v>
      </c>
      <c r="F21" s="108"/>
      <c r="G21" s="56" t="s">
        <v>124</v>
      </c>
      <c r="H21" s="14"/>
      <c r="I21" s="115">
        <v>20</v>
      </c>
      <c r="J21" s="75">
        <f>F21/I21</f>
        <v>0</v>
      </c>
      <c r="K21" s="14">
        <f>J21-H21</f>
        <v>0</v>
      </c>
      <c r="L21" s="114"/>
      <c r="M21" s="113"/>
    </row>
    <row r="22" spans="1:13" x14ac:dyDescent="0.35">
      <c r="A22" s="1"/>
      <c r="B22" s="38"/>
      <c r="C22" s="116"/>
      <c r="D22" s="116"/>
      <c r="E22" s="116"/>
      <c r="F22" s="108"/>
      <c r="G22" s="123"/>
      <c r="H22" s="75"/>
      <c r="I22" s="123"/>
      <c r="J22" s="75"/>
      <c r="K22" s="75"/>
      <c r="L22" s="114"/>
      <c r="M22" s="113"/>
    </row>
    <row r="23" spans="1:13" x14ac:dyDescent="0.35">
      <c r="A23" s="1"/>
      <c r="B23" s="38"/>
      <c r="C23" s="121" t="s">
        <v>133</v>
      </c>
      <c r="D23" s="108"/>
      <c r="E23" s="122"/>
      <c r="F23" s="108"/>
      <c r="G23" s="115"/>
      <c r="H23" s="75"/>
      <c r="I23" s="115"/>
      <c r="J23" s="75"/>
      <c r="K23" s="75"/>
      <c r="L23" s="114"/>
      <c r="M23" s="113"/>
    </row>
    <row r="24" spans="1:13" x14ac:dyDescent="0.35">
      <c r="A24" s="1"/>
      <c r="B24" s="38"/>
      <c r="C24" s="121"/>
      <c r="D24" s="108" t="s">
        <v>134</v>
      </c>
      <c r="E24" s="122" t="s">
        <v>65</v>
      </c>
      <c r="F24" s="291">
        <v>21587.71</v>
      </c>
      <c r="G24" s="56">
        <v>40</v>
      </c>
      <c r="H24" s="14">
        <v>539.70000000000005</v>
      </c>
      <c r="I24" s="115">
        <v>50</v>
      </c>
      <c r="J24" s="14">
        <f>H24</f>
        <v>539.70000000000005</v>
      </c>
      <c r="K24" s="14">
        <f>J24-H24</f>
        <v>0</v>
      </c>
      <c r="L24" s="114"/>
      <c r="M24" s="113"/>
    </row>
    <row r="25" spans="1:13" x14ac:dyDescent="0.35">
      <c r="A25" s="1"/>
      <c r="B25" s="38"/>
      <c r="C25" s="121"/>
      <c r="D25" s="108" t="s">
        <v>135</v>
      </c>
      <c r="E25" s="122" t="s">
        <v>65</v>
      </c>
      <c r="F25" s="291">
        <v>12187625.710000001</v>
      </c>
      <c r="G25" s="56">
        <v>40</v>
      </c>
      <c r="H25" s="14">
        <v>304690.67</v>
      </c>
      <c r="I25" s="115">
        <v>62.5</v>
      </c>
      <c r="J25" s="14">
        <f t="shared" ref="J25:J32" si="2">F25/I25</f>
        <v>195002.01136</v>
      </c>
      <c r="K25" s="14">
        <f t="shared" ref="K25:K32" si="3">J25-H25</f>
        <v>-109688.65863999998</v>
      </c>
      <c r="L25" s="114"/>
      <c r="M25" s="113"/>
    </row>
    <row r="26" spans="1:13" x14ac:dyDescent="0.35">
      <c r="A26" s="1"/>
      <c r="B26" s="38"/>
      <c r="C26" s="121"/>
      <c r="D26" s="108" t="s">
        <v>136</v>
      </c>
      <c r="E26" s="122" t="s">
        <v>65</v>
      </c>
      <c r="F26" s="291">
        <v>1496260.28</v>
      </c>
      <c r="G26" s="56" t="s">
        <v>124</v>
      </c>
      <c r="H26" s="14">
        <v>37425.910000000003</v>
      </c>
      <c r="I26" s="115">
        <v>45</v>
      </c>
      <c r="J26" s="14">
        <f t="shared" si="2"/>
        <v>33250.228444444445</v>
      </c>
      <c r="K26" s="14">
        <f t="shared" si="3"/>
        <v>-4175.6815555555586</v>
      </c>
      <c r="L26" s="114"/>
      <c r="M26" s="113"/>
    </row>
    <row r="27" spans="1:13" x14ac:dyDescent="0.35">
      <c r="A27" s="1"/>
      <c r="B27" s="38"/>
      <c r="C27" s="121"/>
      <c r="D27" s="108" t="s">
        <v>137</v>
      </c>
      <c r="E27" s="122" t="s">
        <v>65</v>
      </c>
      <c r="F27" s="291">
        <v>425779.28</v>
      </c>
      <c r="G27" s="56" t="s">
        <v>124</v>
      </c>
      <c r="H27" s="14">
        <v>12035.94</v>
      </c>
      <c r="I27" s="115">
        <v>15</v>
      </c>
      <c r="J27" s="14">
        <f t="shared" si="2"/>
        <v>28385.285333333337</v>
      </c>
      <c r="K27" s="14">
        <f t="shared" si="3"/>
        <v>16349.345333333336</v>
      </c>
      <c r="L27" s="114"/>
      <c r="M27" s="113"/>
    </row>
    <row r="28" spans="1:13" x14ac:dyDescent="0.35">
      <c r="A28" s="1"/>
      <c r="B28" s="38"/>
      <c r="C28" s="121"/>
      <c r="D28" s="108" t="s">
        <v>138</v>
      </c>
      <c r="E28" s="122"/>
      <c r="F28" s="291"/>
      <c r="G28" s="56"/>
      <c r="H28" s="14"/>
      <c r="I28" s="115">
        <v>20</v>
      </c>
      <c r="J28" s="14">
        <f t="shared" si="2"/>
        <v>0</v>
      </c>
      <c r="K28" s="14">
        <f t="shared" si="3"/>
        <v>0</v>
      </c>
      <c r="L28" s="114"/>
      <c r="M28" s="113"/>
    </row>
    <row r="29" spans="1:13" x14ac:dyDescent="0.35">
      <c r="A29" s="1"/>
      <c r="B29" s="38"/>
      <c r="C29" s="121"/>
      <c r="D29" s="108" t="s">
        <v>139</v>
      </c>
      <c r="E29" s="122"/>
      <c r="F29" s="291"/>
      <c r="G29" s="56"/>
      <c r="H29" s="14"/>
      <c r="I29" s="115">
        <v>37.5</v>
      </c>
      <c r="J29" s="14">
        <f t="shared" si="2"/>
        <v>0</v>
      </c>
      <c r="K29" s="14">
        <f t="shared" si="3"/>
        <v>0</v>
      </c>
      <c r="L29" s="114"/>
      <c r="M29" s="113"/>
    </row>
    <row r="30" spans="1:13" x14ac:dyDescent="0.35">
      <c r="A30" s="1"/>
      <c r="B30" s="38"/>
      <c r="C30" s="121"/>
      <c r="D30" s="108" t="s">
        <v>140</v>
      </c>
      <c r="E30" s="122" t="s">
        <v>65</v>
      </c>
      <c r="F30" s="291">
        <v>1000</v>
      </c>
      <c r="G30" s="56">
        <v>40</v>
      </c>
      <c r="H30" s="14">
        <v>25</v>
      </c>
      <c r="I30" s="115">
        <v>40</v>
      </c>
      <c r="J30" s="14">
        <f t="shared" si="2"/>
        <v>25</v>
      </c>
      <c r="K30" s="14">
        <f t="shared" si="3"/>
        <v>0</v>
      </c>
      <c r="L30" s="114"/>
      <c r="M30" s="113"/>
    </row>
    <row r="31" spans="1:13" x14ac:dyDescent="0.35">
      <c r="A31" s="1"/>
      <c r="B31" s="38"/>
      <c r="C31" s="121"/>
      <c r="D31" s="108" t="s">
        <v>141</v>
      </c>
      <c r="E31" s="122" t="s">
        <v>65</v>
      </c>
      <c r="F31" s="291">
        <v>1619558.08</v>
      </c>
      <c r="G31" s="56">
        <v>40</v>
      </c>
      <c r="H31" s="14">
        <v>40488.949999999997</v>
      </c>
      <c r="I31" s="115">
        <v>45</v>
      </c>
      <c r="J31" s="14">
        <f t="shared" si="2"/>
        <v>35990.179555555558</v>
      </c>
      <c r="K31" s="14">
        <f t="shared" si="3"/>
        <v>-4498.7704444444389</v>
      </c>
      <c r="L31" s="114"/>
      <c r="M31" s="113"/>
    </row>
    <row r="32" spans="1:13" x14ac:dyDescent="0.35">
      <c r="A32" s="1"/>
      <c r="B32" s="38"/>
      <c r="C32" s="121"/>
      <c r="D32" s="108" t="s">
        <v>218</v>
      </c>
      <c r="E32" s="122" t="s">
        <v>65</v>
      </c>
      <c r="F32" s="291">
        <v>62214</v>
      </c>
      <c r="G32" s="56">
        <v>40</v>
      </c>
      <c r="H32" s="14">
        <v>1555.35</v>
      </c>
      <c r="I32" s="115">
        <v>15</v>
      </c>
      <c r="J32" s="14">
        <f t="shared" si="2"/>
        <v>4147.6000000000004</v>
      </c>
      <c r="K32" s="14">
        <f t="shared" si="3"/>
        <v>2592.2500000000005</v>
      </c>
      <c r="L32" s="114"/>
      <c r="M32" s="113"/>
    </row>
    <row r="33" spans="1:14" x14ac:dyDescent="0.35">
      <c r="A33" s="1"/>
      <c r="B33" s="38"/>
      <c r="C33" s="121"/>
      <c r="D33" s="1"/>
      <c r="E33" s="122"/>
      <c r="F33" s="108"/>
      <c r="G33" s="123"/>
      <c r="H33" s="75"/>
      <c r="I33" s="123"/>
      <c r="J33" s="75"/>
      <c r="K33" s="14"/>
      <c r="L33" s="114"/>
      <c r="M33" s="113"/>
    </row>
    <row r="34" spans="1:14" x14ac:dyDescent="0.35">
      <c r="A34" s="1"/>
      <c r="B34" s="38"/>
      <c r="C34" s="121" t="s">
        <v>142</v>
      </c>
      <c r="D34" s="1"/>
      <c r="E34" s="122"/>
      <c r="F34" s="108"/>
      <c r="G34" s="115"/>
      <c r="H34" s="75"/>
      <c r="I34" s="124"/>
      <c r="J34" s="75"/>
      <c r="K34" s="75"/>
      <c r="L34" s="114"/>
      <c r="M34" s="113"/>
    </row>
    <row r="35" spans="1:14" x14ac:dyDescent="0.35">
      <c r="A35" s="1"/>
      <c r="B35" s="38"/>
      <c r="C35" s="108"/>
      <c r="D35" s="1" t="s">
        <v>143</v>
      </c>
      <c r="E35" s="122" t="s">
        <v>217</v>
      </c>
      <c r="F35" s="108">
        <v>49015</v>
      </c>
      <c r="G35" s="56">
        <v>5</v>
      </c>
      <c r="H35" s="75">
        <v>9803</v>
      </c>
      <c r="I35" s="124">
        <v>7</v>
      </c>
      <c r="J35" s="75">
        <f>F35/I35</f>
        <v>7002.1428571428569</v>
      </c>
      <c r="K35" s="75">
        <f>J35-H35</f>
        <v>-2800.8571428571431</v>
      </c>
      <c r="L35" s="114"/>
      <c r="M35" s="113"/>
    </row>
    <row r="36" spans="1:14" x14ac:dyDescent="0.35">
      <c r="A36" s="1"/>
      <c r="B36" s="38"/>
      <c r="C36" s="116"/>
      <c r="D36" s="116"/>
      <c r="E36" s="116"/>
      <c r="F36" s="108"/>
      <c r="G36" s="123"/>
      <c r="H36" s="75"/>
      <c r="I36" s="123"/>
      <c r="J36" s="75"/>
      <c r="K36" s="75"/>
      <c r="L36" s="114"/>
      <c r="M36" s="113"/>
    </row>
    <row r="37" spans="1:14" x14ac:dyDescent="0.35">
      <c r="A37" s="1"/>
      <c r="B37" s="38"/>
      <c r="C37" s="121" t="s">
        <v>144</v>
      </c>
      <c r="D37" s="108"/>
      <c r="E37" s="122"/>
      <c r="F37" s="108"/>
      <c r="G37" s="125"/>
      <c r="H37" s="75"/>
      <c r="I37" s="115"/>
      <c r="J37" s="75"/>
      <c r="K37" s="75"/>
      <c r="L37" s="114"/>
      <c r="M37" s="113"/>
    </row>
    <row r="38" spans="1:14" x14ac:dyDescent="0.35">
      <c r="A38" s="1"/>
      <c r="B38" s="38"/>
      <c r="C38" s="121"/>
      <c r="D38" s="1" t="s">
        <v>135</v>
      </c>
      <c r="E38" s="122"/>
      <c r="F38" s="108"/>
      <c r="G38" s="115"/>
      <c r="H38" s="75"/>
      <c r="I38" s="124">
        <v>62.5</v>
      </c>
      <c r="J38" s="75">
        <f>F38/I38</f>
        <v>0</v>
      </c>
      <c r="K38" s="75">
        <f>J38-H38</f>
        <v>0</v>
      </c>
      <c r="L38" s="114"/>
      <c r="M38" s="113"/>
    </row>
    <row r="39" spans="1:14" x14ac:dyDescent="0.35">
      <c r="A39" s="1"/>
      <c r="B39" s="38"/>
      <c r="C39" s="108"/>
      <c r="D39" s="108"/>
      <c r="E39" s="108"/>
      <c r="F39" s="292"/>
      <c r="G39" s="75"/>
      <c r="H39" s="126"/>
      <c r="I39" s="75"/>
      <c r="J39" s="115"/>
      <c r="K39" s="75"/>
      <c r="L39" s="114"/>
      <c r="M39" s="113"/>
    </row>
    <row r="40" spans="1:14" x14ac:dyDescent="0.35">
      <c r="A40" s="1"/>
      <c r="B40" s="38"/>
      <c r="C40" s="127" t="s">
        <v>221</v>
      </c>
      <c r="D40" s="1"/>
      <c r="E40" s="1"/>
      <c r="F40" s="127">
        <f>SUM(F11:F39)</f>
        <v>17419101.41</v>
      </c>
      <c r="G40" s="128"/>
      <c r="H40" s="129">
        <f>SUM(H11:H39)</f>
        <v>466529.20999999996</v>
      </c>
      <c r="I40" s="129"/>
      <c r="J40" s="129">
        <f>SUM(J11:J39)</f>
        <v>401435.59980444447</v>
      </c>
      <c r="K40" s="129">
        <f>SUM(K11:K39)</f>
        <v>-65093.610195555528</v>
      </c>
      <c r="L40" s="114"/>
      <c r="M40" s="113"/>
      <c r="N40" s="12"/>
    </row>
    <row r="41" spans="1:14" hidden="1" x14ac:dyDescent="0.35">
      <c r="A41" s="1"/>
      <c r="B41" s="38"/>
      <c r="C41" s="127"/>
      <c r="D41" s="1"/>
      <c r="E41" s="1"/>
      <c r="F41" s="127"/>
      <c r="G41" s="128"/>
      <c r="H41" s="129"/>
      <c r="I41" s="129"/>
      <c r="J41" s="129"/>
      <c r="K41" s="129"/>
      <c r="L41" s="114"/>
      <c r="M41" s="113"/>
      <c r="N41" s="12"/>
    </row>
    <row r="42" spans="1:14" hidden="1" x14ac:dyDescent="0.35">
      <c r="A42" s="1"/>
      <c r="B42" s="38"/>
      <c r="C42" s="127"/>
      <c r="D42" s="1"/>
      <c r="E42" s="1"/>
      <c r="F42" s="127"/>
      <c r="G42" s="128"/>
      <c r="H42" s="129"/>
      <c r="I42" s="129"/>
      <c r="J42" s="129"/>
      <c r="K42" s="129"/>
      <c r="L42" s="114"/>
      <c r="M42" s="113"/>
      <c r="N42" s="12" t="s">
        <v>296</v>
      </c>
    </row>
    <row r="43" spans="1:14" hidden="1" x14ac:dyDescent="0.35">
      <c r="A43" s="1"/>
      <c r="B43" s="38"/>
      <c r="C43" s="127"/>
      <c r="D43" s="1"/>
      <c r="E43" s="1"/>
      <c r="F43" s="127"/>
      <c r="G43" s="128"/>
      <c r="H43" s="129"/>
      <c r="I43" s="129"/>
      <c r="J43" s="129"/>
      <c r="K43" s="129"/>
      <c r="L43" s="114"/>
      <c r="M43" s="113"/>
      <c r="N43" s="12"/>
    </row>
    <row r="44" spans="1:14" x14ac:dyDescent="0.35">
      <c r="A44" s="1"/>
      <c r="B44" s="70"/>
      <c r="C44" s="130"/>
      <c r="D44" s="130"/>
      <c r="E44" s="130"/>
      <c r="F44" s="130"/>
      <c r="G44" s="130"/>
      <c r="H44" s="131"/>
      <c r="I44" s="130"/>
      <c r="J44" s="131"/>
      <c r="K44" s="130"/>
      <c r="L44" s="132"/>
      <c r="M44" s="133"/>
    </row>
    <row r="45" spans="1:14" x14ac:dyDescent="0.35">
      <c r="A45" s="1"/>
      <c r="B45" s="1"/>
      <c r="C45" s="108"/>
      <c r="D45" s="108"/>
      <c r="E45" s="108"/>
      <c r="F45" s="108"/>
      <c r="G45" s="108"/>
      <c r="H45" s="16"/>
      <c r="I45" s="108"/>
      <c r="J45" s="16"/>
      <c r="K45" s="108"/>
      <c r="L45" s="108"/>
      <c r="M45" s="108"/>
    </row>
    <row r="46" spans="1:14" x14ac:dyDescent="0.35">
      <c r="D46" s="108" t="s">
        <v>145</v>
      </c>
    </row>
    <row r="47" spans="1:14" x14ac:dyDescent="0.35">
      <c r="D47" s="108"/>
    </row>
    <row r="48" spans="1:14" x14ac:dyDescent="0.35">
      <c r="D48" s="1"/>
    </row>
  </sheetData>
  <mergeCells count="3">
    <mergeCell ref="C3:K3"/>
    <mergeCell ref="C4:K4"/>
    <mergeCell ref="C5:K5"/>
  </mergeCells>
  <pageMargins left="0.7" right="0.7" top="0.75" bottom="0.75" header="0.3" footer="0.3"/>
  <pageSetup scale="76"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3:GH31"/>
  <sheetViews>
    <sheetView showGridLines="0" workbookViewId="0">
      <selection activeCell="R18" sqref="R18"/>
    </sheetView>
  </sheetViews>
  <sheetFormatPr defaultColWidth="8.84375" defaultRowHeight="14.5" x14ac:dyDescent="0.35"/>
  <cols>
    <col min="1" max="1" width="2.61328125" style="9" customWidth="1"/>
    <col min="2" max="2" width="1.765625" style="18" customWidth="1"/>
    <col min="3" max="3" width="4.61328125" style="18" customWidth="1"/>
    <col min="4" max="4" width="7.61328125" style="82" customWidth="1"/>
    <col min="5" max="5" width="10.61328125" style="198" customWidth="1"/>
    <col min="6" max="6" width="10.61328125" style="18" customWidth="1"/>
    <col min="7" max="7" width="12.61328125" style="18" customWidth="1"/>
    <col min="8" max="8" width="10.61328125" style="18" customWidth="1"/>
    <col min="9" max="9" width="12.61328125" style="71" customWidth="1"/>
    <col min="10" max="10" width="10.61328125" style="18" customWidth="1"/>
    <col min="11" max="11" width="7.15234375" style="192" bestFit="1" customWidth="1"/>
    <col min="12" max="12" width="1.765625" style="18" customWidth="1"/>
    <col min="13" max="13" width="1.07421875" style="18" customWidth="1"/>
    <col min="14" max="190" width="9.69140625" style="18" customWidth="1"/>
    <col min="191" max="16384" width="8.84375" style="9"/>
  </cols>
  <sheetData>
    <row r="3" spans="3:190" ht="15.5" customHeight="1" x14ac:dyDescent="0.45">
      <c r="C3" s="498" t="s">
        <v>84</v>
      </c>
      <c r="D3" s="498"/>
      <c r="E3" s="498"/>
      <c r="F3" s="498"/>
      <c r="G3" s="498"/>
      <c r="H3" s="498"/>
      <c r="I3" s="498"/>
      <c r="J3" s="498"/>
    </row>
    <row r="4" spans="3:190" ht="14.5" customHeight="1" x14ac:dyDescent="0.35"/>
    <row r="5" spans="3:190" ht="18.5" x14ac:dyDescent="0.45">
      <c r="C5" s="499" t="s">
        <v>56</v>
      </c>
      <c r="D5" s="500"/>
      <c r="E5" s="500"/>
      <c r="F5" s="500"/>
      <c r="G5" s="500"/>
      <c r="H5" s="500"/>
      <c r="I5" s="500"/>
      <c r="J5" s="500"/>
      <c r="K5" s="465"/>
    </row>
    <row r="6" spans="3:190" ht="18" customHeight="1" x14ac:dyDescent="0.35">
      <c r="C6" s="501" t="str">
        <f>SAO!A2</f>
        <v>North Mercer Water District</v>
      </c>
      <c r="D6" s="495"/>
      <c r="E6" s="495"/>
      <c r="F6" s="495"/>
      <c r="G6" s="495"/>
      <c r="H6" s="495"/>
      <c r="I6" s="495"/>
      <c r="J6" s="495"/>
      <c r="K6" s="466"/>
    </row>
    <row r="7" spans="3:190" ht="6" customHeight="1" x14ac:dyDescent="0.35">
      <c r="C7" s="461"/>
      <c r="K7" s="466"/>
    </row>
    <row r="8" spans="3:190" ht="14.25" customHeight="1" x14ac:dyDescent="0.35">
      <c r="C8" s="467" t="s">
        <v>181</v>
      </c>
      <c r="D8" s="197"/>
      <c r="E8" s="462"/>
      <c r="F8" s="496" t="s">
        <v>178</v>
      </c>
      <c r="G8" s="496"/>
      <c r="H8" s="496" t="s">
        <v>11</v>
      </c>
      <c r="I8" s="496"/>
      <c r="J8" s="496" t="s">
        <v>67</v>
      </c>
      <c r="K8" s="497"/>
      <c r="L8" s="464"/>
      <c r="GH8" s="9"/>
    </row>
    <row r="9" spans="3:190" ht="17.25" customHeight="1" x14ac:dyDescent="0.35">
      <c r="C9" s="269" t="s">
        <v>183</v>
      </c>
      <c r="D9" s="3">
        <v>1000</v>
      </c>
      <c r="E9" s="81" t="s">
        <v>13</v>
      </c>
      <c r="F9" s="200">
        <v>20.48</v>
      </c>
      <c r="G9" s="37" t="s">
        <v>110</v>
      </c>
      <c r="H9" s="37">
        <f>ROUND(F9*(1+'Revenue Requirements'!$G$13),3)</f>
        <v>22.783999999999999</v>
      </c>
      <c r="I9" s="71" t="s">
        <v>110</v>
      </c>
      <c r="J9" s="37">
        <f>H9-F9</f>
        <v>2.3039999999999985</v>
      </c>
      <c r="K9" s="468">
        <f>J9/F9</f>
        <v>0.11249999999999992</v>
      </c>
      <c r="L9" s="464"/>
      <c r="GH9" s="9"/>
    </row>
    <row r="10" spans="3:190" ht="15" customHeight="1" x14ac:dyDescent="0.35">
      <c r="C10" s="270" t="s">
        <v>184</v>
      </c>
      <c r="D10" s="85">
        <v>1000</v>
      </c>
      <c r="E10" s="81" t="s">
        <v>13</v>
      </c>
      <c r="F10" s="201">
        <v>9.8799999999999999E-3</v>
      </c>
      <c r="G10" s="37" t="s">
        <v>182</v>
      </c>
      <c r="H10" s="196">
        <f>ROUND(F10*(1+'Revenue Requirements'!$G$13),7)</f>
        <v>1.09915E-2</v>
      </c>
      <c r="I10" s="71" t="s">
        <v>182</v>
      </c>
      <c r="J10" s="196">
        <f>H10-F10</f>
        <v>1.1114999999999996E-3</v>
      </c>
      <c r="K10" s="468">
        <f>J10/F10</f>
        <v>0.11249999999999996</v>
      </c>
      <c r="L10" s="464"/>
      <c r="GH10" s="9"/>
    </row>
    <row r="11" spans="3:190" ht="15" customHeight="1" x14ac:dyDescent="0.35">
      <c r="C11" s="469"/>
      <c r="D11" s="85"/>
      <c r="F11" s="66"/>
      <c r="G11" s="65"/>
      <c r="H11" s="37"/>
      <c r="I11" s="72"/>
      <c r="J11" s="37"/>
      <c r="K11" s="468"/>
      <c r="L11" s="464"/>
      <c r="GH11" s="9"/>
    </row>
    <row r="12" spans="3:190" ht="14.25" customHeight="1" x14ac:dyDescent="0.35">
      <c r="C12" s="467" t="s">
        <v>111</v>
      </c>
      <c r="D12" s="197"/>
      <c r="E12" s="462"/>
      <c r="F12" s="496" t="s">
        <v>178</v>
      </c>
      <c r="G12" s="496"/>
      <c r="H12" s="496" t="s">
        <v>11</v>
      </c>
      <c r="I12" s="496"/>
      <c r="J12" s="496" t="s">
        <v>67</v>
      </c>
      <c r="K12" s="497"/>
      <c r="GH12" s="9"/>
    </row>
    <row r="13" spans="3:190" ht="14.25" customHeight="1" x14ac:dyDescent="0.35">
      <c r="C13" s="269" t="s">
        <v>183</v>
      </c>
      <c r="D13" s="3">
        <v>2500</v>
      </c>
      <c r="E13" s="81" t="s">
        <v>13</v>
      </c>
      <c r="F13" s="200">
        <v>36.700000000000003</v>
      </c>
      <c r="G13" s="37" t="s">
        <v>110</v>
      </c>
      <c r="H13" s="37">
        <f>ROUND(F13*(1+'Revenue Requirements'!$G$13),3)</f>
        <v>40.829000000000001</v>
      </c>
      <c r="I13" s="71" t="s">
        <v>110</v>
      </c>
      <c r="J13" s="37">
        <f>H13-F13</f>
        <v>4.1289999999999978</v>
      </c>
      <c r="K13" s="468">
        <f>J13/F13</f>
        <v>0.11250681198910074</v>
      </c>
      <c r="GH13" s="9"/>
    </row>
    <row r="14" spans="3:190" x14ac:dyDescent="0.35">
      <c r="C14" s="270" t="s">
        <v>184</v>
      </c>
      <c r="D14" s="85">
        <v>2500</v>
      </c>
      <c r="E14" s="81" t="s">
        <v>13</v>
      </c>
      <c r="F14" s="201">
        <f>F10</f>
        <v>9.8799999999999999E-3</v>
      </c>
      <c r="G14" s="37" t="s">
        <v>182</v>
      </c>
      <c r="H14" s="196">
        <f>ROUND(F14*(1+'Revenue Requirements'!$G$13),7)</f>
        <v>1.09915E-2</v>
      </c>
      <c r="I14" s="71" t="s">
        <v>182</v>
      </c>
      <c r="J14" s="196">
        <f>H14-F14</f>
        <v>1.1114999999999996E-3</v>
      </c>
      <c r="K14" s="468">
        <f>J14/F14</f>
        <v>0.11249999999999996</v>
      </c>
    </row>
    <row r="15" spans="3:190" x14ac:dyDescent="0.35">
      <c r="C15" s="461"/>
      <c r="K15" s="466"/>
    </row>
    <row r="16" spans="3:190" x14ac:dyDescent="0.35">
      <c r="C16" s="467" t="s">
        <v>112</v>
      </c>
      <c r="D16" s="197"/>
      <c r="E16" s="462"/>
      <c r="F16" s="496" t="s">
        <v>178</v>
      </c>
      <c r="G16" s="496"/>
      <c r="H16" s="496" t="s">
        <v>11</v>
      </c>
      <c r="I16" s="496"/>
      <c r="J16" s="496" t="s">
        <v>67</v>
      </c>
      <c r="K16" s="497"/>
    </row>
    <row r="17" spans="3:11" x14ac:dyDescent="0.35">
      <c r="C17" s="269" t="s">
        <v>183</v>
      </c>
      <c r="D17" s="3">
        <v>10000</v>
      </c>
      <c r="E17" s="81" t="s">
        <v>13</v>
      </c>
      <c r="F17" s="200">
        <v>109.8</v>
      </c>
      <c r="G17" s="37" t="s">
        <v>110</v>
      </c>
      <c r="H17" s="37">
        <f>ROUND(F17*(1+'Revenue Requirements'!$G$13),2)</f>
        <v>122.15</v>
      </c>
      <c r="I17" s="71" t="s">
        <v>110</v>
      </c>
      <c r="J17" s="37">
        <f>H17-F17</f>
        <v>12.350000000000009</v>
      </c>
      <c r="K17" s="468">
        <f>J17/F17</f>
        <v>0.11247723132969042</v>
      </c>
    </row>
    <row r="18" spans="3:11" x14ac:dyDescent="0.35">
      <c r="C18" s="270" t="s">
        <v>184</v>
      </c>
      <c r="D18" s="85">
        <v>10000</v>
      </c>
      <c r="E18" s="81" t="s">
        <v>13</v>
      </c>
      <c r="F18" s="201">
        <f>F10</f>
        <v>9.8799999999999999E-3</v>
      </c>
      <c r="G18" s="37" t="s">
        <v>182</v>
      </c>
      <c r="H18" s="196">
        <f>ROUND(F18*(1+'Revenue Requirements'!$G$13),7)</f>
        <v>1.09915E-2</v>
      </c>
      <c r="I18" s="71" t="s">
        <v>182</v>
      </c>
      <c r="J18" s="196">
        <f>H18-F18</f>
        <v>1.1114999999999996E-3</v>
      </c>
      <c r="K18" s="468">
        <f>J18/F18</f>
        <v>0.11249999999999996</v>
      </c>
    </row>
    <row r="19" spans="3:11" x14ac:dyDescent="0.35">
      <c r="C19" s="270"/>
      <c r="D19" s="85"/>
      <c r="F19" s="201"/>
      <c r="G19" s="37"/>
      <c r="H19" s="196"/>
      <c r="J19" s="196"/>
      <c r="K19" s="468"/>
    </row>
    <row r="20" spans="3:11" x14ac:dyDescent="0.35">
      <c r="C20" s="467" t="s">
        <v>225</v>
      </c>
      <c r="D20" s="197"/>
      <c r="E20" s="462"/>
      <c r="F20" s="496" t="s">
        <v>178</v>
      </c>
      <c r="G20" s="496"/>
      <c r="H20" s="496" t="s">
        <v>11</v>
      </c>
      <c r="I20" s="496"/>
      <c r="J20" s="496" t="s">
        <v>67</v>
      </c>
      <c r="K20" s="497"/>
    </row>
    <row r="21" spans="3:11" x14ac:dyDescent="0.35">
      <c r="C21" s="470"/>
      <c r="D21" s="2"/>
      <c r="E21" s="471"/>
      <c r="F21" s="472">
        <v>6.7299999999999999E-3</v>
      </c>
      <c r="G21" s="473" t="s">
        <v>182</v>
      </c>
      <c r="H21" s="474">
        <f>ROUND(F21*(1+'Revenue Requirements'!$G$13),7)</f>
        <v>7.4871E-3</v>
      </c>
      <c r="I21" s="463" t="s">
        <v>226</v>
      </c>
      <c r="J21" s="474">
        <f>H21-F21</f>
        <v>7.5710000000000013E-4</v>
      </c>
      <c r="K21" s="475">
        <f>J21/F21</f>
        <v>0.11249628528974742</v>
      </c>
    </row>
    <row r="23" spans="3:11" x14ac:dyDescent="0.35">
      <c r="C23" s="80"/>
      <c r="D23" s="85"/>
      <c r="E23" s="81"/>
      <c r="F23" s="201"/>
      <c r="G23" s="37"/>
      <c r="H23" s="196"/>
      <c r="J23" s="196"/>
      <c r="K23" s="57"/>
    </row>
    <row r="28" spans="3:11" x14ac:dyDescent="0.35">
      <c r="F28" s="65" t="s">
        <v>178</v>
      </c>
      <c r="G28" s="65" t="s">
        <v>11</v>
      </c>
    </row>
    <row r="29" spans="3:11" ht="16" x14ac:dyDescent="0.5">
      <c r="F29" s="357" t="s">
        <v>305</v>
      </c>
      <c r="G29" s="357" t="s">
        <v>306</v>
      </c>
    </row>
    <row r="30" spans="3:11" x14ac:dyDescent="0.35">
      <c r="D30" s="82" t="s">
        <v>304</v>
      </c>
      <c r="F30" s="356">
        <f>0.00625*80</f>
        <v>0.5</v>
      </c>
      <c r="G30" s="355">
        <f>0.00727*70</f>
        <v>0.50890000000000002</v>
      </c>
    </row>
    <row r="31" spans="3:11" x14ac:dyDescent="0.35">
      <c r="D31" s="82" t="s">
        <v>367</v>
      </c>
    </row>
  </sheetData>
  <mergeCells count="15">
    <mergeCell ref="C3:J3"/>
    <mergeCell ref="F8:G8"/>
    <mergeCell ref="H8:I8"/>
    <mergeCell ref="J8:K8"/>
    <mergeCell ref="F12:G12"/>
    <mergeCell ref="H12:I12"/>
    <mergeCell ref="J12:K12"/>
    <mergeCell ref="C5:J5"/>
    <mergeCell ref="C6:J6"/>
    <mergeCell ref="F20:G20"/>
    <mergeCell ref="H20:I20"/>
    <mergeCell ref="J20:K20"/>
    <mergeCell ref="F16:G16"/>
    <mergeCell ref="H16:I16"/>
    <mergeCell ref="J16:K16"/>
  </mergeCells>
  <printOptions horizontalCentered="1" verticalCentered="1"/>
  <pageMargins left="0.5" right="0.5" top="0.75" bottom="0.75" header="0" footer="0"/>
  <pageSetup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SAO</vt:lpstr>
      <vt:lpstr>Revenue Requirements</vt:lpstr>
      <vt:lpstr>References</vt:lpstr>
      <vt:lpstr>Water Loss</vt:lpstr>
      <vt:lpstr>Medical</vt:lpstr>
      <vt:lpstr>Wages</vt:lpstr>
      <vt:lpstr>Debt Service</vt:lpstr>
      <vt:lpstr>Depreciation</vt:lpstr>
      <vt:lpstr>Rates</vt:lpstr>
      <vt:lpstr>Bills</vt:lpstr>
      <vt:lpstr>ExBA</vt:lpstr>
      <vt:lpstr>PrBA</vt:lpstr>
      <vt:lpstr>Bills!Print_Area</vt:lpstr>
      <vt:lpstr>'Debt Service'!Print_Area</vt:lpstr>
      <vt:lpstr>ExBA!Print_Area</vt:lpstr>
      <vt:lpstr>PrBA!Print_Area</vt:lpstr>
      <vt:lpstr>Rates!Print_Area</vt:lpstr>
      <vt:lpstr>'Revenue Requirements'!Print_Area</vt:lpstr>
      <vt:lpstr>SAO!Print_Area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dc:creator>
  <cp:lastModifiedBy>Janet Reid</cp:lastModifiedBy>
  <cp:lastPrinted>2022-06-27T18:39:08Z</cp:lastPrinted>
  <dcterms:created xsi:type="dcterms:W3CDTF">2016-05-18T14:12:06Z</dcterms:created>
  <dcterms:modified xsi:type="dcterms:W3CDTF">2024-03-13T13:21:42Z</dcterms:modified>
</cp:coreProperties>
</file>