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20783bd5d64abe/Western Mason County WD/"/>
    </mc:Choice>
  </mc:AlternateContent>
  <xr:revisionPtr revIDLastSave="0" documentId="8_{7C5D5DAA-1E8C-4626-A5CA-84A426414BAF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SAO" sheetId="6" r:id="rId1"/>
    <sheet name="Wages" sheetId="55" r:id="rId2"/>
    <sheet name="Medical" sheetId="40" r:id="rId3"/>
    <sheet name="Depreciation" sheetId="51" r:id="rId4"/>
    <sheet name="Debt Service" sheetId="50" r:id="rId5"/>
    <sheet name="Capital" sheetId="56" r:id="rId6"/>
    <sheet name="Water Loss" sheetId="54" r:id="rId7"/>
    <sheet name="Rates" sheetId="2" r:id="rId8"/>
    <sheet name="Bills" sheetId="42" r:id="rId9"/>
    <sheet name="ExBA" sheetId="52" r:id="rId10"/>
    <sheet name="PrBA" sheetId="58" r:id="rId11"/>
  </sheets>
  <definedNames>
    <definedName name="AHV">#REF!</definedName>
    <definedName name="_xlnm.Print_Area" localSheetId="8">Bills!$B$1:$I$27</definedName>
    <definedName name="_xlnm.Print_Area" localSheetId="4">'Debt Service'!$A$1:$O$27</definedName>
    <definedName name="_xlnm.Print_Area" localSheetId="3">Depreciation!$A$1:$M$47</definedName>
    <definedName name="_xlnm.Print_Area" localSheetId="9">ExBA!$A$1:$K$32</definedName>
    <definedName name="_xlnm.Print_Area" localSheetId="10">PrBA!$A$1:$I$32</definedName>
    <definedName name="_xlnm.Print_Area" localSheetId="7">Rates!$A$1:$K$16</definedName>
    <definedName name="_xlnm.Print_Area" localSheetId="0">SAO!$A$1:$G$55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40" l="1"/>
  <c r="B15" i="40"/>
  <c r="B14" i="40"/>
  <c r="B7" i="55"/>
  <c r="B6" i="55"/>
  <c r="B5" i="55"/>
  <c r="F30" i="51"/>
  <c r="F28" i="51"/>
  <c r="F24" i="51"/>
  <c r="E16" i="52"/>
  <c r="E15" i="52"/>
  <c r="E14" i="52"/>
  <c r="D16" i="52"/>
  <c r="D15" i="52"/>
  <c r="D14" i="52"/>
  <c r="E30" i="52"/>
  <c r="D32" i="6"/>
  <c r="D28" i="6"/>
  <c r="G10" i="6" l="1"/>
  <c r="D15" i="40" l="1"/>
  <c r="C17" i="40"/>
  <c r="E14" i="40"/>
  <c r="B8" i="40"/>
  <c r="B6" i="40"/>
  <c r="B7" i="40"/>
  <c r="G22" i="55"/>
  <c r="G16" i="55"/>
  <c r="F12" i="51"/>
  <c r="L19" i="50"/>
  <c r="K19" i="50"/>
  <c r="J19" i="50"/>
  <c r="I19" i="50"/>
  <c r="H19" i="50"/>
  <c r="G19" i="50"/>
  <c r="F19" i="50"/>
  <c r="E19" i="50"/>
  <c r="D19" i="50"/>
  <c r="C19" i="50"/>
  <c r="M15" i="50"/>
  <c r="M14" i="50"/>
  <c r="E15" i="40" l="1"/>
  <c r="F15" i="40" s="1"/>
  <c r="H15" i="40" s="1"/>
  <c r="B17" i="40"/>
  <c r="B19" i="40" s="1"/>
  <c r="B24" i="40" s="1"/>
  <c r="F14" i="40"/>
  <c r="D16" i="40"/>
  <c r="E16" i="40" s="1"/>
  <c r="F30" i="52"/>
  <c r="H5" i="58"/>
  <c r="H5" i="52"/>
  <c r="C3" i="56"/>
  <c r="E19" i="58"/>
  <c r="E30" i="58" s="1"/>
  <c r="D19" i="58"/>
  <c r="D30" i="58" s="1"/>
  <c r="E16" i="58"/>
  <c r="E15" i="58"/>
  <c r="E14" i="58"/>
  <c r="F14" i="58" s="1"/>
  <c r="D16" i="58"/>
  <c r="F16" i="58" s="1"/>
  <c r="D15" i="58"/>
  <c r="F15" i="58" s="1"/>
  <c r="D14" i="58"/>
  <c r="C27" i="58"/>
  <c r="B27" i="58"/>
  <c r="C26" i="58"/>
  <c r="B26" i="58"/>
  <c r="C25" i="58"/>
  <c r="B25" i="58"/>
  <c r="H13" i="58"/>
  <c r="G13" i="58"/>
  <c r="F13" i="58"/>
  <c r="H12" i="58"/>
  <c r="G12" i="58"/>
  <c r="F12" i="58"/>
  <c r="F16" i="40" l="1"/>
  <c r="F17" i="40" s="1"/>
  <c r="H14" i="40"/>
  <c r="E17" i="58"/>
  <c r="E21" i="58" s="1"/>
  <c r="G16" i="58"/>
  <c r="H16" i="58" s="1"/>
  <c r="H17" i="58" s="1"/>
  <c r="E27" i="58" s="1"/>
  <c r="D17" i="58"/>
  <c r="D25" i="58" s="1"/>
  <c r="I14" i="58"/>
  <c r="F17" i="58"/>
  <c r="E25" i="58" s="1"/>
  <c r="G15" i="58"/>
  <c r="G16" i="52"/>
  <c r="F15" i="52"/>
  <c r="G15" i="52" s="1"/>
  <c r="G30" i="52"/>
  <c r="E19" i="52"/>
  <c r="E24" i="42"/>
  <c r="E23" i="42"/>
  <c r="E22" i="42"/>
  <c r="E21" i="42"/>
  <c r="E20" i="42"/>
  <c r="E19" i="42"/>
  <c r="E18" i="42"/>
  <c r="E17" i="42"/>
  <c r="E16" i="42"/>
  <c r="E15" i="42"/>
  <c r="E14" i="42"/>
  <c r="E13" i="42"/>
  <c r="E12" i="42"/>
  <c r="E11" i="42"/>
  <c r="H7" i="52"/>
  <c r="F27" i="52"/>
  <c r="F26" i="52"/>
  <c r="C27" i="52"/>
  <c r="B27" i="52"/>
  <c r="C26" i="52"/>
  <c r="B26" i="52"/>
  <c r="C25" i="52"/>
  <c r="B25" i="52"/>
  <c r="H13" i="52"/>
  <c r="H12" i="52"/>
  <c r="G13" i="52"/>
  <c r="G12" i="52"/>
  <c r="F13" i="52"/>
  <c r="F12" i="52"/>
  <c r="E10" i="42"/>
  <c r="E9" i="42"/>
  <c r="H16" i="40" l="1"/>
  <c r="H17" i="40" s="1"/>
  <c r="G17" i="58"/>
  <c r="E26" i="58" s="1"/>
  <c r="D28" i="58"/>
  <c r="D32" i="58" s="1"/>
  <c r="F4" i="58" s="1"/>
  <c r="D21" i="58"/>
  <c r="I16" i="58"/>
  <c r="I15" i="58"/>
  <c r="F16" i="52"/>
  <c r="H16" i="52" s="1"/>
  <c r="H17" i="52" s="1"/>
  <c r="E27" i="52" s="1"/>
  <c r="G27" i="52" s="1"/>
  <c r="I15" i="52"/>
  <c r="G11" i="6"/>
  <c r="D8" i="40"/>
  <c r="E8" i="40" s="1"/>
  <c r="E6" i="40"/>
  <c r="I17" i="58" l="1"/>
  <c r="E28" i="58"/>
  <c r="E32" i="58" s="1"/>
  <c r="G4" i="58" s="1"/>
  <c r="D7" i="40"/>
  <c r="E7" i="40" s="1"/>
  <c r="F7" i="40" s="1"/>
  <c r="H7" i="40" s="1"/>
  <c r="F6" i="40"/>
  <c r="H6" i="40" s="1"/>
  <c r="F8" i="40"/>
  <c r="H8" i="40" s="1"/>
  <c r="E5" i="55"/>
  <c r="E6" i="55"/>
  <c r="C8" i="55"/>
  <c r="B8" i="55"/>
  <c r="F7" i="55"/>
  <c r="E7" i="55"/>
  <c r="J27" i="51"/>
  <c r="F5" i="55" l="1"/>
  <c r="G5" i="55" s="1"/>
  <c r="F6" i="55"/>
  <c r="G6" i="55" s="1"/>
  <c r="G7" i="55"/>
  <c r="F25" i="52"/>
  <c r="F8" i="55" l="1"/>
  <c r="F14" i="52"/>
  <c r="I14" i="52" s="1"/>
  <c r="G28" i="6"/>
  <c r="M19" i="50"/>
  <c r="B31" i="54"/>
  <c r="B30" i="54"/>
  <c r="B29" i="54"/>
  <c r="D17" i="52" l="1"/>
  <c r="E17" i="52"/>
  <c r="E21" i="52" s="1"/>
  <c r="F17" i="52"/>
  <c r="I16" i="52"/>
  <c r="B32" i="54"/>
  <c r="G27" i="6"/>
  <c r="G26" i="6"/>
  <c r="D25" i="52" l="1"/>
  <c r="G25" i="52" s="1"/>
  <c r="D21" i="52"/>
  <c r="E25" i="52"/>
  <c r="I17" i="52"/>
  <c r="G17" i="52"/>
  <c r="E26" i="52" s="1"/>
  <c r="G26" i="52" s="1"/>
  <c r="A31" i="54"/>
  <c r="A30" i="54"/>
  <c r="A29" i="54"/>
  <c r="M18" i="50"/>
  <c r="D28" i="52" l="1"/>
  <c r="M17" i="50"/>
  <c r="F44" i="51"/>
  <c r="J19" i="51"/>
  <c r="J18" i="51"/>
  <c r="J42" i="51"/>
  <c r="J23" i="51"/>
  <c r="K23" i="51" s="1"/>
  <c r="C9" i="40"/>
  <c r="B9" i="40"/>
  <c r="D32" i="52" l="1"/>
  <c r="F4" i="52" s="1"/>
  <c r="E28" i="52"/>
  <c r="H9" i="40"/>
  <c r="H19" i="40" s="1"/>
  <c r="B23" i="40" s="1"/>
  <c r="B25" i="40" s="1"/>
  <c r="E20" i="6" s="1"/>
  <c r="K19" i="51"/>
  <c r="K18" i="51"/>
  <c r="K42" i="51"/>
  <c r="F9" i="40"/>
  <c r="C6" i="56"/>
  <c r="E25" i="6" s="1"/>
  <c r="C5" i="56"/>
  <c r="E17" i="6" s="1"/>
  <c r="E8" i="55"/>
  <c r="C20" i="54"/>
  <c r="C13" i="54"/>
  <c r="C4" i="54"/>
  <c r="E32" i="52" l="1"/>
  <c r="G4" i="52" s="1"/>
  <c r="D24" i="54"/>
  <c r="C21" i="54"/>
  <c r="G8" i="55"/>
  <c r="D26" i="54" l="1"/>
  <c r="D29" i="54" s="1"/>
  <c r="D36" i="54"/>
  <c r="D31" i="54" l="1"/>
  <c r="D30" i="54"/>
  <c r="G10" i="55"/>
  <c r="G27" i="55"/>
  <c r="G29" i="55" s="1"/>
  <c r="G21" i="6" s="1"/>
  <c r="H44" i="51"/>
  <c r="J41" i="51"/>
  <c r="K41" i="51" s="1"/>
  <c r="J38" i="51"/>
  <c r="K38" i="51" s="1"/>
  <c r="J35" i="51"/>
  <c r="K35" i="51" s="1"/>
  <c r="J34" i="51"/>
  <c r="K34" i="51" s="1"/>
  <c r="J33" i="51"/>
  <c r="K33" i="51" s="1"/>
  <c r="J32" i="51"/>
  <c r="K32" i="51" s="1"/>
  <c r="J31" i="51"/>
  <c r="K31" i="51" s="1"/>
  <c r="J30" i="51"/>
  <c r="K30" i="51" s="1"/>
  <c r="J29" i="51"/>
  <c r="K29" i="51" s="1"/>
  <c r="J28" i="51"/>
  <c r="K28" i="51" s="1"/>
  <c r="K27" i="51"/>
  <c r="J24" i="51"/>
  <c r="K24" i="51" s="1"/>
  <c r="J22" i="51"/>
  <c r="K22" i="51" s="1"/>
  <c r="J15" i="51"/>
  <c r="K15" i="51" s="1"/>
  <c r="J14" i="51"/>
  <c r="K14" i="51" s="1"/>
  <c r="J13" i="51"/>
  <c r="K13" i="51" s="1"/>
  <c r="J12" i="51"/>
  <c r="K12" i="51" s="1"/>
  <c r="J11" i="51"/>
  <c r="K11" i="51" s="1"/>
  <c r="J10" i="51"/>
  <c r="K10" i="51" s="1"/>
  <c r="K20" i="50"/>
  <c r="I20" i="50"/>
  <c r="G20" i="50"/>
  <c r="E20" i="50"/>
  <c r="C20" i="50"/>
  <c r="M16" i="50"/>
  <c r="M13" i="50"/>
  <c r="M12" i="50"/>
  <c r="L20" i="50"/>
  <c r="J20" i="50"/>
  <c r="H20" i="50"/>
  <c r="F20" i="50"/>
  <c r="D20" i="50"/>
  <c r="D32" i="54" l="1"/>
  <c r="D35" i="54" s="1"/>
  <c r="D37" i="54" s="1"/>
  <c r="G15" i="55"/>
  <c r="G17" i="55" s="1"/>
  <c r="E18" i="6" s="1"/>
  <c r="G19" i="55"/>
  <c r="G21" i="55" s="1"/>
  <c r="G23" i="55" s="1"/>
  <c r="E38" i="6" s="1"/>
  <c r="K44" i="51"/>
  <c r="J44" i="51"/>
  <c r="P20" i="50"/>
  <c r="M20" i="50"/>
  <c r="M23" i="50" s="1"/>
  <c r="G45" i="6" s="1"/>
  <c r="E37" i="6" l="1"/>
  <c r="G37" i="6" s="1"/>
  <c r="G18" i="6"/>
  <c r="E35" i="6"/>
  <c r="M25" i="50"/>
  <c r="G46" i="6" s="1"/>
  <c r="E39" i="6" l="1"/>
  <c r="P25" i="50"/>
  <c r="G38" i="6"/>
  <c r="G34" i="6"/>
  <c r="G33" i="6"/>
  <c r="G32" i="6"/>
  <c r="G31" i="6"/>
  <c r="G30" i="6"/>
  <c r="G29" i="6"/>
  <c r="G25" i="6"/>
  <c r="G24" i="6"/>
  <c r="G23" i="6"/>
  <c r="G22" i="6"/>
  <c r="G19" i="6"/>
  <c r="G12" i="6" l="1"/>
  <c r="G9" i="6" l="1"/>
  <c r="D13" i="6"/>
  <c r="D35" i="6"/>
  <c r="G48" i="6" l="1"/>
  <c r="G35" i="6"/>
  <c r="D39" i="6"/>
  <c r="G39" i="6" l="1"/>
  <c r="D41" i="6"/>
  <c r="G44" i="6" l="1"/>
  <c r="G47" i="6" s="1"/>
  <c r="G51" i="6" s="1"/>
  <c r="H7" i="58" s="1"/>
  <c r="G28" i="52" l="1"/>
  <c r="G32" i="52" s="1"/>
  <c r="H4" i="52" s="1"/>
  <c r="H6" i="52" l="1"/>
  <c r="H8" i="52" l="1"/>
  <c r="H9" i="52" l="1"/>
  <c r="E6" i="6"/>
  <c r="G6" i="6" l="1"/>
  <c r="E13" i="6"/>
  <c r="E41" i="6" s="1"/>
  <c r="G52" i="6" l="1"/>
  <c r="G53" i="6" s="1"/>
  <c r="G55" i="6" s="1"/>
  <c r="G13" i="6"/>
  <c r="G41" i="6" s="1"/>
  <c r="F14" i="2" l="1"/>
  <c r="F10" i="2"/>
  <c r="F11" i="2"/>
  <c r="F12" i="2"/>
  <c r="F25" i="58" l="1"/>
  <c r="G25" i="58" s="1"/>
  <c r="F16" i="42"/>
  <c r="G16" i="42" s="1"/>
  <c r="H16" i="42" s="1"/>
  <c r="H10" i="2"/>
  <c r="I10" i="2" s="1"/>
  <c r="F20" i="42"/>
  <c r="G20" i="42" s="1"/>
  <c r="H20" i="42" s="1"/>
  <c r="F18" i="42"/>
  <c r="G18" i="42" s="1"/>
  <c r="H18" i="42" s="1"/>
  <c r="F10" i="42"/>
  <c r="G10" i="42" s="1"/>
  <c r="H10" i="42" s="1"/>
  <c r="F12" i="42"/>
  <c r="G12" i="42" s="1"/>
  <c r="H12" i="42" s="1"/>
  <c r="F24" i="42"/>
  <c r="G24" i="42" s="1"/>
  <c r="H24" i="42" s="1"/>
  <c r="F15" i="42"/>
  <c r="G15" i="42" s="1"/>
  <c r="H15" i="42" s="1"/>
  <c r="F13" i="42"/>
  <c r="G13" i="42" s="1"/>
  <c r="H13" i="42" s="1"/>
  <c r="F21" i="42"/>
  <c r="G21" i="42" s="1"/>
  <c r="H21" i="42" s="1"/>
  <c r="F9" i="42"/>
  <c r="G9" i="42" s="1"/>
  <c r="H9" i="42" s="1"/>
  <c r="F17" i="42"/>
  <c r="G17" i="42" s="1"/>
  <c r="H17" i="42" s="1"/>
  <c r="F19" i="42"/>
  <c r="G19" i="42" s="1"/>
  <c r="H19" i="42" s="1"/>
  <c r="F11" i="42"/>
  <c r="G11" i="42" s="1"/>
  <c r="H11" i="42" s="1"/>
  <c r="F23" i="42"/>
  <c r="G23" i="42" s="1"/>
  <c r="H23" i="42" s="1"/>
  <c r="F14" i="42"/>
  <c r="G14" i="42" s="1"/>
  <c r="H14" i="42" s="1"/>
  <c r="F22" i="42"/>
  <c r="G22" i="42" s="1"/>
  <c r="H22" i="42" s="1"/>
  <c r="F27" i="58"/>
  <c r="G27" i="58" s="1"/>
  <c r="H12" i="2"/>
  <c r="I12" i="2" s="1"/>
  <c r="H11" i="2"/>
  <c r="I11" i="2" s="1"/>
  <c r="F26" i="58"/>
  <c r="G26" i="58" s="1"/>
  <c r="H14" i="2"/>
  <c r="I14" i="2" s="1"/>
  <c r="F30" i="58"/>
  <c r="G30" i="58" s="1"/>
  <c r="G28" i="58" l="1"/>
  <c r="G32" i="58" s="1"/>
  <c r="H4" i="58" s="1"/>
  <c r="H6" i="58" s="1"/>
  <c r="H8" i="58" s="1"/>
  <c r="H9" i="58" s="1"/>
</calcChain>
</file>

<file path=xl/sharedStrings.xml><?xml version="1.0" encoding="utf-8"?>
<sst xmlns="http://schemas.openxmlformats.org/spreadsheetml/2006/main" count="432" uniqueCount="278">
  <si>
    <t>Total Operating Expenses</t>
  </si>
  <si>
    <t>Taxes Other Than Income</t>
  </si>
  <si>
    <t>Salaries and Wages - Employees</t>
  </si>
  <si>
    <t>Salaries and Wages - Officers</t>
  </si>
  <si>
    <t>Employee Pensions and Benefits</t>
  </si>
  <si>
    <t>Purchased Water</t>
  </si>
  <si>
    <t>Purchased Power</t>
  </si>
  <si>
    <t>Materials and Supplies</t>
  </si>
  <si>
    <t>Miscellaneous Expenses</t>
  </si>
  <si>
    <t>Transportation Expenses</t>
  </si>
  <si>
    <t>Proposed</t>
  </si>
  <si>
    <t>Interest Income</t>
  </si>
  <si>
    <t>Total</t>
  </si>
  <si>
    <t>Gallons</t>
  </si>
  <si>
    <t>Operating Revenues</t>
  </si>
  <si>
    <t>Other Water Revenues:</t>
  </si>
  <si>
    <t>Misc. Service Revenues</t>
  </si>
  <si>
    <t>Total Operating Revenues</t>
  </si>
  <si>
    <t>Operating Expenses</t>
  </si>
  <si>
    <t>Depreciation Expense</t>
  </si>
  <si>
    <t>REVENUE REQUIREMENTS</t>
  </si>
  <si>
    <t>Plus:</t>
  </si>
  <si>
    <t>Less:</t>
  </si>
  <si>
    <t>Other Operating Revenue</t>
  </si>
  <si>
    <t>Existing</t>
  </si>
  <si>
    <t>Change</t>
  </si>
  <si>
    <t>1"</t>
  </si>
  <si>
    <t>Table A</t>
  </si>
  <si>
    <t>SCHEDULE OF ADJUSTED OPERATIONS</t>
  </si>
  <si>
    <t>Test Year</t>
  </si>
  <si>
    <t>Adjustments</t>
  </si>
  <si>
    <t>Ref.</t>
  </si>
  <si>
    <t>Proforma</t>
  </si>
  <si>
    <t>Operation and Maintenance</t>
  </si>
  <si>
    <t>Total Operation and Mnt. Expenses</t>
  </si>
  <si>
    <t>Total Utility Operating Income</t>
  </si>
  <si>
    <t>Pro Forma Operating Expenses</t>
  </si>
  <si>
    <t>Adjustment</t>
  </si>
  <si>
    <t>Forfeited Discounts</t>
  </si>
  <si>
    <t>Total Metered Retail Sales</t>
  </si>
  <si>
    <t>DEPRECIATION EXPENSE ADJUSTMENTS</t>
  </si>
  <si>
    <t>Depreciation</t>
  </si>
  <si>
    <t>Date in</t>
  </si>
  <si>
    <t>Original</t>
  </si>
  <si>
    <t>Expense</t>
  </si>
  <si>
    <t>Service</t>
  </si>
  <si>
    <t>Life</t>
  </si>
  <si>
    <t>Depr. Exp.</t>
  </si>
  <si>
    <t>CURRENT AND PROPOSED RATES</t>
  </si>
  <si>
    <t>Current</t>
  </si>
  <si>
    <t>Other Water Revenues</t>
  </si>
  <si>
    <t>Rental of Building/Real Property</t>
  </si>
  <si>
    <t>Insurance - Other</t>
  </si>
  <si>
    <t>Bad Debt</t>
  </si>
  <si>
    <t>Revenue Required From Sales of Water</t>
  </si>
  <si>
    <t>Revenue from Sales with Present Rates</t>
  </si>
  <si>
    <t>Total Revenue Requirement</t>
  </si>
  <si>
    <t>Required Revenue Increase</t>
  </si>
  <si>
    <t>Percent Increase</t>
  </si>
  <si>
    <t>Meter</t>
  </si>
  <si>
    <t>Difference</t>
  </si>
  <si>
    <t>Bill</t>
  </si>
  <si>
    <t>Percentage</t>
  </si>
  <si>
    <t>Size</t>
  </si>
  <si>
    <t>5/8 x 3/4"</t>
  </si>
  <si>
    <t>TOTALS</t>
  </si>
  <si>
    <t>TABLE C</t>
  </si>
  <si>
    <t>per Month*</t>
  </si>
  <si>
    <t>* Highlighted usage represents the average residential bill.</t>
  </si>
  <si>
    <t>Chemicals</t>
  </si>
  <si>
    <t>Salaries &amp; Wages and Associated Adjustments</t>
  </si>
  <si>
    <t>Pro Forma</t>
  </si>
  <si>
    <t xml:space="preserve">Pro Forma </t>
  </si>
  <si>
    <t>Employee</t>
  </si>
  <si>
    <t>Reg. Hrs</t>
  </si>
  <si>
    <t>O. T. Hours</t>
  </si>
  <si>
    <t>Wage Rate</t>
  </si>
  <si>
    <t>Reg. Wages</t>
  </si>
  <si>
    <t>O. T. Wages</t>
  </si>
  <si>
    <t>Wages</t>
  </si>
  <si>
    <t>Pro Forma Salaries &amp; Wages Expense</t>
  </si>
  <si>
    <t>Less: Test Year Salaries &amp; Wages Exp</t>
  </si>
  <si>
    <t>Pro Forma Salaries &amp; Wages Adj'mt</t>
  </si>
  <si>
    <t xml:space="preserve"> </t>
  </si>
  <si>
    <t>Pro Forma Salaries and Wages Expense</t>
  </si>
  <si>
    <t>Times: 7.65 Percent FICA Rate</t>
  </si>
  <si>
    <t>Pro Forma Payroll Taxes</t>
  </si>
  <si>
    <t>Less: Test Year Payroll Taxes</t>
  </si>
  <si>
    <t>Payroll Tax Adjustment</t>
  </si>
  <si>
    <t>Wages applicable to CERS payments</t>
  </si>
  <si>
    <t>Times: Percent Pension Contribution</t>
  </si>
  <si>
    <t>Total Pro Forma Pension Contribution</t>
  </si>
  <si>
    <t>Less: Test Year Pension Contribution</t>
  </si>
  <si>
    <t>Pension &amp; Benefits Adjustment</t>
  </si>
  <si>
    <t>Average Annual Principal and Interest Payments</t>
  </si>
  <si>
    <t>Additional Working Capital</t>
  </si>
  <si>
    <t>Table B</t>
  </si>
  <si>
    <t>DEBT SERVICE SCHDULE</t>
  </si>
  <si>
    <t>CY 2023</t>
  </si>
  <si>
    <t>CY 2024</t>
  </si>
  <si>
    <t>CY 2025</t>
  </si>
  <si>
    <t>CY 2026</t>
  </si>
  <si>
    <t>Interest</t>
  </si>
  <si>
    <t>Principal</t>
  </si>
  <si>
    <t>&amp; Fees</t>
  </si>
  <si>
    <t>Average Annual Principal &amp; Interest</t>
  </si>
  <si>
    <t>Average Annual Coverage</t>
  </si>
  <si>
    <t>General Plant</t>
  </si>
  <si>
    <t>Pumping Plant</t>
  </si>
  <si>
    <t>Transmission &amp; Distribution Plant</t>
  </si>
  <si>
    <t>Transportation Equipment</t>
  </si>
  <si>
    <t>Water Treatment Plant</t>
  </si>
  <si>
    <t>Asset</t>
  </si>
  <si>
    <t>Structures &amp; Improvements</t>
  </si>
  <si>
    <t>Communication &amp; Computer Eqmt.</t>
  </si>
  <si>
    <t>Office Furniture &amp; Equipment</t>
  </si>
  <si>
    <t>Power Operated Equipment</t>
  </si>
  <si>
    <t>Tools, Shop, &amp; Garage Equipment</t>
  </si>
  <si>
    <t>Tank Repairs &amp; Painting</t>
  </si>
  <si>
    <t>Telemetry</t>
  </si>
  <si>
    <t>Pumping Equipment</t>
  </si>
  <si>
    <t>Hydrants</t>
  </si>
  <si>
    <t>Transmission &amp; Distribution Mains</t>
  </si>
  <si>
    <t>Meter Installations</t>
  </si>
  <si>
    <t>Meter Change-outs</t>
  </si>
  <si>
    <t>Pump Equipment</t>
  </si>
  <si>
    <t>Tank Fence</t>
  </si>
  <si>
    <t>Services</t>
  </si>
  <si>
    <t>Reservoirs &amp; Tanks</t>
  </si>
  <si>
    <t>Tank Painting &amp; Repairs</t>
  </si>
  <si>
    <t>Entire Group</t>
  </si>
  <si>
    <t xml:space="preserve">              *  Includes only costs associated with assets that contributed to depreciation expense in the test year.</t>
  </si>
  <si>
    <t>Cost *</t>
  </si>
  <si>
    <t>Reported</t>
  </si>
  <si>
    <t>Water Loss Adjustment</t>
  </si>
  <si>
    <t>Sold</t>
  </si>
  <si>
    <t>Uses:</t>
  </si>
  <si>
    <t xml:space="preserve">  water loss percentage</t>
  </si>
  <si>
    <t xml:space="preserve">  allowable in rates</t>
  </si>
  <si>
    <t xml:space="preserve">  adjustment percentage</t>
  </si>
  <si>
    <t>Produced</t>
  </si>
  <si>
    <t>Purchased</t>
  </si>
  <si>
    <t>Total Produced and Purchased</t>
  </si>
  <si>
    <t>Total Other Water Used</t>
  </si>
  <si>
    <t>Losses:</t>
  </si>
  <si>
    <t xml:space="preserve">   WTP</t>
  </si>
  <si>
    <t xml:space="preserve">   Flushing</t>
  </si>
  <si>
    <t xml:space="preserve">   Fire</t>
  </si>
  <si>
    <t xml:space="preserve">   Other</t>
  </si>
  <si>
    <t xml:space="preserve">   Line Leaks</t>
  </si>
  <si>
    <t xml:space="preserve">   Unknown</t>
  </si>
  <si>
    <t>Total Losses:</t>
  </si>
  <si>
    <t>Sold, Used, and Lost</t>
  </si>
  <si>
    <t>Total Gross Wages</t>
  </si>
  <si>
    <t>Gross Wages for Full Time Employees CERS Eligible</t>
  </si>
  <si>
    <t xml:space="preserve">Materials </t>
  </si>
  <si>
    <t>New Meter Fees Collected</t>
  </si>
  <si>
    <t>DISTRICT'S</t>
  </si>
  <si>
    <t>Allowable</t>
  </si>
  <si>
    <t>EMPLOYEE</t>
  </si>
  <si>
    <t xml:space="preserve">WATER DIST </t>
  </si>
  <si>
    <t>ANNUAL</t>
  </si>
  <si>
    <t>Employer</t>
  </si>
  <si>
    <t>PREMIUM</t>
  </si>
  <si>
    <t>CONTRIB</t>
  </si>
  <si>
    <t>CONTRIB %</t>
  </si>
  <si>
    <t>Share</t>
  </si>
  <si>
    <t>Premium</t>
  </si>
  <si>
    <t>Structures and Improvements</t>
  </si>
  <si>
    <t>Water Treatment Equipment</t>
  </si>
  <si>
    <t>Source of Supply Plant</t>
  </si>
  <si>
    <t>Collecting &amp; Impounding Reservoirs</t>
  </si>
  <si>
    <t>Supply Mains</t>
  </si>
  <si>
    <t>Pension</t>
  </si>
  <si>
    <t>Eligible</t>
  </si>
  <si>
    <t>TABLE D</t>
  </si>
  <si>
    <t>Total Adjustment</t>
  </si>
  <si>
    <t>Monthly Surcharge Amount</t>
  </si>
  <si>
    <t>CURRENT AND PROPOSED BILLS</t>
  </si>
  <si>
    <t>/ Number of Bills</t>
  </si>
  <si>
    <t>Contractual Services - Accounting</t>
  </si>
  <si>
    <t>Contractual Services - Management</t>
  </si>
  <si>
    <t>Contractual Services - Other</t>
  </si>
  <si>
    <t>Insurance - General Liability</t>
  </si>
  <si>
    <t xml:space="preserve">   Tank Overflows</t>
  </si>
  <si>
    <t xml:space="preserve">   Line Breaks</t>
  </si>
  <si>
    <t>CURRENT BILLING ANALYSIS</t>
  </si>
  <si>
    <t>Summary</t>
  </si>
  <si>
    <t># of Bills</t>
  </si>
  <si>
    <t>Gallons Sold</t>
  </si>
  <si>
    <t>Revenue</t>
  </si>
  <si>
    <t>First</t>
  </si>
  <si>
    <t>Over</t>
  </si>
  <si>
    <t>Usage</t>
  </si>
  <si>
    <t>Bills</t>
  </si>
  <si>
    <t>REVENUE BY RATE INCREMENT</t>
  </si>
  <si>
    <t xml:space="preserve">Rate </t>
  </si>
  <si>
    <t>Less Adjustments</t>
  </si>
  <si>
    <t>Costs Subject to Water Loss Adjustment</t>
  </si>
  <si>
    <t>Computation of Water Loss Surcharge</t>
  </si>
  <si>
    <t>From PSC Annual Report</t>
  </si>
  <si>
    <t>Adjustment to SAO Billed Retail Revenues</t>
  </si>
  <si>
    <t>Computation of Adjustment:</t>
  </si>
  <si>
    <t>Monthly Water Rates:</t>
  </si>
  <si>
    <t>Minimum Bill</t>
  </si>
  <si>
    <t>All Over</t>
  </si>
  <si>
    <t>CONSUMPTION BY RATE INCREMENT</t>
  </si>
  <si>
    <t>Revenue Required from Sale of Water</t>
  </si>
  <si>
    <t>No</t>
  </si>
  <si>
    <t>Allowable Employer Premium</t>
  </si>
  <si>
    <t>Less: District's Annual Premium</t>
  </si>
  <si>
    <t>CY 2023 - 2027</t>
  </si>
  <si>
    <t>CY 2027</t>
  </si>
  <si>
    <t>Per 1,000 Gallons</t>
  </si>
  <si>
    <t>10,000 Gallons</t>
  </si>
  <si>
    <t>2,000 Gallons</t>
  </si>
  <si>
    <t>Next</t>
  </si>
  <si>
    <t>Billing Analysis Revenue</t>
  </si>
  <si>
    <t>Net Revenue</t>
  </si>
  <si>
    <t>PROJECTED BILLING ANALYSIS</t>
  </si>
  <si>
    <t>Western Mason County Water District</t>
  </si>
  <si>
    <t>Non-Utility Income</t>
  </si>
  <si>
    <t>WESTERN MASON COUNTY WATER DISTRICT</t>
  </si>
  <si>
    <t>8,000 Gallons</t>
  </si>
  <si>
    <t>Bulk Water Sales</t>
  </si>
  <si>
    <t>Subtotal</t>
  </si>
  <si>
    <t>All</t>
  </si>
  <si>
    <t xml:space="preserve">Labor </t>
  </si>
  <si>
    <t>Labor and Materials Adjustment for New Service Installations</t>
  </si>
  <si>
    <t>Series 1988 (91-02)</t>
  </si>
  <si>
    <t>Series 1997 (91-05)</t>
  </si>
  <si>
    <t>Series 2001 (91-06)</t>
  </si>
  <si>
    <t>Series 2007A (91-08)</t>
  </si>
  <si>
    <t>Series 2007B (91-10)</t>
  </si>
  <si>
    <t>Series 2010 (91-11)</t>
  </si>
  <si>
    <t>Series 2021 (91-13)</t>
  </si>
  <si>
    <t>KIA Loan #F209-14</t>
  </si>
  <si>
    <t>Various</t>
  </si>
  <si>
    <t>Varies</t>
  </si>
  <si>
    <t>Adjust to allowed depreciable lives.</t>
  </si>
  <si>
    <t>Source</t>
  </si>
  <si>
    <t>Tab Depreciation Cell K44</t>
  </si>
  <si>
    <t>Adjust to average annual debt service</t>
  </si>
  <si>
    <t>Tab Debt Service Cell M23</t>
  </si>
  <si>
    <t>Adjust to allowed coverage</t>
  </si>
  <si>
    <t>Tab Debt Service Cell M25</t>
  </si>
  <si>
    <t>Adjust labor used to install taps.</t>
  </si>
  <si>
    <t>Tab Capital Cell C5</t>
  </si>
  <si>
    <t>Adjust materials used to install taps.</t>
  </si>
  <si>
    <t>Tab Capital Cell C6</t>
  </si>
  <si>
    <t>C Scott</t>
  </si>
  <si>
    <t>D French</t>
  </si>
  <si>
    <t>L Moran</t>
  </si>
  <si>
    <t>Adjust labor used to current wage rates.</t>
  </si>
  <si>
    <t>Tab Wages Cell G17</t>
  </si>
  <si>
    <t>Adjust taxes to current wage rates.</t>
  </si>
  <si>
    <t>Tab Wages Cell G23</t>
  </si>
  <si>
    <t>Adjust water sales to billing analysis.</t>
  </si>
  <si>
    <t>Tab ExBA Cell H8</t>
  </si>
  <si>
    <t>LM</t>
  </si>
  <si>
    <t>DF</t>
  </si>
  <si>
    <t>Medical and Dental Insurance Adjustment</t>
  </si>
  <si>
    <t>CS</t>
  </si>
  <si>
    <t>Subtotal Medical</t>
  </si>
  <si>
    <t>Subtotal Dental</t>
  </si>
  <si>
    <t>Medical</t>
  </si>
  <si>
    <t>Dental</t>
  </si>
  <si>
    <t>Adjust medical and dental to allowable amounts.</t>
  </si>
  <si>
    <t>Tab Medical Cell B25</t>
  </si>
  <si>
    <t>A</t>
  </si>
  <si>
    <t>B</t>
  </si>
  <si>
    <t>C</t>
  </si>
  <si>
    <t>D</t>
  </si>
  <si>
    <t>E</t>
  </si>
  <si>
    <t>F</t>
  </si>
  <si>
    <t>G</t>
  </si>
  <si>
    <t>H</t>
  </si>
  <si>
    <t>APPENDIX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</si>
</sst>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mm/dd/yy;@"/>
    <numFmt numFmtId="169" formatCode="_([$$-409]* #,##0_);_([$$-409]* \(#,##0\);_([$$-409]* &quot;-&quot;??_);_(@_)"/>
    <numFmt numFmtId="170" formatCode="[$$-409]#,##0"/>
  </numFmts>
  <fonts count="24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6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305">
    <xf numFmtId="0" fontId="0" fillId="0" borderId="0" xfId="0"/>
    <xf numFmtId="0" fontId="5" fillId="0" borderId="0" xfId="0" applyFont="1"/>
    <xf numFmtId="165" fontId="5" fillId="0" borderId="0" xfId="0" applyNumberFormat="1" applyFont="1"/>
    <xf numFmtId="3" fontId="5" fillId="0" borderId="0" xfId="0" applyNumberFormat="1" applyFont="1"/>
    <xf numFmtId="0" fontId="0" fillId="0" borderId="6" xfId="0" applyBorder="1"/>
    <xf numFmtId="165" fontId="5" fillId="0" borderId="1" xfId="1" applyNumberFormat="1" applyFont="1" applyBorder="1"/>
    <xf numFmtId="165" fontId="5" fillId="0" borderId="0" xfId="1" applyNumberFormat="1" applyFont="1" applyBorder="1"/>
    <xf numFmtId="165" fontId="5" fillId="0" borderId="0" xfId="1" applyNumberFormat="1" applyFont="1"/>
    <xf numFmtId="165" fontId="5" fillId="0" borderId="3" xfId="1" applyNumberFormat="1" applyFont="1" applyBorder="1"/>
    <xf numFmtId="165" fontId="5" fillId="0" borderId="2" xfId="1" applyNumberFormat="1" applyFont="1" applyBorder="1"/>
    <xf numFmtId="165" fontId="5" fillId="0" borderId="4" xfId="1" applyNumberFormat="1" applyFont="1" applyBorder="1"/>
    <xf numFmtId="165" fontId="5" fillId="0" borderId="7" xfId="1" applyNumberFormat="1" applyFont="1" applyBorder="1"/>
    <xf numFmtId="165" fontId="5" fillId="0" borderId="8" xfId="1" applyNumberFormat="1" applyFont="1" applyBorder="1"/>
    <xf numFmtId="165" fontId="5" fillId="0" borderId="5" xfId="1" applyNumberFormat="1" applyFont="1" applyBorder="1"/>
    <xf numFmtId="165" fontId="5" fillId="0" borderId="6" xfId="1" applyNumberFormat="1" applyFont="1" applyBorder="1"/>
    <xf numFmtId="43" fontId="5" fillId="0" borderId="0" xfId="1" applyFont="1"/>
    <xf numFmtId="165" fontId="11" fillId="0" borderId="0" xfId="1" applyNumberFormat="1" applyFont="1" applyBorder="1" applyAlignment="1">
      <alignment horizontal="center"/>
    </xf>
    <xf numFmtId="43" fontId="5" fillId="0" borderId="0" xfId="1" applyFont="1" applyBorder="1"/>
    <xf numFmtId="165" fontId="5" fillId="0" borderId="0" xfId="5" applyNumberFormat="1" applyFont="1"/>
    <xf numFmtId="3" fontId="5" fillId="0" borderId="0" xfId="0" applyNumberFormat="1" applyFont="1" applyAlignment="1">
      <alignment horizontal="right"/>
    </xf>
    <xf numFmtId="165" fontId="5" fillId="0" borderId="7" xfId="5" applyNumberFormat="1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65" fontId="5" fillId="0" borderId="0" xfId="5" applyNumberFormat="1" applyFont="1" applyBorder="1"/>
    <xf numFmtId="165" fontId="11" fillId="0" borderId="0" xfId="1" applyNumberFormat="1" applyFont="1"/>
    <xf numFmtId="167" fontId="10" fillId="0" borderId="0" xfId="5" applyNumberFormat="1" applyFont="1" applyBorder="1" applyAlignment="1">
      <alignment horizontal="center"/>
    </xf>
    <xf numFmtId="43" fontId="5" fillId="0" borderId="0" xfId="1" applyFont="1" applyBorder="1" applyAlignment="1"/>
    <xf numFmtId="43" fontId="5" fillId="0" borderId="0" xfId="1" applyFont="1" applyBorder="1" applyAlignment="1">
      <alignment horizontal="right"/>
    </xf>
    <xf numFmtId="44" fontId="5" fillId="0" borderId="0" xfId="2" applyFont="1" applyBorder="1" applyAlignment="1"/>
    <xf numFmtId="44" fontId="5" fillId="0" borderId="0" xfId="2" applyFont="1" applyBorder="1" applyAlignment="1">
      <alignment vertical="center"/>
    </xf>
    <xf numFmtId="165" fontId="5" fillId="0" borderId="1" xfId="0" applyNumberFormat="1" applyFont="1" applyBorder="1"/>
    <xf numFmtId="164" fontId="5" fillId="0" borderId="0" xfId="6" applyNumberFormat="1" applyFont="1"/>
    <xf numFmtId="165" fontId="8" fillId="0" borderId="0" xfId="1" applyNumberFormat="1" applyFont="1"/>
    <xf numFmtId="165" fontId="11" fillId="0" borderId="8" xfId="1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43" fontId="5" fillId="0" borderId="8" xfId="1" quotePrefix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3" fontId="5" fillId="0" borderId="1" xfId="1" applyFont="1" applyBorder="1"/>
    <xf numFmtId="166" fontId="5" fillId="0" borderId="8" xfId="3" applyNumberFormat="1" applyFont="1" applyBorder="1"/>
    <xf numFmtId="165" fontId="5" fillId="2" borderId="0" xfId="1" applyNumberFormat="1" applyFont="1" applyFill="1" applyBorder="1"/>
    <xf numFmtId="43" fontId="5" fillId="2" borderId="8" xfId="1" quotePrefix="1" applyFont="1" applyFill="1" applyBorder="1" applyAlignment="1">
      <alignment horizontal="center"/>
    </xf>
    <xf numFmtId="43" fontId="5" fillId="2" borderId="0" xfId="1" applyFont="1" applyFill="1" applyBorder="1"/>
    <xf numFmtId="166" fontId="5" fillId="2" borderId="8" xfId="3" applyNumberFormat="1" applyFont="1" applyFill="1" applyBorder="1"/>
    <xf numFmtId="165" fontId="15" fillId="0" borderId="0" xfId="1" applyNumberFormat="1" applyFont="1"/>
    <xf numFmtId="0" fontId="20" fillId="0" borderId="0" xfId="0" applyFont="1" applyAlignment="1">
      <alignment horizontal="center"/>
    </xf>
    <xf numFmtId="10" fontId="5" fillId="0" borderId="0" xfId="0" applyNumberFormat="1" applyFont="1"/>
    <xf numFmtId="44" fontId="5" fillId="0" borderId="0" xfId="2" applyFont="1" applyBorder="1"/>
    <xf numFmtId="165" fontId="5" fillId="0" borderId="0" xfId="5" quotePrefix="1" applyNumberFormat="1" applyFont="1"/>
    <xf numFmtId="0" fontId="5" fillId="0" borderId="7" xfId="0" applyFont="1" applyBorder="1"/>
    <xf numFmtId="165" fontId="5" fillId="0" borderId="0" xfId="1" applyNumberFormat="1" applyFont="1" applyAlignment="1">
      <alignment horizontal="centerContinuous" vertical="center"/>
    </xf>
    <xf numFmtId="165" fontId="5" fillId="0" borderId="0" xfId="1" applyNumberFormat="1" applyFont="1" applyAlignment="1">
      <alignment vertical="center"/>
    </xf>
    <xf numFmtId="165" fontId="10" fillId="0" borderId="0" xfId="1" applyNumberFormat="1" applyFont="1" applyAlignment="1">
      <alignment horizontal="center" vertical="center"/>
    </xf>
    <xf numFmtId="165" fontId="8" fillId="0" borderId="0" xfId="1" applyNumberFormat="1" applyFont="1" applyAlignment="1">
      <alignment vertical="center"/>
    </xf>
    <xf numFmtId="165" fontId="5" fillId="0" borderId="0" xfId="1" applyNumberFormat="1" applyFont="1" applyAlignment="1">
      <alignment horizontal="center" vertical="center"/>
    </xf>
    <xf numFmtId="165" fontId="14" fillId="0" borderId="0" xfId="1" applyNumberFormat="1" applyFont="1" applyAlignment="1">
      <alignment vertical="center"/>
    </xf>
    <xf numFmtId="165" fontId="16" fillId="0" borderId="0" xfId="1" applyNumberFormat="1" applyFont="1" applyAlignment="1">
      <alignment vertical="center"/>
    </xf>
    <xf numFmtId="165" fontId="18" fillId="0" borderId="0" xfId="1" applyNumberFormat="1" applyFont="1" applyAlignment="1">
      <alignment vertical="center"/>
    </xf>
    <xf numFmtId="165" fontId="9" fillId="0" borderId="0" xfId="1" applyNumberFormat="1" applyFont="1" applyAlignment="1">
      <alignment vertical="center"/>
    </xf>
    <xf numFmtId="165" fontId="5" fillId="0" borderId="0" xfId="1" applyNumberFormat="1" applyFont="1" applyAlignment="1">
      <alignment horizontal="center"/>
    </xf>
    <xf numFmtId="165" fontId="14" fillId="0" borderId="0" xfId="1" applyNumberFormat="1" applyFont="1" applyAlignment="1">
      <alignment horizontal="left"/>
    </xf>
    <xf numFmtId="165" fontId="14" fillId="0" borderId="0" xfId="1" applyNumberFormat="1" applyFont="1" applyAlignment="1">
      <alignment horizontal="center"/>
    </xf>
    <xf numFmtId="165" fontId="12" fillId="0" borderId="0" xfId="1" quotePrefix="1" applyNumberFormat="1" applyFont="1" applyAlignment="1">
      <alignment horizontal="center" vertical="center"/>
    </xf>
    <xf numFmtId="165" fontId="12" fillId="0" borderId="0" xfId="1" applyNumberFormat="1" applyFont="1" applyAlignment="1">
      <alignment horizontal="center" vertical="center"/>
    </xf>
    <xf numFmtId="165" fontId="5" fillId="0" borderId="0" xfId="1" applyNumberFormat="1" applyFont="1" applyAlignment="1"/>
    <xf numFmtId="165" fontId="12" fillId="0" borderId="0" xfId="1" applyNumberFormat="1" applyFont="1" applyAlignment="1">
      <alignment vertical="center"/>
    </xf>
    <xf numFmtId="10" fontId="5" fillId="0" borderId="0" xfId="3" applyNumberFormat="1" applyFont="1" applyAlignment="1">
      <alignment vertical="center"/>
    </xf>
    <xf numFmtId="165" fontId="5" fillId="0" borderId="6" xfId="5" applyNumberFormat="1" applyFont="1" applyBorder="1"/>
    <xf numFmtId="165" fontId="5" fillId="0" borderId="0" xfId="5" applyNumberFormat="1" applyFont="1" applyBorder="1" applyAlignment="1">
      <alignment horizontal="center"/>
    </xf>
    <xf numFmtId="10" fontId="5" fillId="0" borderId="0" xfId="3" applyNumberFormat="1" applyFont="1" applyBorder="1"/>
    <xf numFmtId="10" fontId="5" fillId="2" borderId="0" xfId="3" applyNumberFormat="1" applyFont="1" applyFill="1" applyBorder="1"/>
    <xf numFmtId="165" fontId="5" fillId="0" borderId="8" xfId="5" applyNumberFormat="1" applyFont="1" applyBorder="1"/>
    <xf numFmtId="165" fontId="9" fillId="0" borderId="7" xfId="5" applyNumberFormat="1" applyFont="1" applyBorder="1" applyAlignment="1">
      <alignment horizontal="center"/>
    </xf>
    <xf numFmtId="165" fontId="11" fillId="0" borderId="0" xfId="1" applyNumberFormat="1" applyFont="1" applyBorder="1" applyAlignment="1">
      <alignment vertical="center"/>
    </xf>
    <xf numFmtId="165" fontId="5" fillId="0" borderId="0" xfId="1" applyNumberFormat="1" applyFont="1" applyBorder="1" applyAlignment="1">
      <alignment horizontal="center" vertical="center"/>
    </xf>
    <xf numFmtId="165" fontId="11" fillId="0" borderId="0" xfId="1" applyNumberFormat="1" applyFont="1" applyAlignment="1">
      <alignment vertical="center"/>
    </xf>
    <xf numFmtId="165" fontId="5" fillId="0" borderId="3" xfId="5" applyNumberFormat="1" applyFont="1" applyBorder="1"/>
    <xf numFmtId="165" fontId="5" fillId="0" borderId="2" xfId="5" applyNumberFormat="1" applyFont="1" applyBorder="1"/>
    <xf numFmtId="165" fontId="5" fillId="0" borderId="4" xfId="5" applyNumberFormat="1" applyFont="1" applyBorder="1"/>
    <xf numFmtId="165" fontId="6" fillId="0" borderId="7" xfId="5" applyNumberFormat="1" applyFont="1" applyBorder="1" applyAlignment="1">
      <alignment horizontal="centerContinuous"/>
    </xf>
    <xf numFmtId="165" fontId="9" fillId="0" borderId="0" xfId="5" applyNumberFormat="1" applyFont="1" applyAlignment="1">
      <alignment horizontal="centerContinuous"/>
    </xf>
    <xf numFmtId="165" fontId="7" fillId="0" borderId="7" xfId="5" applyNumberFormat="1" applyFont="1" applyBorder="1" applyAlignment="1">
      <alignment horizontal="centerContinuous"/>
    </xf>
    <xf numFmtId="165" fontId="10" fillId="0" borderId="0" xfId="5" applyNumberFormat="1" applyFont="1" applyAlignment="1">
      <alignment horizontal="centerContinuous"/>
    </xf>
    <xf numFmtId="3" fontId="13" fillId="0" borderId="7" xfId="0" applyNumberFormat="1" applyFont="1" applyBorder="1" applyAlignment="1">
      <alignment horizontal="centerContinuous" vertical="center"/>
    </xf>
    <xf numFmtId="165" fontId="22" fillId="0" borderId="7" xfId="5" applyNumberFormat="1" applyFont="1" applyBorder="1" applyAlignment="1">
      <alignment horizontal="centerContinuous"/>
    </xf>
    <xf numFmtId="165" fontId="5" fillId="0" borderId="0" xfId="5" applyNumberFormat="1" applyFont="1" applyAlignment="1">
      <alignment horizontal="centerContinuous"/>
    </xf>
    <xf numFmtId="165" fontId="5" fillId="0" borderId="7" xfId="5" applyNumberFormat="1" applyFont="1" applyBorder="1" applyAlignment="1">
      <alignment horizontal="centerContinuous"/>
    </xf>
    <xf numFmtId="165" fontId="5" fillId="0" borderId="9" xfId="5" applyNumberFormat="1" applyFont="1" applyBorder="1" applyAlignment="1">
      <alignment horizontal="left"/>
    </xf>
    <xf numFmtId="165" fontId="5" fillId="0" borderId="3" xfId="5" applyNumberFormat="1" applyFont="1" applyBorder="1" applyAlignment="1">
      <alignment horizontal="left"/>
    </xf>
    <xf numFmtId="165" fontId="5" fillId="0" borderId="2" xfId="5" applyNumberFormat="1" applyFont="1" applyBorder="1" applyAlignment="1">
      <alignment horizontal="left"/>
    </xf>
    <xf numFmtId="165" fontId="5" fillId="0" borderId="4" xfId="5" applyNumberFormat="1" applyFont="1" applyBorder="1" applyAlignment="1">
      <alignment horizontal="left"/>
    </xf>
    <xf numFmtId="165" fontId="5" fillId="0" borderId="10" xfId="5" applyNumberFormat="1" applyFont="1" applyBorder="1"/>
    <xf numFmtId="165" fontId="12" fillId="0" borderId="0" xfId="5" applyNumberFormat="1" applyFont="1" applyAlignment="1">
      <alignment horizontal="center" vertical="center"/>
    </xf>
    <xf numFmtId="165" fontId="9" fillId="0" borderId="8" xfId="5" applyNumberFormat="1" applyFont="1" applyBorder="1" applyAlignment="1">
      <alignment horizontal="center" vertical="center"/>
    </xf>
    <xf numFmtId="165" fontId="9" fillId="0" borderId="0" xfId="5" applyNumberFormat="1" applyFont="1" applyAlignment="1">
      <alignment horizontal="center" vertical="center"/>
    </xf>
    <xf numFmtId="165" fontId="12" fillId="0" borderId="8" xfId="5" applyNumberFormat="1" applyFont="1" applyBorder="1" applyAlignment="1">
      <alignment horizontal="center" vertical="center"/>
    </xf>
    <xf numFmtId="165" fontId="12" fillId="0" borderId="0" xfId="5" applyNumberFormat="1" applyFont="1" applyBorder="1" applyAlignment="1">
      <alignment horizontal="center" vertical="center"/>
    </xf>
    <xf numFmtId="165" fontId="5" fillId="0" borderId="10" xfId="5" applyNumberFormat="1" applyFont="1" applyBorder="1" applyAlignment="1">
      <alignment horizontal="left"/>
    </xf>
    <xf numFmtId="165" fontId="5" fillId="0" borderId="7" xfId="5" applyNumberFormat="1" applyFont="1" applyBorder="1" applyAlignment="1">
      <alignment horizontal="center"/>
    </xf>
    <xf numFmtId="165" fontId="5" fillId="0" borderId="0" xfId="5" applyNumberFormat="1" applyFont="1" applyAlignment="1">
      <alignment horizontal="center"/>
    </xf>
    <xf numFmtId="165" fontId="5" fillId="0" borderId="8" xfId="5" applyNumberFormat="1" applyFont="1" applyBorder="1" applyAlignment="1">
      <alignment horizontal="center"/>
    </xf>
    <xf numFmtId="165" fontId="5" fillId="0" borderId="0" xfId="5" quotePrefix="1" applyNumberFormat="1" applyFont="1" applyBorder="1" applyAlignment="1">
      <alignment horizontal="center"/>
    </xf>
    <xf numFmtId="165" fontId="9" fillId="0" borderId="7" xfId="5" quotePrefix="1" applyNumberFormat="1" applyFont="1" applyBorder="1" applyAlignment="1">
      <alignment horizontal="left"/>
    </xf>
    <xf numFmtId="165" fontId="9" fillId="0" borderId="0" xfId="5" quotePrefix="1" applyNumberFormat="1" applyFont="1" applyAlignment="1">
      <alignment horizontal="left"/>
    </xf>
    <xf numFmtId="165" fontId="9" fillId="0" borderId="8" xfId="5" quotePrefix="1" applyNumberFormat="1" applyFont="1" applyBorder="1" applyAlignment="1">
      <alignment horizontal="left"/>
    </xf>
    <xf numFmtId="164" fontId="9" fillId="0" borderId="0" xfId="6" quotePrefix="1" applyNumberFormat="1" applyFont="1" applyBorder="1" applyAlignment="1">
      <alignment horizontal="left"/>
    </xf>
    <xf numFmtId="165" fontId="9" fillId="0" borderId="11" xfId="5" applyNumberFormat="1" applyFont="1" applyBorder="1" applyAlignment="1">
      <alignment horizontal="right"/>
    </xf>
    <xf numFmtId="165" fontId="9" fillId="0" borderId="5" xfId="5" applyNumberFormat="1" applyFont="1" applyBorder="1" applyAlignment="1">
      <alignment horizontal="right"/>
    </xf>
    <xf numFmtId="165" fontId="9" fillId="0" borderId="1" xfId="5" applyNumberFormat="1" applyFont="1" applyBorder="1" applyAlignment="1">
      <alignment horizontal="right"/>
    </xf>
    <xf numFmtId="165" fontId="9" fillId="0" borderId="6" xfId="5" applyNumberFormat="1" applyFont="1" applyBorder="1" applyAlignment="1">
      <alignment horizontal="right"/>
    </xf>
    <xf numFmtId="165" fontId="9" fillId="0" borderId="8" xfId="5" applyNumberFormat="1" applyFont="1" applyBorder="1" applyAlignment="1">
      <alignment horizontal="right"/>
    </xf>
    <xf numFmtId="165" fontId="9" fillId="0" borderId="7" xfId="5" applyNumberFormat="1" applyFont="1" applyBorder="1" applyAlignment="1">
      <alignment horizontal="right"/>
    </xf>
    <xf numFmtId="165" fontId="9" fillId="0" borderId="0" xfId="5" applyNumberFormat="1" applyFont="1" applyAlignment="1">
      <alignment horizontal="right"/>
    </xf>
    <xf numFmtId="165" fontId="9" fillId="0" borderId="2" xfId="5" applyNumberFormat="1" applyFont="1" applyBorder="1" applyAlignment="1">
      <alignment horizontal="right"/>
    </xf>
    <xf numFmtId="165" fontId="9" fillId="0" borderId="7" xfId="5" applyNumberFormat="1" applyFont="1" applyBorder="1"/>
    <xf numFmtId="164" fontId="9" fillId="0" borderId="0" xfId="6" applyNumberFormat="1" applyFont="1"/>
    <xf numFmtId="165" fontId="9" fillId="0" borderId="0" xfId="5" applyNumberFormat="1" applyFont="1"/>
    <xf numFmtId="165" fontId="9" fillId="0" borderId="0" xfId="5" applyNumberFormat="1" applyFont="1" applyBorder="1"/>
    <xf numFmtId="164" fontId="9" fillId="0" borderId="0" xfId="6" applyNumberFormat="1" applyFont="1" applyBorder="1"/>
    <xf numFmtId="165" fontId="5" fillId="0" borderId="5" xfId="5" applyNumberFormat="1" applyFont="1" applyBorder="1" applyAlignment="1">
      <alignment horizontal="center"/>
    </xf>
    <xf numFmtId="165" fontId="5" fillId="0" borderId="1" xfId="5" applyNumberFormat="1" applyFont="1" applyBorder="1" applyAlignment="1">
      <alignment horizontal="center"/>
    </xf>
    <xf numFmtId="0" fontId="5" fillId="0" borderId="3" xfId="0" applyFont="1" applyBorder="1"/>
    <xf numFmtId="0" fontId="5" fillId="0" borderId="5" xfId="0" applyFont="1" applyBorder="1"/>
    <xf numFmtId="3" fontId="5" fillId="0" borderId="2" xfId="0" applyNumberFormat="1" applyFont="1" applyBorder="1"/>
    <xf numFmtId="3" fontId="9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/>
    <xf numFmtId="3" fontId="9" fillId="0" borderId="0" xfId="0" applyNumberFormat="1" applyFont="1"/>
    <xf numFmtId="3" fontId="5" fillId="0" borderId="1" xfId="0" applyNumberFormat="1" applyFont="1" applyBorder="1"/>
    <xf numFmtId="168" fontId="5" fillId="0" borderId="0" xfId="0" applyNumberFormat="1" applyFont="1" applyAlignment="1">
      <alignment horizontal="center"/>
    </xf>
    <xf numFmtId="167" fontId="5" fillId="0" borderId="0" xfId="5" applyNumberFormat="1" applyFont="1" applyAlignment="1"/>
    <xf numFmtId="167" fontId="5" fillId="0" borderId="2" xfId="5" applyNumberFormat="1" applyFont="1" applyBorder="1"/>
    <xf numFmtId="167" fontId="5" fillId="0" borderId="0" xfId="5" applyNumberFormat="1" applyFont="1" applyBorder="1" applyAlignment="1"/>
    <xf numFmtId="167" fontId="5" fillId="0" borderId="0" xfId="5" applyNumberFormat="1" applyFont="1" applyBorder="1" applyAlignment="1">
      <alignment horizontal="center"/>
    </xf>
    <xf numFmtId="167" fontId="15" fillId="0" borderId="0" xfId="5" applyNumberFormat="1" applyFont="1" applyBorder="1" applyAlignment="1"/>
    <xf numFmtId="170" fontId="5" fillId="0" borderId="0" xfId="0" applyNumberFormat="1" applyFont="1"/>
    <xf numFmtId="169" fontId="9" fillId="0" borderId="0" xfId="0" applyNumberFormat="1" applyFont="1"/>
    <xf numFmtId="167" fontId="5" fillId="0" borderId="0" xfId="5" quotePrefix="1" applyNumberFormat="1" applyFont="1" applyBorder="1" applyAlignment="1">
      <alignment horizontal="center"/>
    </xf>
    <xf numFmtId="3" fontId="5" fillId="0" borderId="4" xfId="0" applyNumberFormat="1" applyFont="1" applyBorder="1"/>
    <xf numFmtId="3" fontId="5" fillId="0" borderId="8" xfId="0" applyNumberFormat="1" applyFont="1" applyBorder="1"/>
    <xf numFmtId="3" fontId="5" fillId="0" borderId="6" xfId="0" applyNumberFormat="1" applyFont="1" applyBorder="1"/>
    <xf numFmtId="3" fontId="5" fillId="0" borderId="7" xfId="0" applyNumberFormat="1" applyFont="1" applyBorder="1"/>
    <xf numFmtId="4" fontId="5" fillId="0" borderId="7" xfId="0" applyNumberFormat="1" applyFont="1" applyBorder="1"/>
    <xf numFmtId="0" fontId="5" fillId="0" borderId="0" xfId="0" applyFont="1" applyAlignment="1">
      <alignment vertical="top"/>
    </xf>
    <xf numFmtId="0" fontId="23" fillId="0" borderId="0" xfId="0" applyFont="1"/>
    <xf numFmtId="165" fontId="23" fillId="0" borderId="0" xfId="1" applyNumberFormat="1" applyFont="1"/>
    <xf numFmtId="43" fontId="5" fillId="0" borderId="0" xfId="1" applyFont="1" applyAlignment="1">
      <alignment horizontal="right"/>
    </xf>
    <xf numFmtId="10" fontId="5" fillId="0" borderId="1" xfId="3" applyNumberFormat="1" applyFont="1" applyBorder="1"/>
    <xf numFmtId="165" fontId="5" fillId="0" borderId="0" xfId="5" applyNumberFormat="1" applyFont="1" applyBorder="1" applyAlignment="1">
      <alignment horizontal="right"/>
    </xf>
    <xf numFmtId="165" fontId="5" fillId="0" borderId="0" xfId="1" applyNumberFormat="1" applyFont="1" applyFill="1" applyAlignment="1">
      <alignment vertical="center"/>
    </xf>
    <xf numFmtId="6" fontId="5" fillId="0" borderId="0" xfId="0" applyNumberFormat="1" applyFont="1"/>
    <xf numFmtId="9" fontId="5" fillId="0" borderId="0" xfId="0" applyNumberFormat="1" applyFont="1"/>
    <xf numFmtId="165" fontId="5" fillId="0" borderId="0" xfId="9" applyNumberFormat="1" applyFont="1" applyFill="1" applyBorder="1"/>
    <xf numFmtId="165" fontId="11" fillId="0" borderId="0" xfId="9" applyNumberFormat="1" applyFont="1" applyFill="1" applyBorder="1"/>
    <xf numFmtId="43" fontId="5" fillId="0" borderId="0" xfId="1" applyFont="1" applyFill="1" applyBorder="1"/>
    <xf numFmtId="166" fontId="5" fillId="0" borderId="0" xfId="3" applyNumberFormat="1" applyFont="1" applyFill="1" applyBorder="1"/>
    <xf numFmtId="44" fontId="5" fillId="0" borderId="0" xfId="0" applyNumberFormat="1" applyFont="1"/>
    <xf numFmtId="44" fontId="5" fillId="0" borderId="0" xfId="0" applyNumberFormat="1" applyFont="1" applyAlignment="1">
      <alignment horizontal="right"/>
    </xf>
    <xf numFmtId="9" fontId="5" fillId="0" borderId="0" xfId="0" applyNumberFormat="1" applyFont="1" applyAlignment="1">
      <alignment horizontal="right"/>
    </xf>
    <xf numFmtId="9" fontId="5" fillId="0" borderId="0" xfId="3" applyFont="1" applyFill="1" applyBorder="1" applyAlignment="1">
      <alignment horizontal="right"/>
    </xf>
    <xf numFmtId="44" fontId="19" fillId="0" borderId="0" xfId="0" applyNumberFormat="1" applyFont="1" applyAlignment="1">
      <alignment horizontal="right"/>
    </xf>
    <xf numFmtId="44" fontId="5" fillId="0" borderId="0" xfId="10" applyFont="1" applyFill="1" applyBorder="1" applyAlignment="1">
      <alignment horizontal="right"/>
    </xf>
    <xf numFmtId="44" fontId="5" fillId="0" borderId="1" xfId="0" applyNumberFormat="1" applyFont="1" applyBorder="1" applyAlignment="1">
      <alignment horizontal="right"/>
    </xf>
    <xf numFmtId="44" fontId="5" fillId="0" borderId="1" xfId="10" applyFont="1" applyFill="1" applyBorder="1" applyAlignment="1">
      <alignment horizontal="right"/>
    </xf>
    <xf numFmtId="166" fontId="5" fillId="0" borderId="0" xfId="3" applyNumberFormat="1" applyFont="1" applyFill="1" applyBorder="1" applyAlignment="1">
      <alignment horizontal="right"/>
    </xf>
    <xf numFmtId="166" fontId="9" fillId="0" borderId="0" xfId="3" applyNumberFormat="1" applyFont="1" applyFill="1" applyBorder="1" applyAlignment="1">
      <alignment horizontal="right"/>
    </xf>
    <xf numFmtId="9" fontId="20" fillId="0" borderId="0" xfId="4" applyNumberFormat="1" applyFont="1" applyAlignment="1">
      <alignment horizontal="right"/>
    </xf>
    <xf numFmtId="9" fontId="5" fillId="0" borderId="0" xfId="9" applyNumberFormat="1" applyFont="1" applyFill="1" applyBorder="1" applyAlignment="1">
      <alignment horizontal="right"/>
    </xf>
    <xf numFmtId="9" fontId="11" fillId="0" borderId="0" xfId="9" applyNumberFormat="1" applyFont="1" applyFill="1" applyBorder="1" applyAlignment="1">
      <alignment horizontal="right"/>
    </xf>
    <xf numFmtId="9" fontId="20" fillId="0" borderId="0" xfId="3" applyFont="1" applyFill="1" applyBorder="1" applyAlignment="1">
      <alignment horizontal="right"/>
    </xf>
    <xf numFmtId="44" fontId="2" fillId="0" borderId="0" xfId="0" applyNumberFormat="1" applyFont="1" applyAlignment="1">
      <alignment horizontal="right"/>
    </xf>
    <xf numFmtId="44" fontId="5" fillId="0" borderId="0" xfId="3" applyNumberFormat="1" applyFont="1" applyFill="1" applyBorder="1" applyAlignment="1">
      <alignment horizontal="right"/>
    </xf>
    <xf numFmtId="44" fontId="20" fillId="0" borderId="0" xfId="0" applyNumberFormat="1" applyFont="1" applyAlignment="1">
      <alignment horizontal="right"/>
    </xf>
    <xf numFmtId="44" fontId="5" fillId="0" borderId="0" xfId="9" applyNumberFormat="1" applyFont="1" applyFill="1" applyBorder="1" applyAlignment="1">
      <alignment horizontal="right"/>
    </xf>
    <xf numFmtId="44" fontId="11" fillId="0" borderId="0" xfId="9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9" fontId="9" fillId="0" borderId="0" xfId="0" applyNumberFormat="1" applyFont="1" applyAlignment="1">
      <alignment horizontal="right"/>
    </xf>
    <xf numFmtId="167" fontId="5" fillId="0" borderId="1" xfId="5" applyNumberFormat="1" applyFont="1" applyBorder="1" applyAlignment="1">
      <alignment horizontal="right"/>
    </xf>
    <xf numFmtId="167" fontId="5" fillId="0" borderId="0" xfId="5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2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5" fillId="0" borderId="0" xfId="5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0" fontId="5" fillId="0" borderId="0" xfId="3" applyNumberFormat="1" applyFont="1" applyBorder="1" applyAlignment="1"/>
    <xf numFmtId="43" fontId="5" fillId="0" borderId="0" xfId="1" applyFont="1" applyBorder="1" applyAlignment="1">
      <alignment vertical="center"/>
    </xf>
    <xf numFmtId="44" fontId="5" fillId="0" borderId="0" xfId="1" applyNumberFormat="1" applyFont="1"/>
    <xf numFmtId="44" fontId="5" fillId="0" borderId="0" xfId="1" applyNumberFormat="1" applyFont="1" applyBorder="1"/>
    <xf numFmtId="44" fontId="5" fillId="0" borderId="1" xfId="0" applyNumberFormat="1" applyFont="1" applyBorder="1"/>
    <xf numFmtId="43" fontId="5" fillId="0" borderId="5" xfId="1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44" fontId="5" fillId="0" borderId="0" xfId="2" applyFont="1"/>
    <xf numFmtId="164" fontId="5" fillId="0" borderId="0" xfId="2" applyNumberFormat="1" applyFont="1"/>
    <xf numFmtId="164" fontId="5" fillId="0" borderId="0" xfId="1" applyNumberFormat="1" applyFont="1" applyAlignment="1">
      <alignment horizontal="center" vertical="center"/>
    </xf>
    <xf numFmtId="164" fontId="5" fillId="0" borderId="0" xfId="1" applyNumberFormat="1" applyFont="1" applyAlignment="1">
      <alignment horizontal="right" vertical="center"/>
    </xf>
    <xf numFmtId="165" fontId="5" fillId="0" borderId="1" xfId="0" applyNumberFormat="1" applyFont="1" applyBorder="1" applyAlignment="1">
      <alignment horizontal="center" vertical="center"/>
    </xf>
    <xf numFmtId="164" fontId="5" fillId="0" borderId="0" xfId="1" applyNumberFormat="1" applyFont="1"/>
    <xf numFmtId="164" fontId="5" fillId="0" borderId="1" xfId="1" applyNumberFormat="1" applyFont="1" applyBorder="1"/>
    <xf numFmtId="10" fontId="5" fillId="0" borderId="0" xfId="3" applyNumberFormat="1" applyFont="1" applyAlignment="1">
      <alignment vertical="top"/>
    </xf>
    <xf numFmtId="164" fontId="5" fillId="0" borderId="0" xfId="0" applyNumberFormat="1" applyFont="1"/>
    <xf numFmtId="164" fontId="5" fillId="0" borderId="1" xfId="1" applyNumberFormat="1" applyFont="1" applyBorder="1" applyAlignment="1">
      <alignment horizontal="right" vertical="center"/>
    </xf>
    <xf numFmtId="10" fontId="5" fillId="0" borderId="0" xfId="3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44" fontId="5" fillId="0" borderId="0" xfId="0" applyNumberFormat="1" applyFont="1" applyAlignment="1">
      <alignment horizontal="right" wrapText="1"/>
    </xf>
    <xf numFmtId="166" fontId="5" fillId="0" borderId="0" xfId="3" applyNumberFormat="1" applyFont="1" applyFill="1" applyBorder="1" applyAlignment="1">
      <alignment horizontal="right" wrapText="1"/>
    </xf>
    <xf numFmtId="9" fontId="5" fillId="0" borderId="0" xfId="0" applyNumberFormat="1" applyFont="1" applyAlignment="1">
      <alignment horizontal="right" wrapText="1"/>
    </xf>
    <xf numFmtId="9" fontId="5" fillId="0" borderId="0" xfId="3" applyFont="1" applyFill="1" applyBorder="1" applyAlignment="1">
      <alignment horizontal="right" wrapText="1"/>
    </xf>
    <xf numFmtId="44" fontId="5" fillId="0" borderId="0" xfId="0" applyNumberFormat="1" applyFont="1" applyAlignment="1">
      <alignment wrapText="1"/>
    </xf>
    <xf numFmtId="43" fontId="5" fillId="0" borderId="1" xfId="1" applyFont="1" applyFill="1" applyBorder="1"/>
    <xf numFmtId="165" fontId="5" fillId="0" borderId="10" xfId="5" quotePrefix="1" applyNumberFormat="1" applyFont="1" applyBorder="1" applyAlignment="1">
      <alignment horizontal="left"/>
    </xf>
    <xf numFmtId="165" fontId="5" fillId="0" borderId="0" xfId="1" applyNumberFormat="1" applyFont="1" applyFill="1"/>
    <xf numFmtId="165" fontId="5" fillId="0" borderId="2" xfId="1" applyNumberFormat="1" applyFont="1" applyFill="1" applyBorder="1"/>
    <xf numFmtId="165" fontId="5" fillId="0" borderId="1" xfId="1" applyNumberFormat="1" applyFont="1" applyFill="1" applyBorder="1"/>
    <xf numFmtId="3" fontId="13" fillId="0" borderId="7" xfId="0" applyNumberFormat="1" applyFont="1" applyBorder="1" applyAlignment="1">
      <alignment horizontal="center" vertical="center"/>
    </xf>
    <xf numFmtId="165" fontId="11" fillId="0" borderId="7" xfId="1" applyNumberFormat="1" applyFont="1" applyFill="1" applyBorder="1" applyAlignment="1">
      <alignment horizontal="center"/>
    </xf>
    <xf numFmtId="43" fontId="5" fillId="0" borderId="7" xfId="1" applyFont="1" applyFill="1" applyBorder="1"/>
    <xf numFmtId="165" fontId="11" fillId="0" borderId="0" xfId="1" applyNumberFormat="1" applyFont="1" applyFill="1" applyBorder="1" applyAlignment="1">
      <alignment horizontal="center"/>
    </xf>
    <xf numFmtId="43" fontId="5" fillId="2" borderId="7" xfId="1" applyFont="1" applyFill="1" applyBorder="1"/>
    <xf numFmtId="0" fontId="5" fillId="0" borderId="0" xfId="0" applyFont="1" applyAlignment="1">
      <alignment horizontal="center" vertical="top"/>
    </xf>
    <xf numFmtId="0" fontId="5" fillId="0" borderId="1" xfId="0" applyFont="1" applyBorder="1" applyAlignment="1">
      <alignment horizontal="right"/>
    </xf>
    <xf numFmtId="164" fontId="5" fillId="0" borderId="1" xfId="2" applyNumberFormat="1" applyFont="1" applyBorder="1"/>
    <xf numFmtId="0" fontId="5" fillId="0" borderId="1" xfId="0" applyFont="1" applyBorder="1" applyAlignment="1">
      <alignment horizontal="left" indent="1"/>
    </xf>
    <xf numFmtId="164" fontId="5" fillId="0" borderId="1" xfId="1" applyNumberFormat="1" applyFont="1" applyFill="1" applyBorder="1" applyAlignment="1">
      <alignment horizontal="right" vertical="center"/>
    </xf>
    <xf numFmtId="43" fontId="5" fillId="0" borderId="0" xfId="1" applyFont="1" applyFill="1" applyBorder="1" applyAlignment="1">
      <alignment horizontal="right"/>
    </xf>
    <xf numFmtId="44" fontId="5" fillId="0" borderId="0" xfId="2" applyFont="1" applyFill="1" applyBorder="1" applyAlignment="1"/>
    <xf numFmtId="44" fontId="5" fillId="0" borderId="0" xfId="2" applyFont="1" applyFill="1" applyBorder="1" applyAlignment="1">
      <alignment vertical="center"/>
    </xf>
    <xf numFmtId="10" fontId="5" fillId="0" borderId="0" xfId="3" applyNumberFormat="1" applyFont="1" applyFill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9" fillId="0" borderId="0" xfId="0" applyFont="1"/>
    <xf numFmtId="44" fontId="1" fillId="0" borderId="0" xfId="0" applyNumberFormat="1" applyFont="1" applyAlignment="1">
      <alignment horizontal="right"/>
    </xf>
    <xf numFmtId="44" fontId="11" fillId="0" borderId="0" xfId="0" applyNumberFormat="1" applyFont="1" applyAlignment="1">
      <alignment horizontal="right"/>
    </xf>
    <xf numFmtId="165" fontId="11" fillId="0" borderId="0" xfId="1" applyNumberFormat="1" applyFont="1" applyBorder="1"/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4" fontId="5" fillId="0" borderId="0" xfId="2" applyNumberFormat="1" applyFont="1" applyAlignment="1">
      <alignment horizontal="center" vertical="center"/>
    </xf>
    <xf numFmtId="165" fontId="8" fillId="0" borderId="0" xfId="1" applyNumberFormat="1" applyFont="1" applyFill="1"/>
    <xf numFmtId="0" fontId="9" fillId="0" borderId="0" xfId="0" applyFont="1" applyAlignment="1">
      <alignment horizontal="left"/>
    </xf>
    <xf numFmtId="44" fontId="5" fillId="0" borderId="0" xfId="0" applyNumberFormat="1" applyFont="1" applyAlignment="1">
      <alignment vertical="top"/>
    </xf>
    <xf numFmtId="164" fontId="5" fillId="0" borderId="0" xfId="0" applyNumberFormat="1" applyFont="1" applyAlignment="1">
      <alignment horizontal="center" vertical="center"/>
    </xf>
    <xf numFmtId="10" fontId="5" fillId="0" borderId="0" xfId="3" applyNumberFormat="1" applyFont="1" applyAlignment="1">
      <alignment horizontal="right" vertical="center"/>
    </xf>
    <xf numFmtId="44" fontId="5" fillId="0" borderId="0" xfId="2" applyFont="1" applyAlignment="1">
      <alignment horizontal="center" vertical="center"/>
    </xf>
    <xf numFmtId="165" fontId="5" fillId="0" borderId="5" xfId="5" quotePrefix="1" applyNumberFormat="1" applyFont="1" applyBorder="1" applyAlignment="1">
      <alignment horizontal="left"/>
    </xf>
    <xf numFmtId="165" fontId="5" fillId="0" borderId="1" xfId="5" quotePrefix="1" applyNumberFormat="1" applyFont="1" applyBorder="1" applyAlignment="1">
      <alignment horizontal="left"/>
    </xf>
    <xf numFmtId="165" fontId="5" fillId="0" borderId="6" xfId="5" quotePrefix="1" applyNumberFormat="1" applyFont="1" applyBorder="1" applyAlignment="1">
      <alignment horizontal="left"/>
    </xf>
    <xf numFmtId="165" fontId="5" fillId="0" borderId="1" xfId="5" quotePrefix="1" applyNumberFormat="1" applyFont="1" applyBorder="1" applyAlignment="1">
      <alignment horizontal="center"/>
    </xf>
    <xf numFmtId="165" fontId="12" fillId="0" borderId="0" xfId="1" applyNumberFormat="1" applyFont="1"/>
    <xf numFmtId="43" fontId="5" fillId="0" borderId="0" xfId="1" applyFont="1" applyFill="1"/>
    <xf numFmtId="43" fontId="5" fillId="0" borderId="7" xfId="1" applyFont="1" applyBorder="1" applyAlignment="1"/>
    <xf numFmtId="43" fontId="5" fillId="0" borderId="8" xfId="1" applyFont="1" applyBorder="1" applyAlignment="1"/>
    <xf numFmtId="43" fontId="11" fillId="0" borderId="8" xfId="1" applyFont="1" applyBorder="1" applyAlignment="1">
      <alignment horizontal="center"/>
    </xf>
    <xf numFmtId="43" fontId="5" fillId="0" borderId="7" xfId="1" applyFont="1" applyBorder="1" applyAlignment="1">
      <alignment horizontal="right"/>
    </xf>
    <xf numFmtId="44" fontId="5" fillId="0" borderId="8" xfId="2" applyFont="1" applyBorder="1" applyAlignment="1"/>
    <xf numFmtId="43" fontId="5" fillId="0" borderId="7" xfId="1" applyFont="1" applyFill="1" applyBorder="1" applyAlignment="1">
      <alignment horizontal="right"/>
    </xf>
    <xf numFmtId="44" fontId="5" fillId="0" borderId="8" xfId="2" applyFont="1" applyFill="1" applyBorder="1" applyAlignment="1"/>
    <xf numFmtId="43" fontId="5" fillId="0" borderId="5" xfId="1" applyFont="1" applyBorder="1" applyAlignment="1"/>
    <xf numFmtId="43" fontId="5" fillId="0" borderId="1" xfId="1" applyFont="1" applyBorder="1" applyAlignment="1"/>
    <xf numFmtId="10" fontId="5" fillId="0" borderId="1" xfId="3" applyNumberFormat="1" applyFont="1" applyBorder="1" applyAlignment="1">
      <alignment horizontal="center"/>
    </xf>
    <xf numFmtId="43" fontId="5" fillId="0" borderId="6" xfId="1" applyFont="1" applyBorder="1" applyAlignment="1"/>
    <xf numFmtId="44" fontId="12" fillId="0" borderId="0" xfId="0" applyNumberFormat="1" applyFont="1" applyAlignment="1">
      <alignment horizontal="center"/>
    </xf>
    <xf numFmtId="165" fontId="6" fillId="0" borderId="0" xfId="1" applyNumberFormat="1" applyFont="1" applyAlignment="1">
      <alignment horizontal="center" vertical="center"/>
    </xf>
    <xf numFmtId="165" fontId="13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 vertical="center"/>
    </xf>
    <xf numFmtId="167" fontId="10" fillId="0" borderId="0" xfId="5" applyNumberFormat="1" applyFont="1" applyBorder="1" applyAlignment="1">
      <alignment horizontal="center"/>
    </xf>
    <xf numFmtId="165" fontId="12" fillId="0" borderId="7" xfId="5" applyNumberFormat="1" applyFont="1" applyBorder="1" applyAlignment="1">
      <alignment horizontal="center" vertical="center"/>
    </xf>
    <xf numFmtId="165" fontId="12" fillId="0" borderId="8" xfId="5" applyNumberFormat="1" applyFont="1" applyBorder="1" applyAlignment="1">
      <alignment horizontal="center" vertical="center"/>
    </xf>
    <xf numFmtId="43" fontId="6" fillId="0" borderId="7" xfId="1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43" fontId="6" fillId="0" borderId="8" xfId="1" applyFont="1" applyBorder="1" applyAlignment="1">
      <alignment horizontal="center"/>
    </xf>
    <xf numFmtId="43" fontId="11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43" fontId="6" fillId="0" borderId="3" xfId="1" applyFont="1" applyBorder="1" applyAlignment="1">
      <alignment horizontal="center"/>
    </xf>
    <xf numFmtId="43" fontId="6" fillId="0" borderId="2" xfId="1" applyFont="1" applyBorder="1" applyAlignment="1">
      <alignment horizontal="center"/>
    </xf>
    <xf numFmtId="43" fontId="6" fillId="0" borderId="4" xfId="1" applyFont="1" applyBorder="1" applyAlignment="1">
      <alignment horizontal="center"/>
    </xf>
    <xf numFmtId="3" fontId="21" fillId="0" borderId="7" xfId="0" applyNumberFormat="1" applyFont="1" applyBorder="1" applyAlignment="1">
      <alignment horizontal="center"/>
    </xf>
    <xf numFmtId="3" fontId="21" fillId="0" borderId="0" xfId="0" applyNumberFormat="1" applyFont="1" applyAlignment="1">
      <alignment horizontal="center"/>
    </xf>
    <xf numFmtId="3" fontId="21" fillId="0" borderId="8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43" fontId="8" fillId="0" borderId="7" xfId="1" applyFont="1" applyBorder="1" applyAlignment="1">
      <alignment horizontal="right" wrapText="1"/>
    </xf>
    <xf numFmtId="43" fontId="8" fillId="0" borderId="0" xfId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3" fontId="13" fillId="0" borderId="8" xfId="0" applyNumberFormat="1" applyFont="1" applyBorder="1" applyAlignment="1">
      <alignment horizontal="center" vertical="center"/>
    </xf>
    <xf numFmtId="165" fontId="6" fillId="0" borderId="0" xfId="1" applyNumberFormat="1" applyFont="1" applyBorder="1" applyAlignment="1">
      <alignment horizontal="center"/>
    </xf>
    <xf numFmtId="165" fontId="6" fillId="0" borderId="8" xfId="1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1">
    <cellStyle name="Comma" xfId="1" builtinId="3"/>
    <cellStyle name="Comma 2" xfId="5" xr:uid="{00000000-0005-0000-0000-000001000000}"/>
    <cellStyle name="Comma 3" xfId="9" xr:uid="{00000000-0005-0000-0000-000002000000}"/>
    <cellStyle name="Currency" xfId="2" builtinId="4"/>
    <cellStyle name="Currency 2" xfId="6" xr:uid="{00000000-0005-0000-0000-000004000000}"/>
    <cellStyle name="Currency 3" xfId="10" xr:uid="{00000000-0005-0000-0000-000005000000}"/>
    <cellStyle name="Normal" xfId="0" builtinId="0"/>
    <cellStyle name="Normal 2" xfId="4" xr:uid="{00000000-0005-0000-0000-000007000000}"/>
    <cellStyle name="Normal 3" xfId="8" xr:uid="{00000000-0005-0000-0000-000008000000}"/>
    <cellStyle name="Percent" xfId="3" builtinId="5"/>
    <cellStyle name="Percent 2" xfId="7" xr:uid="{00000000-0005-0000-0000-00000A000000}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L60"/>
  <sheetViews>
    <sheetView showGridLines="0" tabSelected="1" workbookViewId="0">
      <selection activeCell="J52" sqref="J52"/>
    </sheetView>
  </sheetViews>
  <sheetFormatPr defaultColWidth="8.77734375" defaultRowHeight="14.25" x14ac:dyDescent="0.45"/>
  <cols>
    <col min="1" max="1" width="3.6640625" style="7" customWidth="1"/>
    <col min="2" max="2" width="2.6640625" style="7" customWidth="1"/>
    <col min="3" max="3" width="29.44140625" style="7" customWidth="1"/>
    <col min="4" max="4" width="11.33203125" style="7" customWidth="1"/>
    <col min="5" max="5" width="11.5546875" style="7" customWidth="1"/>
    <col min="6" max="6" width="5.33203125" style="7" customWidth="1"/>
    <col min="7" max="7" width="11.5546875" style="7" customWidth="1"/>
    <col min="8" max="8" width="3.5546875" style="7" customWidth="1"/>
    <col min="9" max="11" width="11.33203125" style="7" customWidth="1"/>
    <col min="12" max="12" width="10.88671875" style="7" customWidth="1"/>
    <col min="13" max="16384" width="8.77734375" style="7"/>
  </cols>
  <sheetData>
    <row r="1" spans="1:12" ht="18" x14ac:dyDescent="0.45">
      <c r="A1" s="270" t="s">
        <v>28</v>
      </c>
      <c r="B1" s="270"/>
      <c r="C1" s="270"/>
      <c r="D1" s="270"/>
      <c r="E1" s="270"/>
      <c r="F1" s="270"/>
      <c r="G1" s="270"/>
      <c r="H1" s="52"/>
      <c r="I1" s="52"/>
      <c r="J1" s="52"/>
      <c r="K1" s="52"/>
    </row>
    <row r="2" spans="1:12" ht="15.75" x14ac:dyDescent="0.45">
      <c r="A2" s="271" t="s">
        <v>220</v>
      </c>
      <c r="B2" s="272"/>
      <c r="C2" s="272"/>
      <c r="D2" s="272"/>
      <c r="E2" s="272"/>
      <c r="F2" s="272"/>
      <c r="G2" s="272"/>
      <c r="H2" s="52"/>
      <c r="I2" s="52"/>
      <c r="J2" s="52"/>
      <c r="K2" s="52"/>
      <c r="L2" s="52"/>
    </row>
    <row r="3" spans="1:12" x14ac:dyDescent="0.45">
      <c r="A3" s="45"/>
      <c r="B3" s="51"/>
      <c r="C3" s="51"/>
      <c r="D3" s="51"/>
      <c r="E3" s="51"/>
      <c r="F3" s="51"/>
      <c r="G3" s="51"/>
      <c r="H3" s="52"/>
      <c r="I3" s="52"/>
      <c r="J3" s="52"/>
      <c r="K3" s="52"/>
    </row>
    <row r="4" spans="1:12" ht="16.5" x14ac:dyDescent="0.75">
      <c r="A4" s="52"/>
      <c r="B4" s="52"/>
      <c r="C4" s="52"/>
      <c r="D4" s="53" t="s">
        <v>29</v>
      </c>
      <c r="E4" s="53" t="s">
        <v>30</v>
      </c>
      <c r="F4" s="53" t="s">
        <v>31</v>
      </c>
      <c r="G4" s="53" t="s">
        <v>32</v>
      </c>
      <c r="H4" s="52"/>
      <c r="I4" s="66" t="s">
        <v>37</v>
      </c>
      <c r="J4" s="52"/>
      <c r="K4" s="52"/>
      <c r="L4" s="256" t="s">
        <v>240</v>
      </c>
    </row>
    <row r="5" spans="1:12" x14ac:dyDescent="0.45">
      <c r="A5" s="54" t="s">
        <v>14</v>
      </c>
      <c r="B5" s="52"/>
      <c r="C5" s="52"/>
      <c r="D5" s="52"/>
      <c r="F5" s="52"/>
      <c r="G5" s="52"/>
      <c r="H5" s="52"/>
      <c r="J5" s="52"/>
      <c r="K5" s="52"/>
    </row>
    <row r="6" spans="1:12" x14ac:dyDescent="0.45">
      <c r="A6" s="52"/>
      <c r="B6" s="52" t="s">
        <v>39</v>
      </c>
      <c r="C6" s="52"/>
      <c r="D6" s="52">
        <v>776080</v>
      </c>
      <c r="E6" s="52">
        <f>ExBA!H8</f>
        <v>4077.6399999998976</v>
      </c>
      <c r="F6" s="55" t="s">
        <v>269</v>
      </c>
      <c r="G6" s="52">
        <f>D6+E6</f>
        <v>780157.6399999999</v>
      </c>
      <c r="H6" s="56"/>
      <c r="I6" s="52" t="s">
        <v>257</v>
      </c>
      <c r="J6" s="52"/>
      <c r="K6" s="52"/>
      <c r="L6" s="7" t="s">
        <v>258</v>
      </c>
    </row>
    <row r="7" spans="1:12" x14ac:dyDescent="0.45">
      <c r="A7" s="52"/>
      <c r="B7" s="52"/>
      <c r="C7" s="52"/>
      <c r="D7" s="52"/>
      <c r="E7" s="52"/>
      <c r="F7" s="55"/>
      <c r="G7" s="52"/>
      <c r="H7" s="56"/>
      <c r="I7" s="52"/>
      <c r="J7" s="52"/>
    </row>
    <row r="8" spans="1:12" x14ac:dyDescent="0.45">
      <c r="A8" s="52"/>
      <c r="B8" s="52" t="s">
        <v>15</v>
      </c>
      <c r="C8" s="52"/>
      <c r="D8" s="52"/>
      <c r="E8" s="52"/>
      <c r="F8" s="55"/>
      <c r="G8" s="52"/>
      <c r="H8" s="58"/>
      <c r="I8" s="52"/>
      <c r="J8" s="52"/>
      <c r="K8" s="52"/>
    </row>
    <row r="9" spans="1:12" x14ac:dyDescent="0.45">
      <c r="A9" s="52"/>
      <c r="B9" s="52"/>
      <c r="C9" s="52" t="s">
        <v>38</v>
      </c>
      <c r="D9" s="52"/>
      <c r="E9" s="52"/>
      <c r="F9" s="55"/>
      <c r="G9" s="52">
        <f>D9+E9</f>
        <v>0</v>
      </c>
      <c r="H9" s="56"/>
      <c r="I9" s="52"/>
      <c r="J9" s="52"/>
      <c r="K9" s="52"/>
    </row>
    <row r="10" spans="1:12" x14ac:dyDescent="0.45">
      <c r="A10" s="52"/>
      <c r="C10" s="52" t="s">
        <v>16</v>
      </c>
      <c r="D10" s="52"/>
      <c r="E10" s="52"/>
      <c r="F10" s="55"/>
      <c r="G10" s="52">
        <f>D10+E10</f>
        <v>0</v>
      </c>
      <c r="H10" s="56"/>
      <c r="I10" s="52"/>
      <c r="J10" s="52"/>
      <c r="K10" s="52"/>
    </row>
    <row r="11" spans="1:12" x14ac:dyDescent="0.45">
      <c r="A11" s="52"/>
      <c r="C11" s="52"/>
      <c r="D11" s="52"/>
      <c r="E11" s="52"/>
      <c r="F11" s="55"/>
      <c r="G11" s="52">
        <f>D10+E10+E11</f>
        <v>0</v>
      </c>
      <c r="H11" s="56"/>
      <c r="I11" s="52"/>
      <c r="J11" s="52"/>
      <c r="K11" s="52"/>
    </row>
    <row r="12" spans="1:12" ht="16.5" x14ac:dyDescent="0.45">
      <c r="A12" s="52"/>
      <c r="C12" s="52" t="s">
        <v>50</v>
      </c>
      <c r="D12" s="74">
        <v>21293</v>
      </c>
      <c r="E12" s="74">
        <v>0</v>
      </c>
      <c r="F12" s="55"/>
      <c r="G12" s="74">
        <f>D12+E12</f>
        <v>21293</v>
      </c>
      <c r="H12" s="57"/>
      <c r="I12" s="52"/>
      <c r="J12" s="52"/>
      <c r="K12" s="52"/>
    </row>
    <row r="13" spans="1:12" x14ac:dyDescent="0.45">
      <c r="A13" s="59" t="s">
        <v>17</v>
      </c>
      <c r="B13" s="52"/>
      <c r="C13" s="52"/>
      <c r="D13" s="52">
        <f>SUM(D6:D12)</f>
        <v>797373</v>
      </c>
      <c r="E13" s="52">
        <f>SUM(E6:E12)</f>
        <v>4077.6399999998976</v>
      </c>
      <c r="F13" s="55"/>
      <c r="G13" s="52">
        <f>SUM(G6:G12)</f>
        <v>801450.6399999999</v>
      </c>
      <c r="H13" s="58"/>
      <c r="J13" s="52"/>
      <c r="K13" s="52"/>
    </row>
    <row r="14" spans="1:12" x14ac:dyDescent="0.45">
      <c r="A14" s="52"/>
      <c r="B14" s="52"/>
      <c r="C14" s="52"/>
      <c r="D14" s="52"/>
      <c r="E14" s="52"/>
      <c r="F14" s="55"/>
      <c r="G14" s="52"/>
      <c r="H14" s="58"/>
      <c r="I14" s="52"/>
      <c r="J14" s="52"/>
      <c r="K14" s="52"/>
    </row>
    <row r="15" spans="1:12" x14ac:dyDescent="0.45">
      <c r="A15" s="54" t="s">
        <v>18</v>
      </c>
      <c r="B15" s="52"/>
      <c r="C15" s="52"/>
      <c r="D15" s="52"/>
      <c r="E15" s="52"/>
      <c r="F15" s="55"/>
      <c r="G15" s="52"/>
      <c r="H15" s="58"/>
      <c r="I15" s="52"/>
      <c r="J15" s="52"/>
      <c r="K15" s="52"/>
    </row>
    <row r="16" spans="1:12" x14ac:dyDescent="0.45">
      <c r="A16" s="52"/>
      <c r="B16" s="52" t="s">
        <v>33</v>
      </c>
      <c r="C16" s="52"/>
      <c r="D16" s="52"/>
      <c r="E16" s="52"/>
      <c r="F16" s="55"/>
      <c r="G16" s="52"/>
      <c r="H16" s="58"/>
      <c r="I16" s="52"/>
      <c r="J16" s="52"/>
      <c r="K16" s="52"/>
    </row>
    <row r="17" spans="1:12" x14ac:dyDescent="0.45">
      <c r="A17" s="52"/>
      <c r="B17" s="52"/>
      <c r="C17" s="52" t="s">
        <v>2</v>
      </c>
      <c r="D17" s="52">
        <v>253468</v>
      </c>
      <c r="E17" s="150">
        <f>-Capital!C5</f>
        <v>-1800</v>
      </c>
      <c r="F17" s="60" t="s">
        <v>272</v>
      </c>
      <c r="G17" s="52"/>
      <c r="H17" s="56"/>
      <c r="I17" s="52" t="s">
        <v>246</v>
      </c>
      <c r="J17" s="52"/>
      <c r="K17" s="52"/>
      <c r="L17" s="7" t="s">
        <v>247</v>
      </c>
    </row>
    <row r="18" spans="1:12" x14ac:dyDescent="0.45">
      <c r="A18" s="52"/>
      <c r="B18" s="52"/>
      <c r="C18" s="52"/>
      <c r="D18" s="52"/>
      <c r="E18" s="150">
        <f>Wages!G17</f>
        <v>1442</v>
      </c>
      <c r="F18" s="60" t="s">
        <v>270</v>
      </c>
      <c r="G18" s="52">
        <f>D17+E17+E18</f>
        <v>253110</v>
      </c>
      <c r="H18" s="56"/>
      <c r="I18" s="52" t="s">
        <v>253</v>
      </c>
      <c r="J18" s="52"/>
      <c r="K18" s="52"/>
      <c r="L18" s="7" t="s">
        <v>254</v>
      </c>
    </row>
    <row r="19" spans="1:12" x14ac:dyDescent="0.45">
      <c r="A19" s="52"/>
      <c r="B19" s="52"/>
      <c r="C19" s="52" t="s">
        <v>3</v>
      </c>
      <c r="D19" s="52">
        <v>14400</v>
      </c>
      <c r="E19" s="150"/>
      <c r="F19" s="55"/>
      <c r="G19" s="52">
        <f t="shared" ref="G19:G34" si="0">D19+E19</f>
        <v>14400</v>
      </c>
      <c r="H19" s="56"/>
    </row>
    <row r="20" spans="1:12" x14ac:dyDescent="0.45">
      <c r="A20" s="52"/>
      <c r="B20" s="52"/>
      <c r="C20" s="150" t="s">
        <v>4</v>
      </c>
      <c r="D20" s="52">
        <v>75356</v>
      </c>
      <c r="E20" s="150">
        <f>Medical!B25</f>
        <v>-26898.589199999988</v>
      </c>
      <c r="F20" s="60" t="s">
        <v>273</v>
      </c>
      <c r="G20" s="52"/>
      <c r="H20" s="56"/>
      <c r="I20" s="52" t="s">
        <v>267</v>
      </c>
      <c r="J20" s="52"/>
      <c r="K20" s="52"/>
      <c r="L20" s="7" t="s">
        <v>268</v>
      </c>
    </row>
    <row r="21" spans="1:12" x14ac:dyDescent="0.45">
      <c r="A21" s="52"/>
      <c r="B21" s="52"/>
      <c r="C21" s="150"/>
      <c r="D21" s="52"/>
      <c r="E21" s="150"/>
      <c r="F21" s="60"/>
      <c r="G21" s="52">
        <f>D20+E20+E21</f>
        <v>48457.410800000012</v>
      </c>
      <c r="H21" s="56"/>
      <c r="I21" s="52"/>
      <c r="J21" s="52"/>
      <c r="K21" s="52"/>
    </row>
    <row r="22" spans="1:12" x14ac:dyDescent="0.45">
      <c r="A22" s="52"/>
      <c r="B22" s="52"/>
      <c r="C22" s="52" t="s">
        <v>5</v>
      </c>
      <c r="D22" s="52">
        <v>0</v>
      </c>
      <c r="E22" s="150"/>
      <c r="F22" s="60"/>
      <c r="G22" s="52">
        <f t="shared" si="0"/>
        <v>0</v>
      </c>
      <c r="H22" s="61"/>
    </row>
    <row r="23" spans="1:12" x14ac:dyDescent="0.45">
      <c r="A23" s="52"/>
      <c r="B23" s="52"/>
      <c r="C23" s="52" t="s">
        <v>6</v>
      </c>
      <c r="D23" s="52">
        <v>51868</v>
      </c>
      <c r="E23" s="52"/>
      <c r="F23" s="60"/>
      <c r="G23" s="52">
        <f t="shared" si="0"/>
        <v>51868</v>
      </c>
      <c r="H23" s="62"/>
      <c r="J23" s="52"/>
      <c r="K23" s="52"/>
    </row>
    <row r="24" spans="1:12" x14ac:dyDescent="0.45">
      <c r="A24" s="52"/>
      <c r="B24" s="52"/>
      <c r="C24" s="52" t="s">
        <v>69</v>
      </c>
      <c r="D24" s="52">
        <v>0</v>
      </c>
      <c r="E24" s="52"/>
      <c r="F24" s="60"/>
      <c r="G24" s="52">
        <f t="shared" si="0"/>
        <v>0</v>
      </c>
      <c r="H24" s="62"/>
      <c r="J24" s="52"/>
      <c r="K24" s="52"/>
    </row>
    <row r="25" spans="1:12" x14ac:dyDescent="0.45">
      <c r="A25" s="52"/>
      <c r="B25" s="52"/>
      <c r="C25" s="150" t="s">
        <v>7</v>
      </c>
      <c r="D25" s="52">
        <v>70879</v>
      </c>
      <c r="E25" s="52">
        <f>-Capital!C6</f>
        <v>-4200</v>
      </c>
      <c r="F25" s="60" t="s">
        <v>272</v>
      </c>
      <c r="G25" s="52">
        <f t="shared" si="0"/>
        <v>66679</v>
      </c>
      <c r="H25" s="56"/>
      <c r="I25" s="52" t="s">
        <v>248</v>
      </c>
      <c r="J25" s="52"/>
      <c r="K25" s="52"/>
      <c r="L25" s="7" t="s">
        <v>249</v>
      </c>
    </row>
    <row r="26" spans="1:12" x14ac:dyDescent="0.45">
      <c r="A26" s="52"/>
      <c r="B26" s="52"/>
      <c r="C26" s="52" t="s">
        <v>180</v>
      </c>
      <c r="D26" s="52">
        <v>21100</v>
      </c>
      <c r="E26" s="52"/>
      <c r="F26" s="60"/>
      <c r="G26" s="52">
        <f t="shared" si="0"/>
        <v>21100</v>
      </c>
      <c r="H26" s="56"/>
      <c r="I26" s="52"/>
      <c r="J26" s="52"/>
      <c r="K26" s="52"/>
    </row>
    <row r="27" spans="1:12" x14ac:dyDescent="0.45">
      <c r="A27" s="52"/>
      <c r="B27" s="52"/>
      <c r="C27" s="150" t="s">
        <v>181</v>
      </c>
      <c r="D27" s="52">
        <v>0</v>
      </c>
      <c r="E27" s="150"/>
      <c r="F27" s="60"/>
      <c r="G27" s="52">
        <f t="shared" si="0"/>
        <v>0</v>
      </c>
      <c r="H27" s="56"/>
      <c r="I27" s="52"/>
      <c r="J27" s="52"/>
      <c r="K27" s="52"/>
    </row>
    <row r="28" spans="1:12" x14ac:dyDescent="0.45">
      <c r="A28" s="52"/>
      <c r="B28" s="52"/>
      <c r="C28" s="150" t="s">
        <v>182</v>
      </c>
      <c r="D28" s="52">
        <f>4800+1620+2146+30042</f>
        <v>38608</v>
      </c>
      <c r="E28" s="52"/>
      <c r="F28" s="60"/>
      <c r="G28" s="52">
        <f t="shared" si="0"/>
        <v>38608</v>
      </c>
      <c r="H28" s="56"/>
      <c r="I28" s="52"/>
      <c r="J28" s="52"/>
      <c r="K28" s="52"/>
    </row>
    <row r="29" spans="1:12" x14ac:dyDescent="0.45">
      <c r="A29" s="52"/>
      <c r="B29" s="52"/>
      <c r="C29" s="52" t="s">
        <v>51</v>
      </c>
      <c r="D29" s="52">
        <v>0</v>
      </c>
      <c r="E29" s="52"/>
      <c r="F29" s="60"/>
      <c r="G29" s="52">
        <f t="shared" si="0"/>
        <v>0</v>
      </c>
      <c r="H29" s="56"/>
      <c r="I29" s="52"/>
      <c r="J29" s="52"/>
      <c r="K29" s="52"/>
    </row>
    <row r="30" spans="1:12" x14ac:dyDescent="0.45">
      <c r="A30" s="52"/>
      <c r="B30" s="52"/>
      <c r="C30" s="52" t="s">
        <v>9</v>
      </c>
      <c r="D30" s="52">
        <v>6689</v>
      </c>
      <c r="E30" s="52"/>
      <c r="F30" s="60"/>
      <c r="G30" s="52">
        <f t="shared" si="0"/>
        <v>6689</v>
      </c>
      <c r="H30" s="58"/>
      <c r="I30" s="52"/>
      <c r="J30" s="52"/>
      <c r="K30" s="52"/>
    </row>
    <row r="31" spans="1:12" x14ac:dyDescent="0.45">
      <c r="A31" s="52"/>
      <c r="B31" s="52"/>
      <c r="C31" s="150" t="s">
        <v>183</v>
      </c>
      <c r="D31" s="52">
        <v>0</v>
      </c>
      <c r="E31" s="52"/>
      <c r="F31" s="60"/>
      <c r="G31" s="52">
        <f t="shared" si="0"/>
        <v>0</v>
      </c>
      <c r="H31" s="58"/>
      <c r="I31" s="52"/>
      <c r="J31" s="52"/>
      <c r="K31" s="52"/>
    </row>
    <row r="32" spans="1:12" x14ac:dyDescent="0.45">
      <c r="A32" s="52"/>
      <c r="B32" s="52"/>
      <c r="C32" s="52" t="s">
        <v>52</v>
      </c>
      <c r="D32" s="52">
        <f>5636+9161</f>
        <v>14797</v>
      </c>
      <c r="E32" s="52"/>
      <c r="F32" s="60"/>
      <c r="G32" s="52">
        <f t="shared" si="0"/>
        <v>14797</v>
      </c>
      <c r="H32" s="58"/>
      <c r="I32" s="52"/>
      <c r="J32" s="52"/>
      <c r="K32" s="52"/>
    </row>
    <row r="33" spans="1:12" x14ac:dyDescent="0.45">
      <c r="A33" s="52"/>
      <c r="B33" s="52"/>
      <c r="C33" s="52" t="s">
        <v>53</v>
      </c>
      <c r="D33" s="52">
        <v>0</v>
      </c>
      <c r="E33" s="52"/>
      <c r="F33" s="55"/>
      <c r="G33" s="52">
        <f t="shared" si="0"/>
        <v>0</v>
      </c>
      <c r="H33" s="58"/>
      <c r="I33" s="52"/>
      <c r="J33" s="52"/>
      <c r="K33" s="52"/>
    </row>
    <row r="34" spans="1:12" ht="16.5" x14ac:dyDescent="0.45">
      <c r="A34" s="52"/>
      <c r="B34" s="52"/>
      <c r="C34" s="150" t="s">
        <v>8</v>
      </c>
      <c r="D34" s="74">
        <v>4004</v>
      </c>
      <c r="E34" s="74">
        <v>0</v>
      </c>
      <c r="F34" s="60"/>
      <c r="G34" s="74">
        <f t="shared" si="0"/>
        <v>4004</v>
      </c>
      <c r="H34" s="58"/>
      <c r="I34" s="52"/>
      <c r="J34" s="52"/>
      <c r="K34" s="52"/>
    </row>
    <row r="35" spans="1:12" x14ac:dyDescent="0.45">
      <c r="A35" s="52"/>
      <c r="B35" s="52" t="s">
        <v>34</v>
      </c>
      <c r="C35" s="52"/>
      <c r="D35" s="52">
        <f>SUM(D17:D34)</f>
        <v>551169</v>
      </c>
      <c r="E35" s="52">
        <f>SUM(E17:E34)</f>
        <v>-31456.589199999988</v>
      </c>
      <c r="F35" s="55"/>
      <c r="G35" s="52">
        <f>SUM(G17:G34)</f>
        <v>519712.41080000001</v>
      </c>
      <c r="H35" s="58"/>
      <c r="I35" s="52"/>
      <c r="J35" s="52"/>
      <c r="K35" s="52"/>
    </row>
    <row r="36" spans="1:12" ht="4.05" customHeight="1" x14ac:dyDescent="0.45">
      <c r="A36" s="52"/>
      <c r="B36" s="52"/>
      <c r="C36" s="52"/>
      <c r="D36" s="52"/>
      <c r="E36" s="52"/>
      <c r="F36" s="55"/>
      <c r="G36" s="52"/>
      <c r="H36" s="58"/>
      <c r="I36" s="52"/>
      <c r="J36" s="52"/>
      <c r="K36" s="52"/>
    </row>
    <row r="37" spans="1:12" x14ac:dyDescent="0.45">
      <c r="A37" s="52"/>
      <c r="B37" s="52" t="s">
        <v>19</v>
      </c>
      <c r="C37" s="52"/>
      <c r="D37" s="52">
        <v>230246</v>
      </c>
      <c r="E37" s="52">
        <f>Depreciation!K44</f>
        <v>-34667.183267777764</v>
      </c>
      <c r="F37" s="55" t="s">
        <v>274</v>
      </c>
      <c r="G37" s="52">
        <f>D37+E37</f>
        <v>195578.81673222224</v>
      </c>
      <c r="H37" s="58"/>
      <c r="I37" s="52" t="s">
        <v>239</v>
      </c>
      <c r="J37" s="52"/>
      <c r="L37" s="7" t="s">
        <v>241</v>
      </c>
    </row>
    <row r="38" spans="1:12" ht="16.5" x14ac:dyDescent="0.45">
      <c r="A38" s="52"/>
      <c r="B38" s="150" t="s">
        <v>1</v>
      </c>
      <c r="C38" s="150"/>
      <c r="D38" s="74">
        <v>19762</v>
      </c>
      <c r="E38" s="74">
        <f>Wages!G23</f>
        <v>-261.38500000000204</v>
      </c>
      <c r="F38" s="75" t="s">
        <v>271</v>
      </c>
      <c r="G38" s="74">
        <f t="shared" ref="G38" si="1">D38+E38</f>
        <v>19500.614999999998</v>
      </c>
      <c r="H38" s="58"/>
      <c r="I38" s="7" t="s">
        <v>255</v>
      </c>
      <c r="L38" s="7" t="s">
        <v>256</v>
      </c>
    </row>
    <row r="39" spans="1:12" ht="16.5" x14ac:dyDescent="0.45">
      <c r="A39" s="59" t="s">
        <v>0</v>
      </c>
      <c r="B39" s="52"/>
      <c r="C39" s="52"/>
      <c r="D39" s="74">
        <f>SUM(D35:D38)</f>
        <v>801177</v>
      </c>
      <c r="E39" s="74">
        <f>SUM(E35:E38)</f>
        <v>-66385.157467777753</v>
      </c>
      <c r="F39" s="75"/>
      <c r="G39" s="74">
        <f>SUM(G35:G38)</f>
        <v>734791.84253222228</v>
      </c>
      <c r="H39" s="58"/>
      <c r="I39" s="52"/>
      <c r="J39" s="52"/>
      <c r="K39" s="52"/>
    </row>
    <row r="40" spans="1:12" ht="4.05" customHeight="1" x14ac:dyDescent="0.45">
      <c r="A40" s="59"/>
      <c r="B40" s="52"/>
      <c r="C40" s="52"/>
      <c r="D40" s="76"/>
      <c r="E40" s="52"/>
      <c r="F40" s="55"/>
      <c r="G40" s="52"/>
      <c r="H40" s="52"/>
      <c r="I40" s="52"/>
      <c r="J40" s="52"/>
      <c r="K40" s="52"/>
    </row>
    <row r="41" spans="1:12" x14ac:dyDescent="0.45">
      <c r="A41" s="59" t="s">
        <v>35</v>
      </c>
      <c r="B41" s="52"/>
      <c r="C41" s="52"/>
      <c r="D41" s="52">
        <f>D13-D39</f>
        <v>-3804</v>
      </c>
      <c r="E41" s="52">
        <f>E13-E39</f>
        <v>70462.797467777651</v>
      </c>
      <c r="F41" s="55"/>
      <c r="G41" s="52">
        <f>G13-G39</f>
        <v>66658.797467777622</v>
      </c>
      <c r="H41" s="52"/>
      <c r="I41" s="52"/>
      <c r="K41" s="52"/>
    </row>
    <row r="42" spans="1:12" x14ac:dyDescent="0.45">
      <c r="A42" s="52"/>
      <c r="B42" s="52"/>
      <c r="C42" s="52"/>
      <c r="D42" s="52"/>
      <c r="E42" s="52"/>
      <c r="F42" s="55"/>
      <c r="G42" s="52"/>
      <c r="H42" s="52"/>
      <c r="I42" s="52"/>
      <c r="J42" s="52"/>
      <c r="K42" s="52"/>
    </row>
    <row r="43" spans="1:12" ht="18" x14ac:dyDescent="0.45">
      <c r="A43" s="270" t="s">
        <v>20</v>
      </c>
      <c r="B43" s="270"/>
      <c r="C43" s="270"/>
      <c r="D43" s="270"/>
      <c r="E43" s="270"/>
      <c r="F43" s="270"/>
      <c r="G43" s="270"/>
      <c r="H43" s="52"/>
      <c r="I43" s="63"/>
      <c r="J43" s="64"/>
      <c r="K43" s="52"/>
    </row>
    <row r="44" spans="1:12" x14ac:dyDescent="0.45">
      <c r="A44" s="59" t="s">
        <v>36</v>
      </c>
      <c r="B44" s="52"/>
      <c r="C44" s="52"/>
      <c r="D44" s="65"/>
      <c r="E44" s="52"/>
      <c r="F44" s="60"/>
      <c r="G44" s="7">
        <f>G39</f>
        <v>734791.84253222228</v>
      </c>
      <c r="H44" s="52"/>
      <c r="J44" s="52"/>
      <c r="K44" s="52"/>
    </row>
    <row r="45" spans="1:12" x14ac:dyDescent="0.45">
      <c r="A45" s="52" t="s">
        <v>21</v>
      </c>
      <c r="B45" s="52"/>
      <c r="C45" s="52" t="s">
        <v>94</v>
      </c>
      <c r="D45" s="65"/>
      <c r="E45" s="52"/>
      <c r="F45" s="60" t="s">
        <v>275</v>
      </c>
      <c r="G45" s="220">
        <f>'Debt Service'!M23</f>
        <v>241487.53999999998</v>
      </c>
      <c r="H45" s="52"/>
      <c r="I45" s="7" t="s">
        <v>242</v>
      </c>
      <c r="J45" s="52"/>
      <c r="K45" s="52"/>
      <c r="L45" s="7" t="s">
        <v>243</v>
      </c>
    </row>
    <row r="46" spans="1:12" ht="16.5" x14ac:dyDescent="0.75">
      <c r="A46" s="52"/>
      <c r="B46" s="52"/>
      <c r="C46" s="52" t="s">
        <v>95</v>
      </c>
      <c r="D46" s="65"/>
      <c r="E46" s="52"/>
      <c r="F46" s="60" t="s">
        <v>276</v>
      </c>
      <c r="G46" s="241">
        <f>'Debt Service'!M25</f>
        <v>48297.508000000002</v>
      </c>
      <c r="H46" s="52"/>
      <c r="I46" s="7" t="s">
        <v>244</v>
      </c>
      <c r="J46" s="52"/>
      <c r="K46" s="52"/>
      <c r="L46" s="7" t="s">
        <v>245</v>
      </c>
    </row>
    <row r="47" spans="1:12" x14ac:dyDescent="0.45">
      <c r="A47" s="59" t="s">
        <v>56</v>
      </c>
      <c r="B47" s="52"/>
      <c r="C47" s="52"/>
      <c r="D47" s="65"/>
      <c r="E47" s="52"/>
      <c r="F47" s="60"/>
      <c r="G47" s="7">
        <f>G44+G45+G46</f>
        <v>1024576.8905322222</v>
      </c>
      <c r="H47" s="52"/>
      <c r="J47" s="52"/>
      <c r="K47" s="52"/>
    </row>
    <row r="48" spans="1:12" x14ac:dyDescent="0.45">
      <c r="A48" s="52" t="s">
        <v>22</v>
      </c>
      <c r="B48" s="52"/>
      <c r="C48" s="52" t="s">
        <v>23</v>
      </c>
      <c r="D48" s="65"/>
      <c r="E48" s="52"/>
      <c r="F48" s="60"/>
      <c r="G48" s="7">
        <f>SUM(G9:G12)</f>
        <v>21293</v>
      </c>
      <c r="H48" s="52"/>
      <c r="J48" s="52"/>
      <c r="K48" s="52"/>
    </row>
    <row r="49" spans="1:11" x14ac:dyDescent="0.45">
      <c r="A49" s="52"/>
      <c r="B49" s="52"/>
      <c r="C49" s="52" t="s">
        <v>221</v>
      </c>
      <c r="D49" s="65"/>
      <c r="E49" s="52"/>
      <c r="F49" s="60"/>
      <c r="G49" s="7">
        <v>11940</v>
      </c>
      <c r="H49" s="52"/>
      <c r="J49" s="52"/>
      <c r="K49" s="52"/>
    </row>
    <row r="50" spans="1:11" x14ac:dyDescent="0.45">
      <c r="A50" s="52"/>
      <c r="B50" s="52"/>
      <c r="C50" s="52" t="s">
        <v>11</v>
      </c>
      <c r="D50" s="65"/>
      <c r="E50" s="52"/>
      <c r="F50" s="60"/>
      <c r="G50" s="246">
        <v>93</v>
      </c>
      <c r="H50" s="52"/>
      <c r="I50" s="32"/>
      <c r="J50" s="52"/>
      <c r="K50" s="52"/>
    </row>
    <row r="51" spans="1:11" x14ac:dyDescent="0.45">
      <c r="A51" s="59" t="s">
        <v>54</v>
      </c>
      <c r="B51" s="52"/>
      <c r="C51" s="52"/>
      <c r="D51" s="65"/>
      <c r="E51" s="52"/>
      <c r="F51" s="60"/>
      <c r="G51" s="7">
        <f>G47-G48-G49-G50</f>
        <v>991250.89053222223</v>
      </c>
      <c r="H51" s="52"/>
      <c r="J51" s="52"/>
      <c r="K51" s="52"/>
    </row>
    <row r="52" spans="1:11" ht="16.5" x14ac:dyDescent="0.75">
      <c r="A52" s="52" t="s">
        <v>22</v>
      </c>
      <c r="B52" s="52"/>
      <c r="C52" s="52" t="s">
        <v>55</v>
      </c>
      <c r="D52" s="65"/>
      <c r="E52" s="52"/>
      <c r="F52" s="60"/>
      <c r="G52" s="24">
        <f>G6</f>
        <v>780157.6399999999</v>
      </c>
      <c r="H52" s="52"/>
      <c r="I52" s="32"/>
      <c r="J52" s="52"/>
      <c r="K52" s="52"/>
    </row>
    <row r="53" spans="1:11" x14ac:dyDescent="0.45">
      <c r="A53" s="59" t="s">
        <v>57</v>
      </c>
      <c r="B53" s="52"/>
      <c r="C53" s="52"/>
      <c r="D53" s="65"/>
      <c r="E53" s="52"/>
      <c r="F53" s="60"/>
      <c r="G53" s="52">
        <f>G51-G52</f>
        <v>211093.25053222233</v>
      </c>
      <c r="H53" s="52"/>
      <c r="I53" s="52"/>
      <c r="J53" s="52"/>
      <c r="K53" s="52"/>
    </row>
    <row r="54" spans="1:11" ht="4.05" customHeight="1" x14ac:dyDescent="0.45">
      <c r="A54" s="52"/>
      <c r="B54" s="52"/>
      <c r="C54" s="52"/>
      <c r="D54" s="65"/>
      <c r="E54" s="52"/>
      <c r="F54" s="60"/>
      <c r="G54" s="52"/>
      <c r="H54" s="52"/>
      <c r="I54" s="52"/>
      <c r="J54" s="52"/>
      <c r="K54" s="52"/>
    </row>
    <row r="55" spans="1:11" x14ac:dyDescent="0.45">
      <c r="A55" s="59" t="s">
        <v>58</v>
      </c>
      <c r="B55" s="52"/>
      <c r="C55" s="52"/>
      <c r="D55" s="65"/>
      <c r="E55" s="52"/>
      <c r="F55" s="60"/>
      <c r="G55" s="67">
        <f>G53/G52</f>
        <v>0.2705776880326678</v>
      </c>
      <c r="H55" s="52"/>
      <c r="I55" s="52"/>
      <c r="J55" s="52"/>
      <c r="K55" s="52"/>
    </row>
    <row r="58" spans="1:11" x14ac:dyDescent="0.45">
      <c r="A58" s="59"/>
      <c r="B58" s="52"/>
      <c r="C58" s="52"/>
      <c r="D58" s="65"/>
      <c r="E58" s="52"/>
      <c r="F58" s="60"/>
      <c r="G58" s="52"/>
    </row>
    <row r="59" spans="1:11" x14ac:dyDescent="0.45">
      <c r="A59" s="52"/>
      <c r="B59" s="52"/>
      <c r="C59" s="52"/>
      <c r="D59" s="65"/>
      <c r="E59" s="52"/>
      <c r="F59" s="60"/>
      <c r="G59" s="52"/>
    </row>
    <row r="60" spans="1:11" x14ac:dyDescent="0.45">
      <c r="A60" s="59"/>
      <c r="B60" s="52"/>
      <c r="C60" s="52"/>
      <c r="D60" s="65"/>
      <c r="E60" s="52"/>
      <c r="F60" s="60"/>
      <c r="G60" s="52"/>
    </row>
  </sheetData>
  <mergeCells count="3">
    <mergeCell ref="A43:G43"/>
    <mergeCell ref="A1:G1"/>
    <mergeCell ref="A2:G2"/>
  </mergeCells>
  <printOptions horizontalCentered="1"/>
  <pageMargins left="0.45" right="0.25" top="0.5" bottom="0.5" header="0.3" footer="0.3"/>
  <pageSetup scale="94" orientation="portrait" horizontalDpi="4294967293" r:id="rId1"/>
  <rowBreaks count="2" manualBreakCount="2">
    <brk id="41" max="16383" man="1"/>
    <brk id="4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EF004-73BD-4C2A-85DA-B682B48EA656}">
  <sheetPr>
    <tabColor rgb="FF92D050"/>
    <pageSetUpPr fitToPage="1"/>
  </sheetPr>
  <dimension ref="A1:L32"/>
  <sheetViews>
    <sheetView workbookViewId="0">
      <selection activeCell="D1" sqref="D1"/>
    </sheetView>
  </sheetViews>
  <sheetFormatPr defaultRowHeight="14.25" x14ac:dyDescent="0.4"/>
  <cols>
    <col min="1" max="1" width="8.88671875" style="228"/>
    <col min="2" max="2" width="11.609375" style="144" bestFit="1" customWidth="1"/>
    <col min="3" max="3" width="9.27734375" style="144" bestFit="1" customWidth="1"/>
    <col min="4" max="4" width="7.609375" style="144" bestFit="1" customWidth="1"/>
    <col min="5" max="5" width="20.44140625" style="144" bestFit="1" customWidth="1"/>
    <col min="6" max="9" width="11.38671875" style="144" bestFit="1" customWidth="1"/>
    <col min="10" max="10" width="10.44140625" style="144" bestFit="1" customWidth="1"/>
    <col min="11" max="11" width="11.38671875" style="144" bestFit="1" customWidth="1"/>
    <col min="12" max="16384" width="8.88671875" style="144"/>
  </cols>
  <sheetData>
    <row r="1" spans="1:12" x14ac:dyDescent="0.45">
      <c r="A1" s="21"/>
      <c r="B1" s="1"/>
      <c r="C1" s="1"/>
      <c r="D1" s="238">
        <v>2022</v>
      </c>
      <c r="E1" s="238" t="s">
        <v>186</v>
      </c>
      <c r="F1" s="302" t="s">
        <v>220</v>
      </c>
      <c r="G1" s="302"/>
      <c r="H1" s="302"/>
      <c r="I1" s="1"/>
      <c r="J1" s="1"/>
      <c r="K1" s="1"/>
    </row>
    <row r="2" spans="1:12" x14ac:dyDescent="0.45">
      <c r="A2" s="21"/>
      <c r="B2" s="1"/>
      <c r="C2" s="1"/>
      <c r="D2" s="300"/>
      <c r="E2" s="300"/>
      <c r="F2" s="198"/>
      <c r="G2" s="198"/>
      <c r="H2" s="55"/>
      <c r="I2" s="1"/>
      <c r="J2" s="1"/>
      <c r="K2" s="1"/>
    </row>
    <row r="3" spans="1:12" x14ac:dyDescent="0.45">
      <c r="A3" s="21"/>
      <c r="B3" s="1"/>
      <c r="C3" s="1"/>
      <c r="D3" s="303" t="s">
        <v>187</v>
      </c>
      <c r="E3" s="303"/>
      <c r="F3" s="197" t="s">
        <v>188</v>
      </c>
      <c r="G3" s="197" t="s">
        <v>189</v>
      </c>
      <c r="H3" s="200" t="s">
        <v>190</v>
      </c>
      <c r="I3" s="1"/>
      <c r="J3" s="1"/>
      <c r="K3" s="1"/>
    </row>
    <row r="4" spans="1:12" x14ac:dyDescent="0.45">
      <c r="A4" s="21"/>
      <c r="B4" s="1"/>
      <c r="C4" s="1"/>
      <c r="D4" s="304" t="s">
        <v>217</v>
      </c>
      <c r="E4" s="304"/>
      <c r="F4" s="199">
        <f>D32</f>
        <v>12697</v>
      </c>
      <c r="G4" s="199">
        <f>E32</f>
        <v>60295700</v>
      </c>
      <c r="H4" s="203">
        <f>G32</f>
        <v>808189.15999999992</v>
      </c>
      <c r="I4" s="1"/>
      <c r="J4" s="1"/>
      <c r="K4" s="1"/>
    </row>
    <row r="5" spans="1:12" x14ac:dyDescent="0.45">
      <c r="A5" s="21"/>
      <c r="B5" s="1"/>
      <c r="C5" s="1"/>
      <c r="D5" s="300" t="s">
        <v>197</v>
      </c>
      <c r="E5" s="300"/>
      <c r="F5" s="198"/>
      <c r="G5" s="198"/>
      <c r="H5" s="232">
        <f>-2543.17-3717.78-11340.67-10429.9</f>
        <v>-28031.520000000004</v>
      </c>
      <c r="I5" s="1"/>
      <c r="J5" s="1"/>
      <c r="K5" s="1"/>
    </row>
    <row r="6" spans="1:12" x14ac:dyDescent="0.45">
      <c r="A6" s="21"/>
      <c r="B6" s="1"/>
      <c r="C6" s="1"/>
      <c r="D6" s="300" t="s">
        <v>218</v>
      </c>
      <c r="E6" s="300"/>
      <c r="F6" s="198"/>
      <c r="G6" s="198"/>
      <c r="H6" s="204">
        <f>H4+H5</f>
        <v>780157.6399999999</v>
      </c>
      <c r="I6" s="1"/>
      <c r="J6" s="1"/>
      <c r="K6" s="1"/>
    </row>
    <row r="7" spans="1:12" x14ac:dyDescent="0.45">
      <c r="A7" s="21"/>
      <c r="B7" s="1"/>
      <c r="C7" s="1"/>
      <c r="D7" s="300" t="s">
        <v>200</v>
      </c>
      <c r="E7" s="300"/>
      <c r="F7" s="198"/>
      <c r="G7" s="198"/>
      <c r="H7" s="210">
        <f>SAO!D6</f>
        <v>776080</v>
      </c>
      <c r="I7" s="1"/>
      <c r="J7" s="1"/>
      <c r="K7" s="1"/>
    </row>
    <row r="8" spans="1:12" x14ac:dyDescent="0.45">
      <c r="A8" s="21"/>
      <c r="B8" s="1"/>
      <c r="C8" s="1"/>
      <c r="D8" s="300" t="s">
        <v>60</v>
      </c>
      <c r="E8" s="300"/>
      <c r="F8" s="198"/>
      <c r="G8" s="198"/>
      <c r="H8" s="204">
        <f>H6-H7</f>
        <v>4077.6399999998976</v>
      </c>
      <c r="I8" s="1" t="s">
        <v>201</v>
      </c>
      <c r="J8" s="1"/>
      <c r="K8" s="1"/>
      <c r="L8" s="208"/>
    </row>
    <row r="9" spans="1:12" x14ac:dyDescent="0.45">
      <c r="A9" s="21"/>
      <c r="B9" s="1"/>
      <c r="C9" s="1"/>
      <c r="D9" s="198"/>
      <c r="E9" s="198"/>
      <c r="F9" s="198"/>
      <c r="G9" s="198"/>
      <c r="H9" s="250">
        <f>H8/H7</f>
        <v>5.2541490567981361E-3</v>
      </c>
      <c r="I9" s="1"/>
      <c r="J9" s="1"/>
      <c r="K9" s="1"/>
      <c r="L9" s="208"/>
    </row>
    <row r="10" spans="1:12" x14ac:dyDescent="0.45">
      <c r="A10" s="21"/>
      <c r="B10" s="1"/>
      <c r="C10" s="1"/>
      <c r="D10" s="301"/>
      <c r="E10" s="301"/>
      <c r="F10" s="1"/>
      <c r="G10" s="1"/>
      <c r="H10" s="7"/>
      <c r="I10" s="1"/>
      <c r="J10" s="1"/>
      <c r="K10" s="1"/>
    </row>
    <row r="11" spans="1:12" x14ac:dyDescent="0.45">
      <c r="A11" s="247" t="s">
        <v>206</v>
      </c>
      <c r="B11" s="1"/>
      <c r="C11" s="1"/>
      <c r="D11" s="1"/>
      <c r="E11" s="1"/>
      <c r="F11" s="1"/>
      <c r="G11" s="1"/>
      <c r="H11" s="7"/>
      <c r="I11" s="1"/>
      <c r="J11" s="1"/>
      <c r="K11" s="1"/>
    </row>
    <row r="12" spans="1:12" x14ac:dyDescent="0.45">
      <c r="A12" s="21"/>
      <c r="B12" s="198"/>
      <c r="C12" s="242"/>
      <c r="D12" s="242"/>
      <c r="E12" s="242"/>
      <c r="F12" s="242" t="str">
        <f>B14</f>
        <v>First</v>
      </c>
      <c r="G12" s="242" t="str">
        <f>B15</f>
        <v>Next</v>
      </c>
      <c r="H12" s="242" t="str">
        <f>B16</f>
        <v>Over</v>
      </c>
      <c r="I12" s="242" t="s">
        <v>12</v>
      </c>
    </row>
    <row r="13" spans="1:12" x14ac:dyDescent="0.45">
      <c r="A13" s="21"/>
      <c r="B13" s="198"/>
      <c r="C13" s="243" t="s">
        <v>193</v>
      </c>
      <c r="D13" s="243" t="s">
        <v>194</v>
      </c>
      <c r="E13" s="243" t="s">
        <v>13</v>
      </c>
      <c r="F13" s="244">
        <f>C14</f>
        <v>2000</v>
      </c>
      <c r="G13" s="244">
        <f>C15</f>
        <v>8000</v>
      </c>
      <c r="H13" s="244">
        <f>C16</f>
        <v>10000</v>
      </c>
      <c r="I13" s="243"/>
    </row>
    <row r="14" spans="1:12" x14ac:dyDescent="0.45">
      <c r="A14" s="21"/>
      <c r="B14" s="198" t="s">
        <v>191</v>
      </c>
      <c r="C14" s="75">
        <v>2000</v>
      </c>
      <c r="D14" s="199">
        <f>143+3817</f>
        <v>3960</v>
      </c>
      <c r="E14" s="199">
        <f>87100+3836900</f>
        <v>3924000</v>
      </c>
      <c r="F14" s="199">
        <f>E14</f>
        <v>3924000</v>
      </c>
      <c r="G14" s="199">
        <v>0</v>
      </c>
      <c r="H14" s="199">
        <v>0</v>
      </c>
      <c r="I14" s="199">
        <f>SUM(F14:H14)</f>
        <v>3924000</v>
      </c>
    </row>
    <row r="15" spans="1:12" x14ac:dyDescent="0.45">
      <c r="A15" s="21"/>
      <c r="B15" s="198" t="s">
        <v>216</v>
      </c>
      <c r="C15" s="75">
        <v>8000</v>
      </c>
      <c r="D15" s="199">
        <f>91+7491</f>
        <v>7582</v>
      </c>
      <c r="E15" s="199">
        <f>432300+31437900</f>
        <v>31870200</v>
      </c>
      <c r="F15" s="199">
        <f>D15*C14</f>
        <v>15164000</v>
      </c>
      <c r="G15" s="199">
        <f>E15-F15</f>
        <v>16706200</v>
      </c>
      <c r="H15" s="199">
        <v>0</v>
      </c>
      <c r="I15" s="199">
        <f>SUM(F15:H15)</f>
        <v>31870200</v>
      </c>
    </row>
    <row r="16" spans="1:12" x14ac:dyDescent="0.45">
      <c r="A16" s="21"/>
      <c r="B16" s="198" t="s">
        <v>192</v>
      </c>
      <c r="C16" s="75">
        <v>10000</v>
      </c>
      <c r="D16" s="205">
        <f>12697-15-3960-7582</f>
        <v>1140</v>
      </c>
      <c r="E16" s="205">
        <f>60295700-697100-3924000-31870200</f>
        <v>23804400</v>
      </c>
      <c r="F16" s="205">
        <f>D16*C14</f>
        <v>2280000</v>
      </c>
      <c r="G16" s="205">
        <f>D16*C15</f>
        <v>9120000</v>
      </c>
      <c r="H16" s="205">
        <f>E16-F16-G16</f>
        <v>12404400</v>
      </c>
      <c r="I16" s="205">
        <f>SUM(F16:H16)</f>
        <v>23804400</v>
      </c>
    </row>
    <row r="17" spans="1:11" x14ac:dyDescent="0.45">
      <c r="A17" s="21"/>
      <c r="B17" s="198" t="s">
        <v>225</v>
      </c>
      <c r="C17" s="75"/>
      <c r="D17" s="199">
        <f t="shared" ref="D17:I17" si="0">SUM(D14:D16)</f>
        <v>12682</v>
      </c>
      <c r="E17" s="199">
        <f t="shared" si="0"/>
        <v>59598600</v>
      </c>
      <c r="F17" s="199">
        <f t="shared" si="0"/>
        <v>21368000</v>
      </c>
      <c r="G17" s="199">
        <f t="shared" si="0"/>
        <v>25826200</v>
      </c>
      <c r="H17" s="199">
        <f t="shared" si="0"/>
        <v>12404400</v>
      </c>
      <c r="I17" s="199">
        <f t="shared" si="0"/>
        <v>59598600</v>
      </c>
    </row>
    <row r="18" spans="1:11" x14ac:dyDescent="0.45">
      <c r="A18" s="21"/>
      <c r="B18" s="198"/>
      <c r="C18" s="75"/>
      <c r="D18" s="199"/>
      <c r="E18" s="199"/>
      <c r="F18" s="199"/>
      <c r="G18" s="199"/>
      <c r="H18" s="199"/>
      <c r="I18" s="199"/>
    </row>
    <row r="19" spans="1:11" x14ac:dyDescent="0.45">
      <c r="A19" s="21"/>
      <c r="B19" s="198" t="s">
        <v>224</v>
      </c>
      <c r="C19" s="75" t="s">
        <v>226</v>
      </c>
      <c r="D19" s="205">
        <v>5</v>
      </c>
      <c r="E19" s="205">
        <f>563000+578000</f>
        <v>1141000</v>
      </c>
      <c r="F19" s="199"/>
      <c r="G19" s="199"/>
      <c r="H19" s="199"/>
    </row>
    <row r="20" spans="1:11" x14ac:dyDescent="0.45">
      <c r="A20" s="21"/>
      <c r="B20" s="198"/>
      <c r="C20" s="75"/>
      <c r="D20" s="199"/>
      <c r="E20" s="199"/>
      <c r="F20" s="199"/>
      <c r="G20" s="199"/>
      <c r="H20" s="199"/>
    </row>
    <row r="21" spans="1:11" x14ac:dyDescent="0.45">
      <c r="A21" s="21"/>
      <c r="B21" s="198" t="s">
        <v>12</v>
      </c>
      <c r="C21" s="75"/>
      <c r="D21" s="199">
        <f>D17+D19</f>
        <v>12687</v>
      </c>
      <c r="E21" s="199">
        <f>E17+E19</f>
        <v>60739600</v>
      </c>
      <c r="F21" s="199"/>
      <c r="G21" s="199"/>
      <c r="H21" s="199"/>
    </row>
    <row r="22" spans="1:11" x14ac:dyDescent="0.45">
      <c r="A22" s="21"/>
      <c r="B22" s="1"/>
      <c r="C22" s="1"/>
      <c r="D22" s="1"/>
      <c r="E22" s="1"/>
      <c r="F22" s="1"/>
      <c r="G22" s="1"/>
      <c r="H22" s="7"/>
      <c r="I22" s="1"/>
      <c r="J22" s="1"/>
      <c r="K22" s="1"/>
    </row>
    <row r="23" spans="1:11" x14ac:dyDescent="0.45">
      <c r="A23" s="247" t="s">
        <v>195</v>
      </c>
      <c r="B23" s="1"/>
      <c r="C23" s="1"/>
      <c r="D23" s="1"/>
      <c r="E23" s="1"/>
      <c r="F23" s="1"/>
      <c r="G23" s="1"/>
      <c r="H23" s="7"/>
      <c r="I23" s="1"/>
      <c r="J23" s="1"/>
      <c r="K23" s="1"/>
    </row>
    <row r="24" spans="1:11" x14ac:dyDescent="0.45">
      <c r="A24" s="21"/>
      <c r="B24" s="1"/>
      <c r="C24" s="229" t="s">
        <v>193</v>
      </c>
      <c r="D24" s="229" t="s">
        <v>194</v>
      </c>
      <c r="E24" s="229" t="s">
        <v>13</v>
      </c>
      <c r="F24" s="229" t="s">
        <v>196</v>
      </c>
      <c r="G24" s="231" t="s">
        <v>190</v>
      </c>
      <c r="H24" s="7"/>
      <c r="I24" s="1"/>
      <c r="J24" s="1"/>
      <c r="K24" s="1"/>
    </row>
    <row r="25" spans="1:11" x14ac:dyDescent="0.45">
      <c r="A25" s="21"/>
      <c r="B25" s="198" t="str">
        <f>B14</f>
        <v>First</v>
      </c>
      <c r="C25" s="75">
        <f>C14</f>
        <v>2000</v>
      </c>
      <c r="D25" s="2">
        <f>D17</f>
        <v>12682</v>
      </c>
      <c r="E25" s="2">
        <f>F17</f>
        <v>21368000</v>
      </c>
      <c r="F25" s="201">
        <f>Rates!D10</f>
        <v>44.6</v>
      </c>
      <c r="G25" s="202">
        <f>ROUND(D25*F25,2)</f>
        <v>565617.19999999995</v>
      </c>
      <c r="H25" s="7"/>
      <c r="I25" s="157"/>
      <c r="J25" s="1"/>
      <c r="K25" s="1"/>
    </row>
    <row r="26" spans="1:11" x14ac:dyDescent="0.45">
      <c r="A26" s="21"/>
      <c r="B26" s="198" t="str">
        <f>B15</f>
        <v>Next</v>
      </c>
      <c r="C26" s="75">
        <f>C15</f>
        <v>8000</v>
      </c>
      <c r="D26" s="2"/>
      <c r="E26" s="2">
        <f>G17</f>
        <v>25826200</v>
      </c>
      <c r="F26" s="201">
        <f>Rates!D11</f>
        <v>6.48</v>
      </c>
      <c r="G26" s="202">
        <f>ROUND((E26/1000)*F26,2)</f>
        <v>167353.78</v>
      </c>
      <c r="H26" s="7"/>
      <c r="I26" s="157"/>
      <c r="J26" s="1"/>
      <c r="K26" s="1"/>
    </row>
    <row r="27" spans="1:11" x14ac:dyDescent="0.45">
      <c r="A27" s="21"/>
      <c r="B27" s="198" t="str">
        <f t="shared" ref="B27:C27" si="1">B16</f>
        <v>Over</v>
      </c>
      <c r="C27" s="75">
        <f t="shared" si="1"/>
        <v>10000</v>
      </c>
      <c r="D27" s="30"/>
      <c r="E27" s="30">
        <f>H17</f>
        <v>12404400</v>
      </c>
      <c r="F27" s="201">
        <f>Rates!D12</f>
        <v>5.68</v>
      </c>
      <c r="G27" s="230">
        <f>ROUND((E27/1000)*F27,2)</f>
        <v>70456.990000000005</v>
      </c>
      <c r="H27" s="7"/>
      <c r="I27" s="157"/>
      <c r="J27" s="1"/>
      <c r="K27" s="1"/>
    </row>
    <row r="28" spans="1:11" x14ac:dyDescent="0.45">
      <c r="A28" s="21"/>
      <c r="B28" s="198" t="s">
        <v>225</v>
      </c>
      <c r="C28" s="75"/>
      <c r="D28" s="199">
        <f>SUM(D25:D27)</f>
        <v>12682</v>
      </c>
      <c r="E28" s="199">
        <f>SUM(E25:E27)</f>
        <v>59598600</v>
      </c>
      <c r="F28" s="199"/>
      <c r="G28" s="245">
        <f>SUM(G25:G27)</f>
        <v>803427.97</v>
      </c>
      <c r="H28" s="7"/>
      <c r="I28" s="157"/>
      <c r="J28" s="1"/>
      <c r="K28" s="1"/>
    </row>
    <row r="30" spans="1:11" x14ac:dyDescent="0.45">
      <c r="B30" s="198" t="s">
        <v>224</v>
      </c>
      <c r="C30" s="75" t="s">
        <v>226</v>
      </c>
      <c r="D30" s="205">
        <v>15</v>
      </c>
      <c r="E30" s="205">
        <f>600+2300+6700+9900+10400+17100+29800+48400+72200+83000+88600+111000+217100</f>
        <v>697100</v>
      </c>
      <c r="F30" s="248">
        <f>Rates!D14</f>
        <v>6.83</v>
      </c>
      <c r="G30" s="230">
        <f>ROUND((E30/1000)*F30,2)</f>
        <v>4761.1899999999996</v>
      </c>
    </row>
    <row r="31" spans="1:11" x14ac:dyDescent="0.4">
      <c r="B31" s="198"/>
      <c r="C31" s="75"/>
      <c r="D31" s="199"/>
      <c r="E31" s="199"/>
    </row>
    <row r="32" spans="1:11" x14ac:dyDescent="0.4">
      <c r="B32" s="198" t="s">
        <v>12</v>
      </c>
      <c r="C32" s="75"/>
      <c r="D32" s="199">
        <f>D28+D30</f>
        <v>12697</v>
      </c>
      <c r="E32" s="199">
        <f>E28+E30</f>
        <v>60295700</v>
      </c>
      <c r="G32" s="249">
        <f>G28+G30</f>
        <v>808189.15999999992</v>
      </c>
    </row>
  </sheetData>
  <mergeCells count="9">
    <mergeCell ref="D8:E8"/>
    <mergeCell ref="D10:E10"/>
    <mergeCell ref="F1:H1"/>
    <mergeCell ref="D2:E2"/>
    <mergeCell ref="D3:E3"/>
    <mergeCell ref="D4:E4"/>
    <mergeCell ref="D5:E5"/>
    <mergeCell ref="D6:E6"/>
    <mergeCell ref="D7:E7"/>
  </mergeCells>
  <printOptions horizontalCentered="1" verticalCentered="1"/>
  <pageMargins left="0.45" right="0.45" top="0.5" bottom="0.5" header="0.3" footer="0.3"/>
  <pageSetup scale="86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225FF-703B-4D92-B115-1B1CE596ACF8}">
  <sheetPr>
    <tabColor rgb="FF92D050"/>
    <pageSetUpPr fitToPage="1"/>
  </sheetPr>
  <dimension ref="A1:L32"/>
  <sheetViews>
    <sheetView workbookViewId="0">
      <selection activeCell="D2" sqref="D2:E2"/>
    </sheetView>
  </sheetViews>
  <sheetFormatPr defaultRowHeight="14.25" x14ac:dyDescent="0.4"/>
  <cols>
    <col min="1" max="1" width="8.88671875" style="228"/>
    <col min="2" max="2" width="11.609375" style="144" bestFit="1" customWidth="1"/>
    <col min="3" max="3" width="9.27734375" style="144" bestFit="1" customWidth="1"/>
    <col min="4" max="4" width="7.609375" style="144" bestFit="1" customWidth="1"/>
    <col min="5" max="5" width="20.44140625" style="144" bestFit="1" customWidth="1"/>
    <col min="6" max="9" width="11.38671875" style="144" bestFit="1" customWidth="1"/>
    <col min="10" max="10" width="10.44140625" style="144" bestFit="1" customWidth="1"/>
    <col min="11" max="11" width="11.38671875" style="144" bestFit="1" customWidth="1"/>
    <col min="12" max="16384" width="8.88671875" style="144"/>
  </cols>
  <sheetData>
    <row r="1" spans="1:12" x14ac:dyDescent="0.45">
      <c r="A1" s="21"/>
      <c r="B1" s="1"/>
      <c r="C1" s="1"/>
      <c r="D1" s="238">
        <v>2022</v>
      </c>
      <c r="E1" s="238" t="s">
        <v>219</v>
      </c>
      <c r="F1" s="302" t="s">
        <v>220</v>
      </c>
      <c r="G1" s="302"/>
      <c r="H1" s="302"/>
      <c r="I1" s="1"/>
      <c r="J1" s="1"/>
      <c r="K1" s="1"/>
    </row>
    <row r="2" spans="1:12" x14ac:dyDescent="0.45">
      <c r="A2" s="21"/>
      <c r="B2" s="1"/>
      <c r="C2" s="1"/>
      <c r="D2" s="300"/>
      <c r="E2" s="300"/>
      <c r="F2" s="198"/>
      <c r="G2" s="198"/>
      <c r="H2" s="55"/>
      <c r="I2" s="1"/>
      <c r="J2" s="1"/>
      <c r="K2" s="1"/>
    </row>
    <row r="3" spans="1:12" x14ac:dyDescent="0.45">
      <c r="A3" s="21"/>
      <c r="B3" s="1"/>
      <c r="C3" s="1"/>
      <c r="D3" s="303" t="s">
        <v>187</v>
      </c>
      <c r="E3" s="303"/>
      <c r="F3" s="197" t="s">
        <v>188</v>
      </c>
      <c r="G3" s="197" t="s">
        <v>189</v>
      </c>
      <c r="H3" s="200" t="s">
        <v>190</v>
      </c>
      <c r="I3" s="1"/>
      <c r="J3" s="1"/>
      <c r="K3" s="1"/>
    </row>
    <row r="4" spans="1:12" x14ac:dyDescent="0.45">
      <c r="A4" s="21"/>
      <c r="B4" s="1"/>
      <c r="C4" s="1"/>
      <c r="D4" s="304" t="s">
        <v>217</v>
      </c>
      <c r="E4" s="304"/>
      <c r="F4" s="199">
        <f>D32</f>
        <v>12687</v>
      </c>
      <c r="G4" s="199">
        <f>E32</f>
        <v>60739600</v>
      </c>
      <c r="H4" s="203">
        <f>G32</f>
        <v>1030702.22</v>
      </c>
      <c r="I4" s="1"/>
      <c r="J4" s="1"/>
      <c r="K4" s="1"/>
    </row>
    <row r="5" spans="1:12" x14ac:dyDescent="0.45">
      <c r="A5" s="21"/>
      <c r="B5" s="1"/>
      <c r="C5" s="1"/>
      <c r="D5" s="300" t="s">
        <v>197</v>
      </c>
      <c r="E5" s="300"/>
      <c r="F5" s="198"/>
      <c r="G5" s="198"/>
      <c r="H5" s="232">
        <f>ExBA!H5</f>
        <v>-28031.520000000004</v>
      </c>
      <c r="I5" s="1"/>
      <c r="J5" s="1"/>
      <c r="K5" s="1"/>
    </row>
    <row r="6" spans="1:12" x14ac:dyDescent="0.45">
      <c r="A6" s="21"/>
      <c r="B6" s="1"/>
      <c r="C6" s="1"/>
      <c r="D6" s="300" t="s">
        <v>218</v>
      </c>
      <c r="E6" s="300"/>
      <c r="F6" s="198"/>
      <c r="G6" s="198"/>
      <c r="H6" s="204">
        <f>H4+H5</f>
        <v>1002670.7</v>
      </c>
      <c r="I6" s="1"/>
      <c r="J6" s="1"/>
      <c r="K6" s="1"/>
    </row>
    <row r="7" spans="1:12" x14ac:dyDescent="0.45">
      <c r="A7" s="21"/>
      <c r="B7" s="1"/>
      <c r="C7" s="1"/>
      <c r="D7" s="300" t="s">
        <v>207</v>
      </c>
      <c r="E7" s="300"/>
      <c r="F7" s="198"/>
      <c r="G7" s="198"/>
      <c r="H7" s="210">
        <f>SAO!G51</f>
        <v>991250.89053222223</v>
      </c>
      <c r="I7" s="1"/>
      <c r="J7" s="1"/>
      <c r="K7" s="1"/>
    </row>
    <row r="8" spans="1:12" x14ac:dyDescent="0.45">
      <c r="A8" s="21"/>
      <c r="B8" s="1"/>
      <c r="C8" s="1"/>
      <c r="D8" s="300" t="s">
        <v>60</v>
      </c>
      <c r="E8" s="300"/>
      <c r="F8" s="198"/>
      <c r="G8" s="198"/>
      <c r="H8" s="204">
        <f>H6-H7</f>
        <v>11419.809467777726</v>
      </c>
      <c r="I8" s="1"/>
      <c r="J8" s="1"/>
      <c r="K8" s="1"/>
      <c r="L8" s="208"/>
    </row>
    <row r="9" spans="1:12" x14ac:dyDescent="0.45">
      <c r="A9" s="21"/>
      <c r="B9" s="1"/>
      <c r="C9" s="1"/>
      <c r="D9" s="198"/>
      <c r="E9" s="198"/>
      <c r="F9" s="198"/>
      <c r="G9" s="198"/>
      <c r="H9" s="250">
        <f>H8/H7</f>
        <v>1.152060449766275E-2</v>
      </c>
      <c r="I9" s="1"/>
      <c r="J9" s="1"/>
      <c r="K9" s="1"/>
      <c r="L9" s="208"/>
    </row>
    <row r="10" spans="1:12" x14ac:dyDescent="0.45">
      <c r="A10" s="21"/>
      <c r="B10" s="1"/>
      <c r="C10" s="1"/>
      <c r="D10" s="301"/>
      <c r="E10" s="301"/>
      <c r="F10" s="1"/>
      <c r="G10" s="1"/>
      <c r="H10" s="7"/>
      <c r="I10" s="1"/>
      <c r="J10" s="1"/>
      <c r="K10" s="1"/>
    </row>
    <row r="11" spans="1:12" x14ac:dyDescent="0.45">
      <c r="A11" s="247" t="s">
        <v>206</v>
      </c>
      <c r="B11" s="1"/>
      <c r="C11" s="1"/>
      <c r="D11" s="1"/>
      <c r="E11" s="1"/>
      <c r="F11" s="1"/>
      <c r="G11" s="1"/>
      <c r="H11" s="7"/>
      <c r="I11" s="1"/>
      <c r="J11" s="1"/>
      <c r="K11" s="1"/>
    </row>
    <row r="12" spans="1:12" x14ac:dyDescent="0.45">
      <c r="A12" s="21"/>
      <c r="B12" s="198"/>
      <c r="C12" s="242"/>
      <c r="D12" s="242"/>
      <c r="E12" s="242"/>
      <c r="F12" s="242" t="str">
        <f>B14</f>
        <v>First</v>
      </c>
      <c r="G12" s="242" t="str">
        <f>B15</f>
        <v>Next</v>
      </c>
      <c r="H12" s="242" t="str">
        <f>B16</f>
        <v>Over</v>
      </c>
      <c r="I12" s="242" t="s">
        <v>12</v>
      </c>
    </row>
    <row r="13" spans="1:12" x14ac:dyDescent="0.45">
      <c r="A13" s="21"/>
      <c r="B13" s="198"/>
      <c r="C13" s="243" t="s">
        <v>193</v>
      </c>
      <c r="D13" s="243" t="s">
        <v>194</v>
      </c>
      <c r="E13" s="243" t="s">
        <v>13</v>
      </c>
      <c r="F13" s="244">
        <f>C14</f>
        <v>2000</v>
      </c>
      <c r="G13" s="244">
        <f>C15</f>
        <v>8000</v>
      </c>
      <c r="H13" s="244">
        <f>C16</f>
        <v>10000</v>
      </c>
      <c r="I13" s="243"/>
    </row>
    <row r="14" spans="1:12" x14ac:dyDescent="0.45">
      <c r="A14" s="21"/>
      <c r="B14" s="198" t="s">
        <v>191</v>
      </c>
      <c r="C14" s="75">
        <v>2000</v>
      </c>
      <c r="D14" s="199">
        <f>ExBA!D14</f>
        <v>3960</v>
      </c>
      <c r="E14" s="199">
        <f>ExBA!E14</f>
        <v>3924000</v>
      </c>
      <c r="F14" s="199">
        <f>E14</f>
        <v>3924000</v>
      </c>
      <c r="G14" s="199">
        <v>0</v>
      </c>
      <c r="H14" s="199">
        <v>0</v>
      </c>
      <c r="I14" s="199">
        <f>SUM(F14:H14)</f>
        <v>3924000</v>
      </c>
    </row>
    <row r="15" spans="1:12" x14ac:dyDescent="0.45">
      <c r="A15" s="21"/>
      <c r="B15" s="198" t="s">
        <v>216</v>
      </c>
      <c r="C15" s="75">
        <v>8000</v>
      </c>
      <c r="D15" s="199">
        <f>ExBA!D15</f>
        <v>7582</v>
      </c>
      <c r="E15" s="199">
        <f>ExBA!E15</f>
        <v>31870200</v>
      </c>
      <c r="F15" s="199">
        <f>D15*C14</f>
        <v>15164000</v>
      </c>
      <c r="G15" s="199">
        <f>E15-F15</f>
        <v>16706200</v>
      </c>
      <c r="H15" s="199">
        <v>0</v>
      </c>
      <c r="I15" s="199">
        <f>SUM(F15:H15)</f>
        <v>31870200</v>
      </c>
    </row>
    <row r="16" spans="1:12" x14ac:dyDescent="0.45">
      <c r="A16" s="21"/>
      <c r="B16" s="198" t="s">
        <v>192</v>
      </c>
      <c r="C16" s="75">
        <v>10000</v>
      </c>
      <c r="D16" s="205">
        <f>ExBA!D16</f>
        <v>1140</v>
      </c>
      <c r="E16" s="205">
        <f>ExBA!E16</f>
        <v>23804400</v>
      </c>
      <c r="F16" s="205">
        <f>D16*C14</f>
        <v>2280000</v>
      </c>
      <c r="G16" s="205">
        <f>D16*C15</f>
        <v>9120000</v>
      </c>
      <c r="H16" s="205">
        <f>E16-F16-G16</f>
        <v>12404400</v>
      </c>
      <c r="I16" s="205">
        <f>SUM(F16:H16)</f>
        <v>23804400</v>
      </c>
    </row>
    <row r="17" spans="1:11" x14ac:dyDescent="0.45">
      <c r="A17" s="21"/>
      <c r="B17" s="198" t="s">
        <v>225</v>
      </c>
      <c r="C17" s="75"/>
      <c r="D17" s="199">
        <f t="shared" ref="D17:I17" si="0">SUM(D14:D16)</f>
        <v>12682</v>
      </c>
      <c r="E17" s="199">
        <f t="shared" si="0"/>
        <v>59598600</v>
      </c>
      <c r="F17" s="199">
        <f t="shared" si="0"/>
        <v>21368000</v>
      </c>
      <c r="G17" s="199">
        <f t="shared" si="0"/>
        <v>25826200</v>
      </c>
      <c r="H17" s="199">
        <f t="shared" si="0"/>
        <v>12404400</v>
      </c>
      <c r="I17" s="199">
        <f t="shared" si="0"/>
        <v>59598600</v>
      </c>
    </row>
    <row r="18" spans="1:11" x14ac:dyDescent="0.45">
      <c r="A18" s="21"/>
      <c r="B18" s="198"/>
      <c r="C18" s="75"/>
      <c r="D18" s="199"/>
      <c r="E18" s="199"/>
      <c r="F18" s="199"/>
      <c r="G18" s="199"/>
      <c r="H18" s="199"/>
      <c r="I18" s="199"/>
    </row>
    <row r="19" spans="1:11" x14ac:dyDescent="0.45">
      <c r="A19" s="21"/>
      <c r="B19" s="198" t="s">
        <v>224</v>
      </c>
      <c r="C19" s="75" t="s">
        <v>226</v>
      </c>
      <c r="D19" s="205">
        <f>ExBA!D19</f>
        <v>5</v>
      </c>
      <c r="E19" s="205">
        <f>ExBA!E19</f>
        <v>1141000</v>
      </c>
      <c r="F19" s="199"/>
      <c r="G19" s="199"/>
      <c r="H19" s="199"/>
    </row>
    <row r="20" spans="1:11" x14ac:dyDescent="0.45">
      <c r="A20" s="21"/>
      <c r="B20" s="198"/>
      <c r="C20" s="75"/>
      <c r="D20" s="199"/>
      <c r="E20" s="199"/>
      <c r="F20" s="199"/>
      <c r="G20" s="199"/>
      <c r="H20" s="199"/>
    </row>
    <row r="21" spans="1:11" x14ac:dyDescent="0.45">
      <c r="A21" s="21"/>
      <c r="B21" s="198" t="s">
        <v>12</v>
      </c>
      <c r="C21" s="75"/>
      <c r="D21" s="199">
        <f>D17+D19</f>
        <v>12687</v>
      </c>
      <c r="E21" s="199">
        <f>E17+E19</f>
        <v>60739600</v>
      </c>
      <c r="F21" s="199"/>
      <c r="G21" s="199"/>
      <c r="H21" s="199"/>
    </row>
    <row r="22" spans="1:11" x14ac:dyDescent="0.45">
      <c r="A22" s="21"/>
      <c r="B22" s="1"/>
      <c r="C22" s="1"/>
      <c r="D22" s="1"/>
      <c r="E22" s="1"/>
      <c r="F22" s="1"/>
      <c r="G22" s="1"/>
      <c r="H22" s="7"/>
      <c r="I22" s="1"/>
      <c r="J22" s="1"/>
      <c r="K22" s="1"/>
    </row>
    <row r="23" spans="1:11" x14ac:dyDescent="0.45">
      <c r="A23" s="247" t="s">
        <v>195</v>
      </c>
      <c r="B23" s="1"/>
      <c r="C23" s="1"/>
      <c r="D23" s="1"/>
      <c r="E23" s="1"/>
      <c r="F23" s="1"/>
      <c r="G23" s="1"/>
      <c r="H23" s="7"/>
      <c r="I23" s="1"/>
      <c r="J23" s="1"/>
      <c r="K23" s="1"/>
    </row>
    <row r="24" spans="1:11" x14ac:dyDescent="0.45">
      <c r="A24" s="21"/>
      <c r="B24" s="1"/>
      <c r="C24" s="229" t="s">
        <v>193</v>
      </c>
      <c r="D24" s="229" t="s">
        <v>194</v>
      </c>
      <c r="E24" s="229" t="s">
        <v>13</v>
      </c>
      <c r="F24" s="229" t="s">
        <v>196</v>
      </c>
      <c r="G24" s="231" t="s">
        <v>190</v>
      </c>
      <c r="H24" s="7"/>
      <c r="I24" s="1"/>
      <c r="J24" s="1"/>
      <c r="K24" s="1"/>
    </row>
    <row r="25" spans="1:11" x14ac:dyDescent="0.45">
      <c r="A25" s="21"/>
      <c r="B25" s="198" t="str">
        <f>B14</f>
        <v>First</v>
      </c>
      <c r="C25" s="75">
        <f>C14</f>
        <v>2000</v>
      </c>
      <c r="D25" s="2">
        <f>D17</f>
        <v>12682</v>
      </c>
      <c r="E25" s="2">
        <f>F17</f>
        <v>21368000</v>
      </c>
      <c r="F25" s="201">
        <f>Rates!F10</f>
        <v>56.67</v>
      </c>
      <c r="G25" s="202">
        <f>ROUND(D25*F25,2)</f>
        <v>718688.94</v>
      </c>
      <c r="H25" s="7"/>
      <c r="I25" s="157"/>
      <c r="J25" s="1"/>
      <c r="K25" s="1"/>
    </row>
    <row r="26" spans="1:11" x14ac:dyDescent="0.45">
      <c r="A26" s="21"/>
      <c r="B26" s="198" t="str">
        <f>B15</f>
        <v>Next</v>
      </c>
      <c r="C26" s="75">
        <f>C15</f>
        <v>8000</v>
      </c>
      <c r="D26" s="2"/>
      <c r="E26" s="2">
        <f>G17</f>
        <v>25826200</v>
      </c>
      <c r="F26" s="201">
        <f>Rates!F11</f>
        <v>8.23</v>
      </c>
      <c r="G26" s="202">
        <f>ROUND((E26/1000)*F26,2)</f>
        <v>212549.63</v>
      </c>
      <c r="H26" s="7"/>
      <c r="I26" s="157"/>
      <c r="J26" s="1"/>
      <c r="K26" s="1"/>
    </row>
    <row r="27" spans="1:11" x14ac:dyDescent="0.45">
      <c r="A27" s="21"/>
      <c r="B27" s="198" t="str">
        <f t="shared" ref="B27:C27" si="1">B16</f>
        <v>Over</v>
      </c>
      <c r="C27" s="75">
        <f t="shared" si="1"/>
        <v>10000</v>
      </c>
      <c r="D27" s="30"/>
      <c r="E27" s="30">
        <f>H17</f>
        <v>12404400</v>
      </c>
      <c r="F27" s="201">
        <f>Rates!F12</f>
        <v>7.22</v>
      </c>
      <c r="G27" s="230">
        <f>ROUND((E27/1000)*F27,2)</f>
        <v>89559.77</v>
      </c>
      <c r="H27" s="7"/>
      <c r="I27" s="157"/>
      <c r="J27" s="1"/>
      <c r="K27" s="1"/>
    </row>
    <row r="28" spans="1:11" x14ac:dyDescent="0.45">
      <c r="A28" s="21"/>
      <c r="B28" s="198" t="s">
        <v>225</v>
      </c>
      <c r="C28" s="75"/>
      <c r="D28" s="199">
        <f>SUM(D25:D27)</f>
        <v>12682</v>
      </c>
      <c r="E28" s="199">
        <f>SUM(E25:E27)</f>
        <v>59598600</v>
      </c>
      <c r="F28" s="199"/>
      <c r="G28" s="245">
        <f>SUM(G25:G27)</f>
        <v>1020798.34</v>
      </c>
      <c r="H28" s="7"/>
      <c r="I28" s="251"/>
      <c r="J28" s="1"/>
      <c r="K28" s="1"/>
    </row>
    <row r="30" spans="1:11" x14ac:dyDescent="0.45">
      <c r="B30" s="198" t="s">
        <v>224</v>
      </c>
      <c r="C30" s="75" t="s">
        <v>226</v>
      </c>
      <c r="D30" s="205">
        <f>+D19</f>
        <v>5</v>
      </c>
      <c r="E30" s="205">
        <f>E19</f>
        <v>1141000</v>
      </c>
      <c r="F30" s="248">
        <f>Rates!F14</f>
        <v>8.68</v>
      </c>
      <c r="G30" s="230">
        <f>ROUND((E30/1000)*F30,2)</f>
        <v>9903.8799999999992</v>
      </c>
    </row>
    <row r="31" spans="1:11" x14ac:dyDescent="0.4">
      <c r="B31" s="198"/>
      <c r="C31" s="75"/>
      <c r="D31" s="199"/>
      <c r="E31" s="199"/>
    </row>
    <row r="32" spans="1:11" x14ac:dyDescent="0.4">
      <c r="B32" s="198" t="s">
        <v>12</v>
      </c>
      <c r="C32" s="75"/>
      <c r="D32" s="199">
        <f>D28+D30</f>
        <v>12687</v>
      </c>
      <c r="E32" s="199">
        <f>E28+E30</f>
        <v>60739600</v>
      </c>
      <c r="G32" s="249">
        <f>G28+G30</f>
        <v>1030702.22</v>
      </c>
    </row>
  </sheetData>
  <mergeCells count="9">
    <mergeCell ref="D7:E7"/>
    <mergeCell ref="D8:E8"/>
    <mergeCell ref="D10:E10"/>
    <mergeCell ref="F1:H1"/>
    <mergeCell ref="D2:E2"/>
    <mergeCell ref="D3:E3"/>
    <mergeCell ref="D4:E4"/>
    <mergeCell ref="D5:E5"/>
    <mergeCell ref="D6:E6"/>
  </mergeCells>
  <printOptions horizontalCentered="1" verticalCentered="1"/>
  <pageMargins left="0.45" right="0.45" top="0.5" bottom="0.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7A01C-7852-4E95-BD91-257134D74ABD}">
  <sheetPr>
    <tabColor rgb="FF92D050"/>
  </sheetPr>
  <dimension ref="A1:H29"/>
  <sheetViews>
    <sheetView topLeftCell="A6" workbookViewId="0">
      <selection activeCell="B8" sqref="B8"/>
    </sheetView>
  </sheetViews>
  <sheetFormatPr defaultRowHeight="14.25" x14ac:dyDescent="0.45"/>
  <cols>
    <col min="1" max="1" width="20.609375" style="1" customWidth="1"/>
    <col min="2" max="7" width="12.609375" style="15" customWidth="1"/>
    <col min="8" max="8" width="8.88671875" style="22"/>
    <col min="9" max="16384" width="8.88671875" style="1"/>
  </cols>
  <sheetData>
    <row r="1" spans="1:8" x14ac:dyDescent="0.45">
      <c r="A1" s="1" t="s">
        <v>70</v>
      </c>
    </row>
    <row r="2" spans="1:8" x14ac:dyDescent="0.45">
      <c r="B2" s="147"/>
      <c r="C2" s="147"/>
      <c r="D2" s="147"/>
      <c r="E2" s="147"/>
      <c r="F2" s="147"/>
      <c r="G2" s="147" t="s">
        <v>12</v>
      </c>
    </row>
    <row r="3" spans="1:8" x14ac:dyDescent="0.45">
      <c r="B3" s="147" t="s">
        <v>71</v>
      </c>
      <c r="C3" s="147" t="s">
        <v>71</v>
      </c>
      <c r="D3" s="147" t="s">
        <v>72</v>
      </c>
      <c r="E3" s="147" t="s">
        <v>71</v>
      </c>
      <c r="F3" s="147" t="s">
        <v>71</v>
      </c>
      <c r="G3" s="147" t="s">
        <v>71</v>
      </c>
      <c r="H3" s="22" t="s">
        <v>173</v>
      </c>
    </row>
    <row r="4" spans="1:8" x14ac:dyDescent="0.45">
      <c r="A4" s="1" t="s">
        <v>73</v>
      </c>
      <c r="B4" s="147" t="s">
        <v>74</v>
      </c>
      <c r="C4" s="147" t="s">
        <v>75</v>
      </c>
      <c r="D4" s="147" t="s">
        <v>76</v>
      </c>
      <c r="E4" s="147" t="s">
        <v>77</v>
      </c>
      <c r="F4" s="147" t="s">
        <v>78</v>
      </c>
      <c r="G4" s="147" t="s">
        <v>79</v>
      </c>
      <c r="H4" s="22" t="s">
        <v>174</v>
      </c>
    </row>
    <row r="5" spans="1:8" x14ac:dyDescent="0.45">
      <c r="A5" s="1" t="s">
        <v>250</v>
      </c>
      <c r="B5" s="257">
        <f>72+1977+160+209</f>
        <v>2418</v>
      </c>
      <c r="C5" s="257">
        <v>881</v>
      </c>
      <c r="D5" s="257">
        <v>25</v>
      </c>
      <c r="E5" s="15">
        <f>B5*D5</f>
        <v>60450</v>
      </c>
      <c r="F5" s="15">
        <f>C5*D5*1.5</f>
        <v>33037.5</v>
      </c>
      <c r="G5" s="15">
        <f>E5+F5</f>
        <v>93487.5</v>
      </c>
      <c r="H5" s="22" t="s">
        <v>208</v>
      </c>
    </row>
    <row r="6" spans="1:8" x14ac:dyDescent="0.45">
      <c r="A6" s="1" t="s">
        <v>251</v>
      </c>
      <c r="B6" s="257">
        <f>72+1953+199+192</f>
        <v>2416</v>
      </c>
      <c r="C6" s="257">
        <v>1280</v>
      </c>
      <c r="D6" s="257">
        <v>30</v>
      </c>
      <c r="E6" s="15">
        <f t="shared" ref="E6:E7" si="0">B6*D6</f>
        <v>72480</v>
      </c>
      <c r="F6" s="15">
        <f t="shared" ref="F6:F7" si="1">C6*D6*1.5</f>
        <v>57600</v>
      </c>
      <c r="G6" s="15">
        <f t="shared" ref="G6:G7" si="2">E6+F6</f>
        <v>130080</v>
      </c>
      <c r="H6" s="22" t="s">
        <v>208</v>
      </c>
    </row>
    <row r="7" spans="1:8" x14ac:dyDescent="0.45">
      <c r="A7" s="1" t="s">
        <v>252</v>
      </c>
      <c r="B7" s="218">
        <f>72+1838+64+105</f>
        <v>2079</v>
      </c>
      <c r="C7" s="218">
        <v>7</v>
      </c>
      <c r="D7" s="155">
        <v>15</v>
      </c>
      <c r="E7" s="39">
        <f t="shared" si="0"/>
        <v>31185</v>
      </c>
      <c r="F7" s="39">
        <f t="shared" si="1"/>
        <v>157.5</v>
      </c>
      <c r="G7" s="39">
        <f t="shared" si="2"/>
        <v>31342.5</v>
      </c>
      <c r="H7" s="22" t="s">
        <v>208</v>
      </c>
    </row>
    <row r="8" spans="1:8" x14ac:dyDescent="0.45">
      <c r="B8" s="15">
        <f>SUM(B5:B7)</f>
        <v>6913</v>
      </c>
      <c r="C8" s="15">
        <f>SUM(C5:C7)</f>
        <v>2168</v>
      </c>
      <c r="E8" s="15">
        <f>SUM(E5:E7)</f>
        <v>164115</v>
      </c>
      <c r="F8" s="15">
        <f>SUM(F5:F7)</f>
        <v>90795</v>
      </c>
      <c r="G8" s="15">
        <f>SUM(G5:G7)</f>
        <v>254910</v>
      </c>
    </row>
    <row r="10" spans="1:8" x14ac:dyDescent="0.45">
      <c r="A10" s="1" t="s">
        <v>153</v>
      </c>
      <c r="G10" s="15">
        <f>G8</f>
        <v>254910</v>
      </c>
    </row>
    <row r="12" spans="1:8" x14ac:dyDescent="0.45">
      <c r="A12" s="1" t="s">
        <v>154</v>
      </c>
      <c r="G12" s="15">
        <v>0</v>
      </c>
    </row>
    <row r="14" spans="1:8" x14ac:dyDescent="0.45">
      <c r="G14" s="147" t="s">
        <v>30</v>
      </c>
    </row>
    <row r="15" spans="1:8" x14ac:dyDescent="0.45">
      <c r="D15" s="15" t="s">
        <v>80</v>
      </c>
      <c r="G15" s="15">
        <f>G10</f>
        <v>254910</v>
      </c>
    </row>
    <row r="16" spans="1:8" x14ac:dyDescent="0.45">
      <c r="D16" s="15" t="s">
        <v>81</v>
      </c>
      <c r="G16" s="218">
        <f>-SAO!D17</f>
        <v>-253468</v>
      </c>
    </row>
    <row r="17" spans="4:7" x14ac:dyDescent="0.45">
      <c r="D17" s="15" t="s">
        <v>82</v>
      </c>
      <c r="G17" s="15">
        <f>G15+G16</f>
        <v>1442</v>
      </c>
    </row>
    <row r="18" spans="4:7" x14ac:dyDescent="0.45">
      <c r="G18" s="15" t="s">
        <v>83</v>
      </c>
    </row>
    <row r="19" spans="4:7" x14ac:dyDescent="0.45">
      <c r="D19" s="15" t="s">
        <v>84</v>
      </c>
      <c r="G19" s="15">
        <f>G10</f>
        <v>254910</v>
      </c>
    </row>
    <row r="20" spans="4:7" x14ac:dyDescent="0.45">
      <c r="D20" s="15" t="s">
        <v>85</v>
      </c>
      <c r="G20" s="148">
        <v>7.6499999999999999E-2</v>
      </c>
    </row>
    <row r="21" spans="4:7" x14ac:dyDescent="0.45">
      <c r="D21" s="15" t="s">
        <v>86</v>
      </c>
      <c r="G21" s="15">
        <f>G19*G20</f>
        <v>19500.614999999998</v>
      </c>
    </row>
    <row r="22" spans="4:7" x14ac:dyDescent="0.45">
      <c r="D22" s="15" t="s">
        <v>87</v>
      </c>
      <c r="G22" s="218">
        <f>-SAO!D38</f>
        <v>-19762</v>
      </c>
    </row>
    <row r="23" spans="4:7" x14ac:dyDescent="0.45">
      <c r="D23" s="15" t="s">
        <v>88</v>
      </c>
      <c r="G23" s="15">
        <f>G21+G22</f>
        <v>-261.38500000000204</v>
      </c>
    </row>
    <row r="25" spans="4:7" x14ac:dyDescent="0.45">
      <c r="D25" s="15" t="s">
        <v>89</v>
      </c>
      <c r="G25" s="257">
        <v>0</v>
      </c>
    </row>
    <row r="26" spans="4:7" x14ac:dyDescent="0.45">
      <c r="D26" s="15" t="s">
        <v>90</v>
      </c>
      <c r="G26" s="148">
        <v>0.26950000000000002</v>
      </c>
    </row>
    <row r="27" spans="4:7" x14ac:dyDescent="0.45">
      <c r="D27" s="15" t="s">
        <v>91</v>
      </c>
      <c r="G27" s="15">
        <f>G25*G26</f>
        <v>0</v>
      </c>
    </row>
    <row r="28" spans="4:7" x14ac:dyDescent="0.45">
      <c r="D28" s="15" t="s">
        <v>92</v>
      </c>
      <c r="G28" s="218">
        <v>0</v>
      </c>
    </row>
    <row r="29" spans="4:7" x14ac:dyDescent="0.45">
      <c r="D29" s="15" t="s">
        <v>93</v>
      </c>
      <c r="G29" s="15">
        <f>G27+G28</f>
        <v>0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L32"/>
  <sheetViews>
    <sheetView topLeftCell="A10" workbookViewId="0">
      <selection activeCell="D33" sqref="D33"/>
    </sheetView>
  </sheetViews>
  <sheetFormatPr defaultColWidth="8.88671875" defaultRowHeight="14.25" x14ac:dyDescent="0.45"/>
  <cols>
    <col min="1" max="1" width="12.6640625" style="1" customWidth="1"/>
    <col min="2" max="2" width="11.5546875" style="158" bestFit="1" customWidth="1"/>
    <col min="3" max="3" width="9.88671875" style="158" customWidth="1"/>
    <col min="4" max="4" width="9.77734375" style="165" customWidth="1"/>
    <col min="5" max="5" width="9.77734375" style="159" customWidth="1"/>
    <col min="6" max="6" width="11.44140625" style="158" customWidth="1"/>
    <col min="7" max="7" width="10.6640625" style="160" customWidth="1"/>
    <col min="8" max="8" width="10.109375" style="158" customWidth="1"/>
    <col min="9" max="9" width="10.5546875" style="1" customWidth="1"/>
    <col min="10" max="11" width="8.88671875" style="1"/>
    <col min="12" max="12" width="10.109375" style="1" customWidth="1"/>
    <col min="13" max="13" width="9" style="1" bestFit="1" customWidth="1"/>
    <col min="14" max="14" width="9.77734375" style="1" bestFit="1" customWidth="1"/>
    <col min="15" max="16384" width="8.88671875" style="1"/>
  </cols>
  <sheetData>
    <row r="1" spans="1:9" x14ac:dyDescent="0.45">
      <c r="A1" s="1" t="s">
        <v>261</v>
      </c>
    </row>
    <row r="2" spans="1:9" x14ac:dyDescent="0.45">
      <c r="B2" s="161"/>
    </row>
    <row r="3" spans="1:9" x14ac:dyDescent="0.45">
      <c r="C3" s="158" t="s">
        <v>161</v>
      </c>
      <c r="F3" s="158" t="s">
        <v>157</v>
      </c>
      <c r="G3" s="160" t="s">
        <v>158</v>
      </c>
      <c r="H3" s="158" t="s">
        <v>158</v>
      </c>
    </row>
    <row r="4" spans="1:9" x14ac:dyDescent="0.45">
      <c r="B4" s="239" t="s">
        <v>161</v>
      </c>
      <c r="C4" s="158" t="s">
        <v>159</v>
      </c>
      <c r="D4" s="165" t="s">
        <v>159</v>
      </c>
      <c r="E4" s="159" t="s">
        <v>160</v>
      </c>
      <c r="F4" s="158" t="s">
        <v>161</v>
      </c>
      <c r="G4" s="160" t="s">
        <v>162</v>
      </c>
      <c r="H4" s="158" t="s">
        <v>162</v>
      </c>
    </row>
    <row r="5" spans="1:9" x14ac:dyDescent="0.45">
      <c r="A5" s="1" t="s">
        <v>265</v>
      </c>
      <c r="B5" s="158" t="s">
        <v>163</v>
      </c>
      <c r="C5" s="158" t="s">
        <v>164</v>
      </c>
      <c r="D5" s="165" t="s">
        <v>165</v>
      </c>
      <c r="E5" s="159" t="s">
        <v>165</v>
      </c>
      <c r="F5" s="158" t="s">
        <v>163</v>
      </c>
      <c r="G5" s="160" t="s">
        <v>166</v>
      </c>
      <c r="H5" s="158" t="s">
        <v>167</v>
      </c>
      <c r="I5" s="21"/>
    </row>
    <row r="6" spans="1:9" x14ac:dyDescent="0.45">
      <c r="A6" s="1" t="s">
        <v>259</v>
      </c>
      <c r="B6" s="158">
        <f>2484.93*12</f>
        <v>29819.159999999996</v>
      </c>
      <c r="C6" s="158">
        <v>0</v>
      </c>
      <c r="D6" s="165">
        <v>0</v>
      </c>
      <c r="E6" s="159">
        <f>1-D6</f>
        <v>1</v>
      </c>
      <c r="F6" s="158">
        <f>B6*E6</f>
        <v>29819.159999999996</v>
      </c>
      <c r="G6" s="160">
        <v>0.67</v>
      </c>
      <c r="H6" s="158">
        <f t="shared" ref="H6" si="0">IF(G6&lt;E6,G6*F6,F6)</f>
        <v>19978.837199999998</v>
      </c>
      <c r="I6" s="21"/>
    </row>
    <row r="7" spans="1:9" x14ac:dyDescent="0.45">
      <c r="A7" s="1" t="s">
        <v>260</v>
      </c>
      <c r="B7" s="158">
        <f>1825.09*12</f>
        <v>21901.079999999998</v>
      </c>
      <c r="C7" s="158">
        <v>0</v>
      </c>
      <c r="D7" s="165">
        <f t="shared" ref="D7:D8" si="1">C7/B7</f>
        <v>0</v>
      </c>
      <c r="E7" s="159">
        <f t="shared" ref="E7:E8" si="2">1-D7</f>
        <v>1</v>
      </c>
      <c r="F7" s="158">
        <f t="shared" ref="F7:F8" si="3">B7*E7</f>
        <v>21901.079999999998</v>
      </c>
      <c r="G7" s="160">
        <v>0.67</v>
      </c>
      <c r="H7" s="158">
        <f>IF(G7&lt;E7,G7*F7,F7)</f>
        <v>14673.723599999999</v>
      </c>
      <c r="I7" s="21"/>
    </row>
    <row r="8" spans="1:9" ht="16.5" x14ac:dyDescent="0.75">
      <c r="A8" s="1" t="s">
        <v>262</v>
      </c>
      <c r="B8" s="163">
        <f>2179.45*12</f>
        <v>26153.399999999998</v>
      </c>
      <c r="C8" s="164">
        <v>0</v>
      </c>
      <c r="D8" s="165">
        <f t="shared" si="1"/>
        <v>0</v>
      </c>
      <c r="E8" s="159">
        <f t="shared" si="2"/>
        <v>1</v>
      </c>
      <c r="F8" s="240">
        <f t="shared" si="3"/>
        <v>26153.399999999998</v>
      </c>
      <c r="G8" s="160">
        <v>0.67</v>
      </c>
      <c r="H8" s="163">
        <f t="shared" ref="H8" si="4">IF(G8&lt;E8,G8*F8,F8)</f>
        <v>17522.777999999998</v>
      </c>
    </row>
    <row r="9" spans="1:9" x14ac:dyDescent="0.45">
      <c r="A9" s="155" t="s">
        <v>263</v>
      </c>
      <c r="B9" s="158">
        <f>SUM(B6:B8)</f>
        <v>77873.639999999985</v>
      </c>
      <c r="C9" s="158">
        <f>SUM(C6:C8)</f>
        <v>0</v>
      </c>
      <c r="F9" s="158">
        <f>SUM(F6:F8)</f>
        <v>77873.639999999985</v>
      </c>
      <c r="G9" s="170"/>
      <c r="H9" s="171">
        <f>SUM(H6:H8)</f>
        <v>52175.338799999998</v>
      </c>
      <c r="I9" s="46"/>
    </row>
    <row r="10" spans="1:9" x14ac:dyDescent="0.45">
      <c r="C10" s="162"/>
      <c r="E10" s="160"/>
      <c r="H10" s="172"/>
      <c r="I10" s="157"/>
    </row>
    <row r="11" spans="1:9" x14ac:dyDescent="0.45">
      <c r="C11" s="158" t="s">
        <v>161</v>
      </c>
      <c r="F11" s="158" t="s">
        <v>157</v>
      </c>
      <c r="G11" s="160" t="s">
        <v>158</v>
      </c>
      <c r="H11" s="158" t="s">
        <v>158</v>
      </c>
    </row>
    <row r="12" spans="1:9" x14ac:dyDescent="0.45">
      <c r="B12" s="239" t="s">
        <v>161</v>
      </c>
      <c r="C12" s="158" t="s">
        <v>159</v>
      </c>
      <c r="D12" s="165" t="s">
        <v>159</v>
      </c>
      <c r="E12" s="159" t="s">
        <v>160</v>
      </c>
      <c r="F12" s="158" t="s">
        <v>161</v>
      </c>
      <c r="G12" s="160" t="s">
        <v>162</v>
      </c>
      <c r="H12" s="158" t="s">
        <v>162</v>
      </c>
    </row>
    <row r="13" spans="1:9" x14ac:dyDescent="0.45">
      <c r="A13" s="1" t="s">
        <v>266</v>
      </c>
      <c r="B13" s="158" t="s">
        <v>163</v>
      </c>
      <c r="C13" s="158" t="s">
        <v>164</v>
      </c>
      <c r="D13" s="165" t="s">
        <v>165</v>
      </c>
      <c r="E13" s="159" t="s">
        <v>165</v>
      </c>
      <c r="F13" s="158" t="s">
        <v>163</v>
      </c>
      <c r="G13" s="160" t="s">
        <v>166</v>
      </c>
      <c r="H13" s="158" t="s">
        <v>167</v>
      </c>
      <c r="I13" s="21"/>
    </row>
    <row r="14" spans="1:9" x14ac:dyDescent="0.45">
      <c r="A14" s="1" t="s">
        <v>259</v>
      </c>
      <c r="B14" s="158">
        <f>250.06/3*12</f>
        <v>1000.24</v>
      </c>
      <c r="C14" s="158">
        <v>0</v>
      </c>
      <c r="D14" s="165">
        <v>0</v>
      </c>
      <c r="E14" s="159">
        <f>1-D14</f>
        <v>1</v>
      </c>
      <c r="F14" s="158">
        <f>B14*E14</f>
        <v>1000.24</v>
      </c>
      <c r="G14" s="160">
        <v>0.6</v>
      </c>
      <c r="H14" s="158">
        <f t="shared" ref="H14" si="5">IF(G14&lt;E14,G14*F14,F14)</f>
        <v>600.14400000000001</v>
      </c>
      <c r="I14" s="21"/>
    </row>
    <row r="15" spans="1:9" x14ac:dyDescent="0.45">
      <c r="A15" s="1" t="s">
        <v>260</v>
      </c>
      <c r="B15" s="158">
        <f t="shared" ref="B15:B16" si="6">250.06/3*12</f>
        <v>1000.24</v>
      </c>
      <c r="C15" s="158">
        <v>0</v>
      </c>
      <c r="D15" s="165">
        <f t="shared" ref="D15:D16" si="7">C15/B15</f>
        <v>0</v>
      </c>
      <c r="E15" s="159">
        <f t="shared" ref="E15:E16" si="8">1-D15</f>
        <v>1</v>
      </c>
      <c r="F15" s="158">
        <f t="shared" ref="F15:F16" si="9">B15*E15</f>
        <v>1000.24</v>
      </c>
      <c r="G15" s="160">
        <v>0.6</v>
      </c>
      <c r="H15" s="158">
        <f>IF(G15&lt;E15,G15*F15,F15)</f>
        <v>600.14400000000001</v>
      </c>
      <c r="I15" s="21"/>
    </row>
    <row r="16" spans="1:9" ht="16.5" x14ac:dyDescent="0.75">
      <c r="A16" s="1" t="s">
        <v>262</v>
      </c>
      <c r="B16" s="163">
        <f t="shared" si="6"/>
        <v>1000.24</v>
      </c>
      <c r="C16" s="164">
        <v>0</v>
      </c>
      <c r="D16" s="165">
        <f t="shared" si="7"/>
        <v>0</v>
      </c>
      <c r="E16" s="159">
        <f t="shared" si="8"/>
        <v>1</v>
      </c>
      <c r="F16" s="240">
        <f t="shared" si="9"/>
        <v>1000.24</v>
      </c>
      <c r="G16" s="160">
        <v>0.6</v>
      </c>
      <c r="H16" s="163">
        <f t="shared" ref="H16" si="10">IF(G16&lt;E16,G16*F16,F16)</f>
        <v>600.14400000000001</v>
      </c>
    </row>
    <row r="17" spans="1:12" x14ac:dyDescent="0.45">
      <c r="A17" s="155" t="s">
        <v>264</v>
      </c>
      <c r="B17" s="158">
        <f>SUM(B14:B16)</f>
        <v>3000.7200000000003</v>
      </c>
      <c r="C17" s="158">
        <f>SUM(C14:C16)</f>
        <v>0</v>
      </c>
      <c r="F17" s="158">
        <f>SUM(F14:F16)</f>
        <v>3000.7200000000003</v>
      </c>
      <c r="G17" s="170"/>
      <c r="H17" s="171">
        <f>SUM(H14:H16)</f>
        <v>1800.432</v>
      </c>
      <c r="I17" s="46"/>
    </row>
    <row r="18" spans="1:12" x14ac:dyDescent="0.45">
      <c r="C18" s="162"/>
      <c r="E18" s="160"/>
      <c r="H18" s="172"/>
      <c r="I18" s="157"/>
    </row>
    <row r="19" spans="1:12" x14ac:dyDescent="0.45">
      <c r="A19" s="1" t="s">
        <v>12</v>
      </c>
      <c r="B19" s="158">
        <f>B9+B17</f>
        <v>80874.359999999986</v>
      </c>
      <c r="H19" s="158">
        <f>H9+H17</f>
        <v>53975.770799999998</v>
      </c>
      <c r="I19" s="157"/>
    </row>
    <row r="20" spans="1:12" x14ac:dyDescent="0.45">
      <c r="B20" s="1"/>
      <c r="I20" s="157"/>
    </row>
    <row r="21" spans="1:12" s="212" customFormat="1" x14ac:dyDescent="0.45">
      <c r="A21" s="1" t="s">
        <v>202</v>
      </c>
      <c r="B21" s="213"/>
      <c r="C21" s="213"/>
      <c r="D21" s="214"/>
      <c r="E21" s="215"/>
      <c r="F21" s="213"/>
      <c r="G21" s="216"/>
      <c r="H21" s="213"/>
      <c r="I21" s="217"/>
    </row>
    <row r="22" spans="1:12" s="212" customFormat="1" x14ac:dyDescent="0.45">
      <c r="B22" s="213"/>
      <c r="C22" s="213"/>
      <c r="D22" s="214"/>
      <c r="E22" s="215"/>
      <c r="F22" s="213"/>
      <c r="G22" s="216"/>
      <c r="H22" s="213"/>
      <c r="I22" s="217"/>
    </row>
    <row r="23" spans="1:12" ht="42.75" x14ac:dyDescent="0.45">
      <c r="A23" s="212" t="s">
        <v>209</v>
      </c>
      <c r="B23" s="158">
        <f>H19</f>
        <v>53975.770799999998</v>
      </c>
      <c r="E23" s="167"/>
      <c r="H23" s="173"/>
      <c r="I23" s="46"/>
      <c r="K23" s="156"/>
      <c r="L23" s="156"/>
    </row>
    <row r="24" spans="1:12" ht="28.5" x14ac:dyDescent="0.45">
      <c r="A24" s="212" t="s">
        <v>210</v>
      </c>
      <c r="B24" s="163">
        <f>-B19</f>
        <v>-80874.359999999986</v>
      </c>
      <c r="D24" s="166"/>
      <c r="E24" s="168"/>
      <c r="H24" s="174"/>
      <c r="I24" s="153"/>
      <c r="K24" s="2"/>
    </row>
    <row r="25" spans="1:12" ht="16.5" x14ac:dyDescent="0.75">
      <c r="A25" s="212" t="s">
        <v>37</v>
      </c>
      <c r="B25" s="158">
        <f>B23+B24</f>
        <v>-26898.589199999988</v>
      </c>
      <c r="E25" s="169"/>
      <c r="H25" s="175"/>
      <c r="I25" s="154"/>
    </row>
    <row r="26" spans="1:12" x14ac:dyDescent="0.45">
      <c r="E26" s="168"/>
      <c r="H26" s="174"/>
      <c r="I26" s="153"/>
    </row>
    <row r="32" spans="1:12" x14ac:dyDescent="0.45">
      <c r="A32" s="16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590D3-A7C3-4727-A9D4-F5C014E94ADB}">
  <sheetPr>
    <tabColor rgb="FF92D050"/>
    <pageSetUpPr fitToPage="1"/>
  </sheetPr>
  <dimension ref="A1:R56"/>
  <sheetViews>
    <sheetView showGridLines="0" workbookViewId="0">
      <selection activeCell="D1" sqref="C1:K1048576"/>
    </sheetView>
  </sheetViews>
  <sheetFormatPr defaultRowHeight="15.4" x14ac:dyDescent="0.45"/>
  <cols>
    <col min="1" max="1" width="2" customWidth="1"/>
    <col min="2" max="2" width="1.88671875" customWidth="1"/>
    <col min="3" max="3" width="1.77734375" customWidth="1"/>
    <col min="4" max="4" width="27.44140625" style="1" customWidth="1"/>
    <col min="5" max="5" width="8.33203125" style="1" customWidth="1"/>
    <col min="6" max="6" width="10.6640625" style="183" customWidth="1"/>
    <col min="7" max="7" width="6.109375" style="1" customWidth="1"/>
    <col min="8" max="8" width="9.33203125" style="179" customWidth="1"/>
    <col min="9" max="9" width="6.109375" customWidth="1"/>
    <col min="10" max="10" width="9.33203125" style="179" customWidth="1"/>
    <col min="11" max="11" width="10.6640625" customWidth="1"/>
    <col min="12" max="12" width="1.88671875" customWidth="1"/>
    <col min="13" max="13" width="2.44140625" customWidth="1"/>
    <col min="15" max="18" width="8.88671875" style="1"/>
  </cols>
  <sheetData>
    <row r="1" spans="1:13" x14ac:dyDescent="0.45">
      <c r="A1" s="1"/>
      <c r="B1" s="1"/>
      <c r="C1" s="3"/>
      <c r="D1" s="3"/>
      <c r="E1" s="3"/>
      <c r="G1" s="131"/>
      <c r="H1" s="19"/>
      <c r="I1" s="131"/>
      <c r="J1" s="19"/>
      <c r="K1" s="3"/>
      <c r="L1" s="3"/>
      <c r="M1" s="3"/>
    </row>
    <row r="2" spans="1:13" x14ac:dyDescent="0.45">
      <c r="A2" s="1"/>
      <c r="B2" s="122"/>
      <c r="C2" s="124"/>
      <c r="D2" s="124"/>
      <c r="E2" s="124"/>
      <c r="F2" s="184"/>
      <c r="G2" s="132"/>
      <c r="H2" s="176"/>
      <c r="I2" s="132"/>
      <c r="J2" s="176"/>
      <c r="K2" s="124"/>
      <c r="L2" s="139"/>
      <c r="M2" s="142"/>
    </row>
    <row r="3" spans="1:13" ht="18" x14ac:dyDescent="0.55000000000000004">
      <c r="A3" s="1"/>
      <c r="B3" s="50"/>
      <c r="C3" s="273" t="s">
        <v>27</v>
      </c>
      <c r="D3" s="273"/>
      <c r="E3" s="273"/>
      <c r="F3" s="273"/>
      <c r="G3" s="273"/>
      <c r="H3" s="273"/>
      <c r="I3" s="273"/>
      <c r="J3" s="273"/>
      <c r="K3" s="273"/>
      <c r="L3" s="140"/>
      <c r="M3" s="142"/>
    </row>
    <row r="4" spans="1:13" ht="18" x14ac:dyDescent="0.55000000000000004">
      <c r="A4" s="1"/>
      <c r="B4" s="50"/>
      <c r="C4" s="274" t="s">
        <v>40</v>
      </c>
      <c r="D4" s="274"/>
      <c r="E4" s="274"/>
      <c r="F4" s="274"/>
      <c r="G4" s="274"/>
      <c r="H4" s="274"/>
      <c r="I4" s="274"/>
      <c r="J4" s="274"/>
      <c r="K4" s="274"/>
      <c r="L4" s="140"/>
      <c r="M4" s="142"/>
    </row>
    <row r="5" spans="1:13" ht="15.75" x14ac:dyDescent="0.45">
      <c r="A5" s="1"/>
      <c r="B5" s="50"/>
      <c r="C5" s="275" t="s">
        <v>220</v>
      </c>
      <c r="D5" s="275"/>
      <c r="E5" s="275"/>
      <c r="F5" s="275"/>
      <c r="G5" s="275"/>
      <c r="H5" s="275"/>
      <c r="I5" s="275"/>
      <c r="J5" s="275"/>
      <c r="K5" s="275"/>
      <c r="L5" s="140"/>
      <c r="M5" s="142"/>
    </row>
    <row r="6" spans="1:13" x14ac:dyDescent="0.45">
      <c r="A6" s="1"/>
      <c r="B6" s="50"/>
      <c r="C6" s="3"/>
      <c r="D6" s="3"/>
      <c r="E6" s="3"/>
      <c r="G6" s="133"/>
      <c r="H6" s="19"/>
      <c r="I6" s="133"/>
      <c r="J6" s="19"/>
      <c r="K6" s="126" t="s">
        <v>41</v>
      </c>
      <c r="L6" s="140"/>
      <c r="M6" s="142"/>
    </row>
    <row r="7" spans="1:13" x14ac:dyDescent="0.45">
      <c r="A7" s="1"/>
      <c r="B7" s="50"/>
      <c r="C7" s="125"/>
      <c r="D7" s="125"/>
      <c r="E7" s="125" t="s">
        <v>42</v>
      </c>
      <c r="F7" s="185" t="s">
        <v>43</v>
      </c>
      <c r="G7" s="276" t="s">
        <v>133</v>
      </c>
      <c r="H7" s="276"/>
      <c r="I7" s="276" t="s">
        <v>32</v>
      </c>
      <c r="J7" s="276"/>
      <c r="K7" s="126" t="s">
        <v>44</v>
      </c>
      <c r="L7" s="140"/>
      <c r="M7" s="142"/>
    </row>
    <row r="8" spans="1:13" ht="17.649999999999999" x14ac:dyDescent="0.75">
      <c r="A8" s="1"/>
      <c r="B8" s="50"/>
      <c r="C8" s="126"/>
      <c r="D8" s="269" t="s">
        <v>112</v>
      </c>
      <c r="E8" s="126" t="s">
        <v>45</v>
      </c>
      <c r="F8" s="186" t="s">
        <v>132</v>
      </c>
      <c r="G8" s="25" t="s">
        <v>46</v>
      </c>
      <c r="H8" s="126" t="s">
        <v>47</v>
      </c>
      <c r="I8" s="25" t="s">
        <v>46</v>
      </c>
      <c r="J8" s="126" t="s">
        <v>47</v>
      </c>
      <c r="K8" s="126" t="s">
        <v>37</v>
      </c>
      <c r="L8" s="140"/>
      <c r="M8" s="142"/>
    </row>
    <row r="9" spans="1:13" x14ac:dyDescent="0.45">
      <c r="A9" s="1"/>
      <c r="B9" s="50"/>
      <c r="C9" s="127" t="s">
        <v>107</v>
      </c>
      <c r="D9" s="3"/>
      <c r="E9" s="130"/>
      <c r="G9" s="133"/>
      <c r="H9" s="178"/>
      <c r="I9" s="133"/>
      <c r="J9" s="178"/>
      <c r="K9" s="2"/>
      <c r="L9" s="140"/>
      <c r="M9" s="142"/>
    </row>
    <row r="10" spans="1:13" x14ac:dyDescent="0.45">
      <c r="A10" s="1"/>
      <c r="B10" s="50"/>
      <c r="C10" s="127"/>
      <c r="D10" s="3" t="s">
        <v>113</v>
      </c>
      <c r="E10" s="130" t="s">
        <v>237</v>
      </c>
      <c r="F10" s="188">
        <v>618712.52</v>
      </c>
      <c r="G10" s="69" t="s">
        <v>238</v>
      </c>
      <c r="H10" s="149">
        <v>15467.81</v>
      </c>
      <c r="I10" s="133">
        <v>37.5</v>
      </c>
      <c r="J10" s="149">
        <f>F10/I10</f>
        <v>16499.000533333336</v>
      </c>
      <c r="K10" s="23">
        <f>J10-H10</f>
        <v>1031.1905333333361</v>
      </c>
      <c r="L10" s="140"/>
      <c r="M10" s="142"/>
    </row>
    <row r="11" spans="1:13" x14ac:dyDescent="0.45">
      <c r="A11" s="1"/>
      <c r="B11" s="50"/>
      <c r="C11" s="127"/>
      <c r="D11" s="3" t="s">
        <v>114</v>
      </c>
      <c r="E11" s="237" t="s">
        <v>237</v>
      </c>
      <c r="F11" s="188">
        <v>105124.24</v>
      </c>
      <c r="G11" s="69" t="s">
        <v>238</v>
      </c>
      <c r="H11" s="149">
        <v>5256.21</v>
      </c>
      <c r="I11" s="133">
        <v>10</v>
      </c>
      <c r="J11" s="149">
        <f>F11/I11</f>
        <v>10512.424000000001</v>
      </c>
      <c r="K11" s="23">
        <f>J11-H11</f>
        <v>5256.2140000000009</v>
      </c>
      <c r="L11" s="140"/>
      <c r="M11" s="142"/>
    </row>
    <row r="12" spans="1:13" x14ac:dyDescent="0.45">
      <c r="A12" s="1"/>
      <c r="B12" s="50"/>
      <c r="C12" s="3"/>
      <c r="D12" s="3" t="s">
        <v>115</v>
      </c>
      <c r="E12" s="130" t="s">
        <v>237</v>
      </c>
      <c r="F12" s="188">
        <f>61969.97-2941.5-10000-602.08-688.99</f>
        <v>47737.4</v>
      </c>
      <c r="G12" s="69" t="s">
        <v>238</v>
      </c>
      <c r="H12" s="149">
        <v>3507.07</v>
      </c>
      <c r="I12" s="133">
        <v>22.5</v>
      </c>
      <c r="J12" s="149">
        <f>F12/I12</f>
        <v>2121.6622222222222</v>
      </c>
      <c r="K12" s="23">
        <f>J12-H12</f>
        <v>-1385.4077777777779</v>
      </c>
      <c r="L12" s="140"/>
      <c r="M12" s="142"/>
    </row>
    <row r="13" spans="1:13" x14ac:dyDescent="0.45">
      <c r="A13" s="1"/>
      <c r="B13" s="50"/>
      <c r="C13" s="3"/>
      <c r="D13" s="3" t="s">
        <v>116</v>
      </c>
      <c r="E13" s="130"/>
      <c r="F13" s="188"/>
      <c r="G13" s="69"/>
      <c r="H13" s="149"/>
      <c r="I13" s="133">
        <v>12.5</v>
      </c>
      <c r="J13" s="149">
        <f t="shared" ref="J13:J15" si="0">F13/I13</f>
        <v>0</v>
      </c>
      <c r="K13" s="23">
        <f t="shared" ref="K13:K15" si="1">J13-H13</f>
        <v>0</v>
      </c>
      <c r="L13" s="140"/>
      <c r="M13" s="142"/>
    </row>
    <row r="14" spans="1:13" x14ac:dyDescent="0.45">
      <c r="A14" s="1"/>
      <c r="B14" s="50"/>
      <c r="C14" s="3"/>
      <c r="D14" s="3" t="s">
        <v>117</v>
      </c>
      <c r="E14" s="130" t="s">
        <v>237</v>
      </c>
      <c r="F14" s="188">
        <v>1937.48</v>
      </c>
      <c r="G14" s="69" t="s">
        <v>238</v>
      </c>
      <c r="H14" s="149">
        <v>129.16999999999999</v>
      </c>
      <c r="I14" s="133">
        <v>17.5</v>
      </c>
      <c r="J14" s="149">
        <f t="shared" si="0"/>
        <v>110.71314285714286</v>
      </c>
      <c r="K14" s="23">
        <f t="shared" si="1"/>
        <v>-18.456857142857132</v>
      </c>
      <c r="L14" s="140"/>
      <c r="M14" s="142"/>
    </row>
    <row r="15" spans="1:13" x14ac:dyDescent="0.45">
      <c r="A15" s="1"/>
      <c r="B15" s="50"/>
      <c r="C15" s="3"/>
      <c r="D15" s="3" t="s">
        <v>118</v>
      </c>
      <c r="E15" s="130"/>
      <c r="F15" s="188"/>
      <c r="G15" s="69"/>
      <c r="H15" s="149"/>
      <c r="I15" s="133">
        <v>15</v>
      </c>
      <c r="J15" s="149">
        <f t="shared" si="0"/>
        <v>0</v>
      </c>
      <c r="K15" s="23">
        <f t="shared" si="1"/>
        <v>0</v>
      </c>
      <c r="L15" s="140"/>
      <c r="M15" s="142"/>
    </row>
    <row r="16" spans="1:13" x14ac:dyDescent="0.45">
      <c r="A16" s="1"/>
      <c r="B16" s="50"/>
      <c r="C16" s="3"/>
      <c r="D16" s="3"/>
      <c r="E16" s="130"/>
      <c r="F16" s="188"/>
      <c r="G16" s="69"/>
      <c r="H16" s="149"/>
      <c r="I16" s="133"/>
      <c r="J16" s="149"/>
      <c r="K16" s="23"/>
      <c r="L16" s="140"/>
      <c r="M16" s="142"/>
    </row>
    <row r="17" spans="1:13" x14ac:dyDescent="0.45">
      <c r="A17" s="1"/>
      <c r="B17" s="50"/>
      <c r="C17" s="127" t="s">
        <v>170</v>
      </c>
      <c r="D17" s="3"/>
      <c r="E17" s="130"/>
      <c r="F17" s="188"/>
      <c r="G17" s="69"/>
      <c r="H17" s="149"/>
      <c r="I17" s="133"/>
      <c r="J17" s="149"/>
      <c r="K17" s="23"/>
      <c r="L17" s="140"/>
      <c r="M17" s="142"/>
    </row>
    <row r="18" spans="1:13" x14ac:dyDescent="0.45">
      <c r="A18" s="1"/>
      <c r="B18" s="50"/>
      <c r="C18" s="3"/>
      <c r="D18" s="3" t="s">
        <v>171</v>
      </c>
      <c r="E18" s="130"/>
      <c r="F18" s="188"/>
      <c r="G18" s="69"/>
      <c r="H18" s="149"/>
      <c r="I18" s="133">
        <v>62.5</v>
      </c>
      <c r="J18" s="149">
        <f t="shared" ref="J18:J19" si="2">F18/I18</f>
        <v>0</v>
      </c>
      <c r="K18" s="23">
        <f t="shared" ref="K18:K19" si="3">J18-H18</f>
        <v>0</v>
      </c>
      <c r="L18" s="140"/>
      <c r="M18" s="142"/>
    </row>
    <row r="19" spans="1:13" x14ac:dyDescent="0.45">
      <c r="A19" s="1"/>
      <c r="B19" s="50"/>
      <c r="C19" s="3"/>
      <c r="D19" s="3" t="s">
        <v>172</v>
      </c>
      <c r="E19" s="130"/>
      <c r="F19" s="188"/>
      <c r="G19" s="69"/>
      <c r="H19" s="149"/>
      <c r="I19" s="133">
        <v>62.5</v>
      </c>
      <c r="J19" s="149">
        <f t="shared" si="2"/>
        <v>0</v>
      </c>
      <c r="K19" s="23">
        <f t="shared" si="3"/>
        <v>0</v>
      </c>
      <c r="L19" s="140"/>
      <c r="M19" s="142"/>
    </row>
    <row r="20" spans="1:13" x14ac:dyDescent="0.45">
      <c r="A20" s="1"/>
      <c r="B20" s="50"/>
      <c r="C20" s="126"/>
      <c r="D20" s="126"/>
      <c r="E20" s="126"/>
      <c r="F20" s="187"/>
      <c r="G20" s="25"/>
      <c r="H20" s="177"/>
      <c r="I20" s="25"/>
      <c r="J20" s="177"/>
      <c r="K20" s="126"/>
      <c r="L20" s="140"/>
      <c r="M20" s="142"/>
    </row>
    <row r="21" spans="1:13" x14ac:dyDescent="0.45">
      <c r="A21" s="1"/>
      <c r="B21" s="50"/>
      <c r="C21" s="127" t="s">
        <v>108</v>
      </c>
      <c r="D21" s="3"/>
      <c r="E21" s="130"/>
      <c r="G21" s="134"/>
      <c r="H21" s="178"/>
      <c r="I21" s="134"/>
      <c r="J21" s="178"/>
      <c r="K21" s="2"/>
      <c r="L21" s="140"/>
      <c r="M21" s="142"/>
    </row>
    <row r="22" spans="1:13" x14ac:dyDescent="0.45">
      <c r="A22" s="1"/>
      <c r="B22" s="50"/>
      <c r="C22" s="127"/>
      <c r="D22" s="3" t="s">
        <v>113</v>
      </c>
      <c r="E22" s="130"/>
      <c r="F22" s="188"/>
      <c r="G22" s="69"/>
      <c r="H22" s="149"/>
      <c r="I22" s="133">
        <v>37.5</v>
      </c>
      <c r="J22" s="149">
        <f>F22/I22</f>
        <v>0</v>
      </c>
      <c r="K22" s="23">
        <f>J22-H22</f>
        <v>0</v>
      </c>
      <c r="L22" s="140"/>
      <c r="M22" s="142"/>
    </row>
    <row r="23" spans="1:13" x14ac:dyDescent="0.45">
      <c r="A23" s="1"/>
      <c r="B23" s="50"/>
      <c r="C23" s="3"/>
      <c r="D23" s="3" t="s">
        <v>119</v>
      </c>
      <c r="E23" s="130"/>
      <c r="G23" s="134"/>
      <c r="H23" s="149"/>
      <c r="I23" s="133">
        <v>10</v>
      </c>
      <c r="J23" s="178">
        <f>F23/I23</f>
        <v>0</v>
      </c>
      <c r="K23" s="23">
        <f>J23-H23</f>
        <v>0</v>
      </c>
      <c r="L23" s="140"/>
      <c r="M23" s="142"/>
    </row>
    <row r="24" spans="1:13" x14ac:dyDescent="0.45">
      <c r="A24" s="1"/>
      <c r="B24" s="50"/>
      <c r="C24" s="3"/>
      <c r="D24" s="3" t="s">
        <v>120</v>
      </c>
      <c r="E24" s="21" t="s">
        <v>237</v>
      </c>
      <c r="F24" s="183">
        <f>1047420.9-217285.42-43691.9-17016.72</f>
        <v>769426.86</v>
      </c>
      <c r="G24" s="134" t="s">
        <v>238</v>
      </c>
      <c r="H24" s="149">
        <v>33927.199999999997</v>
      </c>
      <c r="I24" s="133">
        <v>20</v>
      </c>
      <c r="J24" s="178">
        <f>F24/I24</f>
        <v>38471.343000000001</v>
      </c>
      <c r="K24" s="23">
        <f>J24-H24</f>
        <v>4544.1430000000037</v>
      </c>
      <c r="L24" s="140"/>
      <c r="M24" s="142"/>
    </row>
    <row r="25" spans="1:13" x14ac:dyDescent="0.45">
      <c r="A25" s="1"/>
      <c r="B25" s="50"/>
      <c r="C25" s="126"/>
      <c r="D25" s="126"/>
      <c r="E25" s="126"/>
      <c r="G25" s="134"/>
      <c r="H25" s="178"/>
      <c r="I25" s="134"/>
      <c r="J25" s="178"/>
      <c r="K25" s="2"/>
      <c r="L25" s="140"/>
      <c r="M25" s="142"/>
    </row>
    <row r="26" spans="1:13" x14ac:dyDescent="0.45">
      <c r="A26" s="1"/>
      <c r="B26" s="50"/>
      <c r="C26" s="127" t="s">
        <v>109</v>
      </c>
      <c r="D26" s="3"/>
      <c r="E26" s="130"/>
      <c r="G26" s="133"/>
      <c r="H26" s="178"/>
      <c r="I26" s="133"/>
      <c r="J26" s="178"/>
      <c r="K26" s="2"/>
      <c r="L26" s="140"/>
      <c r="M26" s="142"/>
    </row>
    <row r="27" spans="1:13" x14ac:dyDescent="0.45">
      <c r="A27" s="1"/>
      <c r="B27" s="50"/>
      <c r="C27" s="127"/>
      <c r="D27" s="3" t="s">
        <v>121</v>
      </c>
      <c r="E27" s="21" t="s">
        <v>237</v>
      </c>
      <c r="F27" s="188">
        <v>47900</v>
      </c>
      <c r="G27" s="69" t="s">
        <v>238</v>
      </c>
      <c r="H27" s="149">
        <v>1197.5</v>
      </c>
      <c r="I27" s="133">
        <v>50</v>
      </c>
      <c r="J27" s="178">
        <f>F27/I27</f>
        <v>958</v>
      </c>
      <c r="K27" s="23">
        <f>J27-H27</f>
        <v>-239.5</v>
      </c>
      <c r="L27" s="140"/>
      <c r="M27" s="142"/>
    </row>
    <row r="28" spans="1:13" x14ac:dyDescent="0.45">
      <c r="A28" s="1"/>
      <c r="B28" s="50"/>
      <c r="C28" s="127"/>
      <c r="D28" s="3" t="s">
        <v>122</v>
      </c>
      <c r="E28" s="130" t="s">
        <v>237</v>
      </c>
      <c r="F28" s="188">
        <f>5002875.47-416112.31</f>
        <v>4586763.16</v>
      </c>
      <c r="G28" s="69" t="s">
        <v>238</v>
      </c>
      <c r="H28" s="149">
        <v>114493.22</v>
      </c>
      <c r="I28" s="133">
        <v>62.5</v>
      </c>
      <c r="J28" s="149">
        <f t="shared" ref="J28:J35" si="4">F28/I28</f>
        <v>73388.210560000007</v>
      </c>
      <c r="K28" s="23">
        <f t="shared" ref="K28:K35" si="5">J28-H28</f>
        <v>-41105.009439999994</v>
      </c>
      <c r="L28" s="140"/>
      <c r="M28" s="142"/>
    </row>
    <row r="29" spans="1:13" x14ac:dyDescent="0.45">
      <c r="A29" s="1"/>
      <c r="B29" s="50"/>
      <c r="C29" s="127"/>
      <c r="D29" s="3" t="s">
        <v>123</v>
      </c>
      <c r="E29" s="130"/>
      <c r="F29" s="188"/>
      <c r="G29" s="69"/>
      <c r="H29" s="149"/>
      <c r="I29" s="133">
        <v>45</v>
      </c>
      <c r="J29" s="149">
        <f t="shared" si="4"/>
        <v>0</v>
      </c>
      <c r="K29" s="23">
        <f t="shared" si="5"/>
        <v>0</v>
      </c>
      <c r="L29" s="140"/>
      <c r="M29" s="142"/>
    </row>
    <row r="30" spans="1:13" x14ac:dyDescent="0.45">
      <c r="A30" s="1"/>
      <c r="B30" s="50"/>
      <c r="C30" s="127"/>
      <c r="D30" s="3" t="s">
        <v>124</v>
      </c>
      <c r="E30" s="130" t="s">
        <v>237</v>
      </c>
      <c r="F30" s="188">
        <f>367714.72-47449.47-19540.25-2875-11500-5000-13000-7500-15500-8500</f>
        <v>236850</v>
      </c>
      <c r="G30" s="69" t="s">
        <v>238</v>
      </c>
      <c r="H30" s="149">
        <v>9796.67</v>
      </c>
      <c r="I30" s="133">
        <v>15</v>
      </c>
      <c r="J30" s="149">
        <f t="shared" si="4"/>
        <v>15790</v>
      </c>
      <c r="K30" s="23">
        <f t="shared" si="5"/>
        <v>5993.33</v>
      </c>
      <c r="L30" s="140"/>
      <c r="M30" s="142"/>
    </row>
    <row r="31" spans="1:13" x14ac:dyDescent="0.45">
      <c r="A31" s="1"/>
      <c r="B31" s="50"/>
      <c r="C31" s="127"/>
      <c r="D31" s="3" t="s">
        <v>125</v>
      </c>
      <c r="E31" s="130"/>
      <c r="F31" s="188"/>
      <c r="G31" s="69"/>
      <c r="H31" s="149"/>
      <c r="I31" s="133">
        <v>20</v>
      </c>
      <c r="J31" s="149">
        <f t="shared" si="4"/>
        <v>0</v>
      </c>
      <c r="K31" s="23">
        <f t="shared" si="5"/>
        <v>0</v>
      </c>
      <c r="L31" s="140"/>
      <c r="M31" s="142"/>
    </row>
    <row r="32" spans="1:13" x14ac:dyDescent="0.45">
      <c r="A32" s="1"/>
      <c r="B32" s="50"/>
      <c r="C32" s="127"/>
      <c r="D32" s="3" t="s">
        <v>126</v>
      </c>
      <c r="E32" s="130"/>
      <c r="F32" s="188"/>
      <c r="G32" s="69"/>
      <c r="H32" s="149"/>
      <c r="I32" s="133">
        <v>37.5</v>
      </c>
      <c r="J32" s="149">
        <f t="shared" si="4"/>
        <v>0</v>
      </c>
      <c r="K32" s="23">
        <f t="shared" si="5"/>
        <v>0</v>
      </c>
      <c r="L32" s="140"/>
      <c r="M32" s="142"/>
    </row>
    <row r="33" spans="1:14" x14ac:dyDescent="0.45">
      <c r="A33" s="1"/>
      <c r="B33" s="50"/>
      <c r="C33" s="127"/>
      <c r="D33" s="3" t="s">
        <v>127</v>
      </c>
      <c r="E33" s="130" t="s">
        <v>237</v>
      </c>
      <c r="F33" s="188">
        <v>14928.95</v>
      </c>
      <c r="G33" s="69" t="s">
        <v>238</v>
      </c>
      <c r="H33" s="149">
        <v>377.04</v>
      </c>
      <c r="I33" s="133">
        <v>40</v>
      </c>
      <c r="J33" s="149">
        <f t="shared" si="4"/>
        <v>373.22375</v>
      </c>
      <c r="K33" s="23">
        <f t="shared" si="5"/>
        <v>-3.816250000000025</v>
      </c>
      <c r="L33" s="140"/>
      <c r="M33" s="142"/>
    </row>
    <row r="34" spans="1:14" x14ac:dyDescent="0.45">
      <c r="A34" s="1"/>
      <c r="B34" s="50"/>
      <c r="C34" s="127"/>
      <c r="D34" s="3" t="s">
        <v>128</v>
      </c>
      <c r="E34" s="130" t="s">
        <v>237</v>
      </c>
      <c r="F34" s="188">
        <v>1131688.2</v>
      </c>
      <c r="G34" s="69" t="s">
        <v>238</v>
      </c>
      <c r="H34" s="149">
        <v>29017.65</v>
      </c>
      <c r="I34" s="133">
        <v>45</v>
      </c>
      <c r="J34" s="149">
        <f t="shared" si="4"/>
        <v>25148.626666666667</v>
      </c>
      <c r="K34" s="23">
        <f t="shared" si="5"/>
        <v>-3869.0233333333344</v>
      </c>
      <c r="L34" s="140"/>
      <c r="M34" s="142"/>
    </row>
    <row r="35" spans="1:14" x14ac:dyDescent="0.45">
      <c r="A35" s="1"/>
      <c r="B35" s="50"/>
      <c r="C35" s="127"/>
      <c r="D35" s="3" t="s">
        <v>129</v>
      </c>
      <c r="E35" s="130"/>
      <c r="F35" s="188"/>
      <c r="G35" s="69"/>
      <c r="H35" s="149"/>
      <c r="I35" s="133">
        <v>15</v>
      </c>
      <c r="J35" s="149">
        <f t="shared" si="4"/>
        <v>0</v>
      </c>
      <c r="K35" s="23">
        <f t="shared" si="5"/>
        <v>0</v>
      </c>
      <c r="L35" s="140"/>
      <c r="M35" s="142"/>
    </row>
    <row r="36" spans="1:14" x14ac:dyDescent="0.45">
      <c r="A36" s="1"/>
      <c r="B36" s="50"/>
      <c r="C36" s="127"/>
      <c r="E36" s="130"/>
      <c r="G36" s="134"/>
      <c r="H36" s="178"/>
      <c r="I36" s="134"/>
      <c r="J36" s="178"/>
      <c r="K36" s="23"/>
      <c r="L36" s="140"/>
      <c r="M36" s="142"/>
    </row>
    <row r="37" spans="1:14" x14ac:dyDescent="0.45">
      <c r="A37" s="1"/>
      <c r="B37" s="50"/>
      <c r="C37" s="127" t="s">
        <v>110</v>
      </c>
      <c r="E37" s="130"/>
      <c r="G37" s="133"/>
      <c r="H37" s="178"/>
      <c r="I37" s="138"/>
      <c r="J37" s="178"/>
      <c r="K37" s="2"/>
      <c r="L37" s="140"/>
      <c r="M37" s="142"/>
    </row>
    <row r="38" spans="1:14" x14ac:dyDescent="0.45">
      <c r="A38" s="1"/>
      <c r="B38" s="50"/>
      <c r="C38" s="3"/>
      <c r="D38" s="1" t="s">
        <v>130</v>
      </c>
      <c r="E38" s="130" t="s">
        <v>237</v>
      </c>
      <c r="F38" s="183">
        <v>82273.75</v>
      </c>
      <c r="G38" s="133" t="s">
        <v>238</v>
      </c>
      <c r="H38" s="178">
        <v>16454.75</v>
      </c>
      <c r="I38" s="138">
        <v>7</v>
      </c>
      <c r="J38" s="178">
        <f>F38/I38</f>
        <v>11753.392857142857</v>
      </c>
      <c r="K38" s="2">
        <f>J38-H38</f>
        <v>-4701.3571428571431</v>
      </c>
      <c r="L38" s="140"/>
      <c r="M38" s="142"/>
    </row>
    <row r="39" spans="1:14" x14ac:dyDescent="0.45">
      <c r="A39" s="1"/>
      <c r="B39" s="50"/>
      <c r="C39" s="126"/>
      <c r="D39" s="126"/>
      <c r="E39" s="126"/>
      <c r="G39" s="134"/>
      <c r="H39" s="178"/>
      <c r="I39" s="134"/>
      <c r="J39" s="178"/>
      <c r="K39" s="2"/>
      <c r="L39" s="140"/>
      <c r="M39" s="142"/>
    </row>
    <row r="40" spans="1:14" x14ac:dyDescent="0.45">
      <c r="A40" s="1"/>
      <c r="B40" s="50"/>
      <c r="C40" s="127" t="s">
        <v>111</v>
      </c>
      <c r="D40" s="3"/>
      <c r="E40" s="130"/>
      <c r="G40" s="135"/>
      <c r="H40" s="178"/>
      <c r="I40" s="133"/>
      <c r="J40" s="178"/>
      <c r="K40" s="2"/>
      <c r="L40" s="140"/>
      <c r="M40" s="142"/>
    </row>
    <row r="41" spans="1:14" x14ac:dyDescent="0.45">
      <c r="A41" s="1"/>
      <c r="B41" s="50"/>
      <c r="C41" s="127"/>
      <c r="D41" s="1" t="s">
        <v>168</v>
      </c>
      <c r="E41" s="130"/>
      <c r="G41" s="133"/>
      <c r="H41" s="178"/>
      <c r="I41" s="138">
        <v>62.5</v>
      </c>
      <c r="J41" s="178">
        <f>F41/I41</f>
        <v>0</v>
      </c>
      <c r="K41" s="2">
        <f>J41-H41</f>
        <v>0</v>
      </c>
      <c r="L41" s="140"/>
      <c r="M41" s="142"/>
    </row>
    <row r="42" spans="1:14" x14ac:dyDescent="0.45">
      <c r="A42" s="1"/>
      <c r="B42" s="50"/>
      <c r="C42" s="127"/>
      <c r="D42" s="1" t="s">
        <v>169</v>
      </c>
      <c r="E42" s="130" t="s">
        <v>237</v>
      </c>
      <c r="F42" s="183">
        <v>12428.9</v>
      </c>
      <c r="G42" s="133" t="s">
        <v>238</v>
      </c>
      <c r="H42" s="178">
        <v>621.45000000000005</v>
      </c>
      <c r="I42" s="138">
        <v>27.5</v>
      </c>
      <c r="J42" s="178">
        <f>F42/I42</f>
        <v>451.96</v>
      </c>
      <c r="K42" s="2">
        <f>J42-H42</f>
        <v>-169.49000000000007</v>
      </c>
      <c r="L42" s="140"/>
      <c r="M42" s="142"/>
    </row>
    <row r="43" spans="1:14" x14ac:dyDescent="0.45">
      <c r="A43" s="1"/>
      <c r="B43" s="50"/>
      <c r="C43" s="3"/>
      <c r="D43" s="3"/>
      <c r="E43" s="3"/>
      <c r="G43" s="2"/>
      <c r="H43" s="149"/>
      <c r="I43" s="2"/>
      <c r="J43" s="182"/>
      <c r="K43" s="2"/>
      <c r="L43" s="140"/>
      <c r="M43" s="142"/>
    </row>
    <row r="44" spans="1:14" x14ac:dyDescent="0.45">
      <c r="A44" s="1"/>
      <c r="B44" s="50"/>
      <c r="C44" s="128" t="s">
        <v>65</v>
      </c>
      <c r="F44" s="180">
        <f>SUM(F10:F43)</f>
        <v>7655771.4600000009</v>
      </c>
      <c r="G44" s="136"/>
      <c r="H44" s="180">
        <f>SUM(H10:H43)</f>
        <v>230245.74000000002</v>
      </c>
      <c r="I44" s="137"/>
      <c r="J44" s="180">
        <f>SUM(J10:J43)</f>
        <v>195578.55673222223</v>
      </c>
      <c r="K44" s="137">
        <f>SUM(K10:K43)</f>
        <v>-34667.183267777764</v>
      </c>
      <c r="L44" s="140"/>
      <c r="M44" s="142"/>
      <c r="N44" s="21"/>
    </row>
    <row r="45" spans="1:14" x14ac:dyDescent="0.45">
      <c r="A45" s="1"/>
      <c r="B45" s="123"/>
      <c r="C45" s="129"/>
      <c r="D45" s="129"/>
      <c r="E45" s="129"/>
      <c r="F45" s="189"/>
      <c r="G45" s="129"/>
      <c r="H45" s="181"/>
      <c r="I45" s="129"/>
      <c r="J45" s="181"/>
      <c r="K45" s="129"/>
      <c r="L45" s="141"/>
      <c r="M45" s="143"/>
    </row>
    <row r="46" spans="1:14" x14ac:dyDescent="0.45">
      <c r="A46" s="1"/>
      <c r="B46" s="1"/>
      <c r="C46" s="3"/>
      <c r="D46" s="3"/>
      <c r="E46" s="3"/>
      <c r="G46" s="3"/>
      <c r="H46" s="182"/>
      <c r="I46" s="3"/>
      <c r="J46" s="182"/>
      <c r="K46" s="3"/>
      <c r="L46" s="3"/>
      <c r="M46" s="3"/>
    </row>
    <row r="47" spans="1:14" x14ac:dyDescent="0.45">
      <c r="D47" s="3" t="s">
        <v>131</v>
      </c>
    </row>
    <row r="51" spans="6:7" ht="17.649999999999999" x14ac:dyDescent="0.75">
      <c r="F51" s="190"/>
    </row>
    <row r="52" spans="6:7" x14ac:dyDescent="0.45">
      <c r="G52" s="21"/>
    </row>
    <row r="55" spans="6:7" ht="17.649999999999999" x14ac:dyDescent="0.75">
      <c r="F55" s="190"/>
    </row>
    <row r="56" spans="6:7" x14ac:dyDescent="0.45">
      <c r="G56" s="21"/>
    </row>
  </sheetData>
  <mergeCells count="5">
    <mergeCell ref="C3:K3"/>
    <mergeCell ref="C4:K4"/>
    <mergeCell ref="C5:K5"/>
    <mergeCell ref="G7:H7"/>
    <mergeCell ref="I7:J7"/>
  </mergeCells>
  <pageMargins left="0.7" right="0.7" top="0.75" bottom="0.75" header="0.3" footer="0.3"/>
  <pageSetup scale="77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630B1-5320-458A-B984-AF0BD6A9981A}">
  <sheetPr>
    <tabColor rgb="FF92D050"/>
    <pageSetUpPr fitToPage="1"/>
  </sheetPr>
  <dimension ref="B1:P26"/>
  <sheetViews>
    <sheetView showGridLines="0" topLeftCell="A5" workbookViewId="0">
      <selection sqref="A1:O27"/>
    </sheetView>
  </sheetViews>
  <sheetFormatPr defaultRowHeight="15" x14ac:dyDescent="0.4"/>
  <cols>
    <col min="1" max="1" width="1.77734375" customWidth="1"/>
    <col min="2" max="2" width="20.44140625" bestFit="1" customWidth="1"/>
    <col min="3" max="12" width="7.77734375" customWidth="1"/>
    <col min="13" max="13" width="10.6640625" customWidth="1"/>
    <col min="14" max="14" width="0.77734375" customWidth="1"/>
    <col min="15" max="15" width="2.33203125" customWidth="1"/>
    <col min="16" max="16" width="9.6640625" customWidth="1"/>
  </cols>
  <sheetData>
    <row r="1" spans="2:16" ht="15.4" x14ac:dyDescent="0.4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2:16" ht="15.4" x14ac:dyDescent="0.45">
      <c r="B2" s="77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18"/>
      <c r="P2" s="18"/>
    </row>
    <row r="3" spans="2:16" ht="18" x14ac:dyDescent="0.55000000000000004">
      <c r="B3" s="80" t="s">
        <v>96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72"/>
      <c r="O3" s="18"/>
      <c r="P3" s="18"/>
    </row>
    <row r="4" spans="2:16" ht="18" x14ac:dyDescent="0.55000000000000004">
      <c r="B4" s="82" t="s">
        <v>97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72"/>
      <c r="O4" s="18"/>
      <c r="P4" s="18"/>
    </row>
    <row r="5" spans="2:16" ht="15.75" x14ac:dyDescent="0.45">
      <c r="B5" s="84" t="s">
        <v>220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72"/>
      <c r="O5" s="18"/>
      <c r="P5" s="18"/>
    </row>
    <row r="6" spans="2:16" ht="15.75" x14ac:dyDescent="0.5">
      <c r="B6" s="85" t="s">
        <v>211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72"/>
      <c r="O6" s="18"/>
      <c r="P6" s="18"/>
    </row>
    <row r="7" spans="2:16" ht="15.4" x14ac:dyDescent="0.45">
      <c r="B7" s="87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72"/>
      <c r="O7" s="18"/>
      <c r="P7" s="18"/>
    </row>
    <row r="8" spans="2:16" ht="15.4" x14ac:dyDescent="0.45">
      <c r="B8" s="88"/>
      <c r="C8" s="89"/>
      <c r="D8" s="90"/>
      <c r="E8" s="89"/>
      <c r="F8" s="91"/>
      <c r="G8" s="89"/>
      <c r="H8" s="91"/>
      <c r="I8" s="89"/>
      <c r="J8" s="91"/>
      <c r="K8" s="89"/>
      <c r="L8" s="91"/>
      <c r="M8" s="90"/>
      <c r="N8" s="79"/>
      <c r="O8" s="18"/>
      <c r="P8" s="18"/>
    </row>
    <row r="9" spans="2:16" ht="16.5" x14ac:dyDescent="0.45">
      <c r="B9" s="92"/>
      <c r="C9" s="277" t="s">
        <v>98</v>
      </c>
      <c r="D9" s="278"/>
      <c r="E9" s="277" t="s">
        <v>99</v>
      </c>
      <c r="F9" s="278"/>
      <c r="G9" s="277" t="s">
        <v>100</v>
      </c>
      <c r="H9" s="278"/>
      <c r="I9" s="277" t="s">
        <v>101</v>
      </c>
      <c r="J9" s="278"/>
      <c r="K9" s="277" t="s">
        <v>212</v>
      </c>
      <c r="L9" s="278"/>
      <c r="M9" s="18"/>
      <c r="N9" s="72"/>
      <c r="O9" s="18"/>
      <c r="P9" s="18"/>
    </row>
    <row r="10" spans="2:16" ht="16.5" x14ac:dyDescent="0.45">
      <c r="B10" s="92"/>
      <c r="C10" s="93"/>
      <c r="D10" s="94" t="s">
        <v>102</v>
      </c>
      <c r="E10" s="95"/>
      <c r="F10" s="94" t="s">
        <v>102</v>
      </c>
      <c r="G10" s="95"/>
      <c r="H10" s="94" t="s">
        <v>102</v>
      </c>
      <c r="I10" s="95"/>
      <c r="J10" s="94" t="s">
        <v>102</v>
      </c>
      <c r="K10" s="95"/>
      <c r="L10" s="94" t="s">
        <v>102</v>
      </c>
      <c r="M10" s="18"/>
      <c r="N10" s="72"/>
      <c r="O10" s="18"/>
      <c r="P10" s="18"/>
    </row>
    <row r="11" spans="2:16" ht="16.5" x14ac:dyDescent="0.45">
      <c r="B11" s="92"/>
      <c r="C11" s="93" t="s">
        <v>103</v>
      </c>
      <c r="D11" s="96" t="s">
        <v>104</v>
      </c>
      <c r="E11" s="93" t="s">
        <v>103</v>
      </c>
      <c r="F11" s="96" t="s">
        <v>104</v>
      </c>
      <c r="G11" s="93" t="s">
        <v>103</v>
      </c>
      <c r="H11" s="96" t="s">
        <v>104</v>
      </c>
      <c r="I11" s="93" t="s">
        <v>103</v>
      </c>
      <c r="J11" s="96" t="s">
        <v>104</v>
      </c>
      <c r="K11" s="93" t="s">
        <v>103</v>
      </c>
      <c r="L11" s="96" t="s">
        <v>104</v>
      </c>
      <c r="M11" s="97" t="s">
        <v>65</v>
      </c>
      <c r="N11" s="72"/>
      <c r="O11" s="18"/>
      <c r="P11" s="18"/>
    </row>
    <row r="12" spans="2:16" ht="15.4" x14ac:dyDescent="0.45">
      <c r="B12" s="98" t="s">
        <v>229</v>
      </c>
      <c r="C12" s="99">
        <v>16000</v>
      </c>
      <c r="D12" s="100">
        <v>6498</v>
      </c>
      <c r="E12" s="99">
        <v>17000</v>
      </c>
      <c r="F12" s="101">
        <v>5578</v>
      </c>
      <c r="G12" s="99">
        <v>18000</v>
      </c>
      <c r="H12" s="101">
        <v>4600</v>
      </c>
      <c r="I12" s="99">
        <v>20000</v>
      </c>
      <c r="J12" s="101">
        <v>3565</v>
      </c>
      <c r="K12" s="99">
        <v>20000</v>
      </c>
      <c r="L12" s="101">
        <v>2415</v>
      </c>
      <c r="M12" s="102">
        <f t="shared" ref="M12:M19" si="0">SUM(C12:L12)</f>
        <v>113656</v>
      </c>
      <c r="N12" s="72"/>
      <c r="O12" s="18"/>
      <c r="P12" s="18"/>
    </row>
    <row r="13" spans="2:16" ht="15.4" x14ac:dyDescent="0.45">
      <c r="B13" s="98" t="s">
        <v>230</v>
      </c>
      <c r="C13" s="99">
        <v>6000</v>
      </c>
      <c r="D13" s="100">
        <v>5606</v>
      </c>
      <c r="E13" s="99">
        <v>6500</v>
      </c>
      <c r="F13" s="101">
        <v>5314</v>
      </c>
      <c r="G13" s="99">
        <v>6500</v>
      </c>
      <c r="H13" s="101">
        <v>4997</v>
      </c>
      <c r="I13" s="99">
        <v>7000</v>
      </c>
      <c r="J13" s="101">
        <v>4680</v>
      </c>
      <c r="K13" s="99">
        <v>7500</v>
      </c>
      <c r="L13" s="101">
        <v>4339</v>
      </c>
      <c r="M13" s="102">
        <f t="shared" si="0"/>
        <v>58436</v>
      </c>
      <c r="N13" s="72"/>
      <c r="O13" s="18"/>
      <c r="P13" s="18"/>
    </row>
    <row r="14" spans="2:16" ht="15.4" x14ac:dyDescent="0.45">
      <c r="B14" s="98" t="s">
        <v>231</v>
      </c>
      <c r="C14" s="99">
        <v>6000</v>
      </c>
      <c r="D14" s="100">
        <v>8788</v>
      </c>
      <c r="E14" s="99">
        <v>6500</v>
      </c>
      <c r="F14" s="69">
        <v>8503</v>
      </c>
      <c r="G14" s="99">
        <v>6500</v>
      </c>
      <c r="H14" s="69">
        <v>8194</v>
      </c>
      <c r="I14" s="99">
        <v>7000</v>
      </c>
      <c r="J14" s="69">
        <v>7885</v>
      </c>
      <c r="K14" s="99">
        <v>7500</v>
      </c>
      <c r="L14" s="101">
        <v>7553</v>
      </c>
      <c r="M14" s="102">
        <f t="shared" si="0"/>
        <v>74423</v>
      </c>
      <c r="N14" s="72"/>
      <c r="O14" s="18"/>
      <c r="P14" s="18"/>
    </row>
    <row r="15" spans="2:16" ht="15.4" x14ac:dyDescent="0.45">
      <c r="B15" s="98" t="s">
        <v>232</v>
      </c>
      <c r="C15" s="99">
        <v>22000</v>
      </c>
      <c r="D15" s="100">
        <v>41475</v>
      </c>
      <c r="E15" s="99">
        <v>23000</v>
      </c>
      <c r="F15" s="69">
        <v>40513</v>
      </c>
      <c r="G15" s="99">
        <v>24000</v>
      </c>
      <c r="H15" s="69">
        <v>39506</v>
      </c>
      <c r="I15" s="99">
        <v>25000</v>
      </c>
      <c r="J15" s="69">
        <v>38456</v>
      </c>
      <c r="K15" s="99">
        <v>26000</v>
      </c>
      <c r="L15" s="101">
        <v>37363</v>
      </c>
      <c r="M15" s="102">
        <f t="shared" si="0"/>
        <v>317313</v>
      </c>
      <c r="N15" s="72"/>
      <c r="O15" s="18"/>
      <c r="P15" s="18"/>
    </row>
    <row r="16" spans="2:16" ht="15.4" x14ac:dyDescent="0.45">
      <c r="B16" s="98" t="s">
        <v>233</v>
      </c>
      <c r="C16" s="99">
        <v>4500</v>
      </c>
      <c r="D16" s="100">
        <v>8115</v>
      </c>
      <c r="E16" s="99">
        <v>5000</v>
      </c>
      <c r="F16" s="100">
        <v>7930</v>
      </c>
      <c r="G16" s="99">
        <v>5000</v>
      </c>
      <c r="H16" s="100">
        <v>7723</v>
      </c>
      <c r="I16" s="99">
        <v>5500</v>
      </c>
      <c r="J16" s="100">
        <v>7517</v>
      </c>
      <c r="K16" s="99">
        <v>5500</v>
      </c>
      <c r="L16" s="101">
        <v>7289</v>
      </c>
      <c r="M16" s="102">
        <f t="shared" si="0"/>
        <v>64074</v>
      </c>
      <c r="N16" s="72"/>
      <c r="O16" s="18"/>
      <c r="P16" s="18"/>
    </row>
    <row r="17" spans="2:16" ht="15.4" x14ac:dyDescent="0.45">
      <c r="B17" s="98" t="s">
        <v>234</v>
      </c>
      <c r="C17" s="99">
        <v>13000</v>
      </c>
      <c r="D17" s="100">
        <v>17805</v>
      </c>
      <c r="E17" s="99">
        <v>13500</v>
      </c>
      <c r="F17" s="100">
        <v>17415</v>
      </c>
      <c r="G17" s="99">
        <v>13500</v>
      </c>
      <c r="H17" s="100">
        <v>17010</v>
      </c>
      <c r="I17" s="99">
        <v>14000</v>
      </c>
      <c r="J17" s="100">
        <v>16605</v>
      </c>
      <c r="K17" s="99">
        <v>14500</v>
      </c>
      <c r="L17" s="101">
        <v>16185</v>
      </c>
      <c r="M17" s="102">
        <f t="shared" si="0"/>
        <v>153520</v>
      </c>
      <c r="N17" s="72"/>
      <c r="O17" s="18"/>
      <c r="P17" s="18"/>
    </row>
    <row r="18" spans="2:16" ht="15.4" x14ac:dyDescent="0.45">
      <c r="B18" s="98" t="s">
        <v>235</v>
      </c>
      <c r="C18" s="99">
        <v>27000</v>
      </c>
      <c r="D18" s="100">
        <v>44655</v>
      </c>
      <c r="E18" s="99">
        <v>27500</v>
      </c>
      <c r="F18" s="100">
        <v>43845</v>
      </c>
      <c r="G18" s="99">
        <v>28000</v>
      </c>
      <c r="H18" s="100">
        <v>43020</v>
      </c>
      <c r="I18" s="99">
        <v>28500</v>
      </c>
      <c r="J18" s="100">
        <v>42180</v>
      </c>
      <c r="K18" s="99">
        <v>29000</v>
      </c>
      <c r="L18" s="101">
        <v>41325</v>
      </c>
      <c r="M18" s="102">
        <f t="shared" si="0"/>
        <v>355025</v>
      </c>
      <c r="N18" s="72"/>
      <c r="O18" s="18"/>
      <c r="P18" s="18"/>
    </row>
    <row r="19" spans="2:16" ht="15.4" x14ac:dyDescent="0.45">
      <c r="B19" s="219" t="s">
        <v>236</v>
      </c>
      <c r="C19" s="252">
        <f>5843.39+5901.83</f>
        <v>11745.220000000001</v>
      </c>
      <c r="D19" s="253">
        <f>1146.17+143.27+1087.73+135.97</f>
        <v>2513.14</v>
      </c>
      <c r="E19" s="252">
        <f>5960.85+6020.45</f>
        <v>11981.3</v>
      </c>
      <c r="F19" s="253">
        <f>1028.71+969.11+128.59+121.14</f>
        <v>2247.5500000000002</v>
      </c>
      <c r="G19" s="252">
        <f>6080.66+6141.47</f>
        <v>12222.130000000001</v>
      </c>
      <c r="H19" s="253">
        <f>908.9+848.09+113.61+106.01</f>
        <v>1976.61</v>
      </c>
      <c r="I19" s="252">
        <f>6202.88+6264.91</f>
        <v>12467.79</v>
      </c>
      <c r="J19" s="253">
        <f>786.68+724.65+98.34+90.58</f>
        <v>1700.2499999999998</v>
      </c>
      <c r="K19" s="252">
        <f>6327.56+6390.83</f>
        <v>12718.39</v>
      </c>
      <c r="L19" s="254">
        <f>662+598.73+82.75+74.84</f>
        <v>1418.32</v>
      </c>
      <c r="M19" s="255">
        <f t="shared" si="0"/>
        <v>70990.700000000012</v>
      </c>
      <c r="N19" s="72"/>
      <c r="O19" s="18"/>
      <c r="P19" s="18"/>
    </row>
    <row r="20" spans="2:16" ht="15.4" x14ac:dyDescent="0.45">
      <c r="B20" s="73" t="s">
        <v>65</v>
      </c>
      <c r="C20" s="103">
        <f t="shared" ref="C20:M20" si="1">SUM(C12:C19)</f>
        <v>106245.22</v>
      </c>
      <c r="D20" s="104">
        <f t="shared" si="1"/>
        <v>135455.14000000001</v>
      </c>
      <c r="E20" s="103">
        <f t="shared" si="1"/>
        <v>110981.3</v>
      </c>
      <c r="F20" s="105">
        <f t="shared" si="1"/>
        <v>131345.54999999999</v>
      </c>
      <c r="G20" s="103">
        <f t="shared" si="1"/>
        <v>113722.13</v>
      </c>
      <c r="H20" s="105">
        <f t="shared" si="1"/>
        <v>127026.61</v>
      </c>
      <c r="I20" s="103">
        <f t="shared" si="1"/>
        <v>119467.79000000001</v>
      </c>
      <c r="J20" s="105">
        <f t="shared" si="1"/>
        <v>122588.25</v>
      </c>
      <c r="K20" s="103">
        <f t="shared" si="1"/>
        <v>122718.39</v>
      </c>
      <c r="L20" s="105">
        <f t="shared" si="1"/>
        <v>117887.32</v>
      </c>
      <c r="M20" s="106">
        <f t="shared" si="1"/>
        <v>1207437.7</v>
      </c>
      <c r="N20" s="72"/>
      <c r="O20" s="18"/>
      <c r="P20" s="18">
        <f>SUM(C20:L20)</f>
        <v>1207437.7000000002</v>
      </c>
    </row>
    <row r="21" spans="2:16" ht="15.4" x14ac:dyDescent="0.45">
      <c r="B21" s="107"/>
      <c r="C21" s="108"/>
      <c r="D21" s="109"/>
      <c r="E21" s="108"/>
      <c r="F21" s="110"/>
      <c r="G21" s="108"/>
      <c r="H21" s="110"/>
      <c r="I21" s="108"/>
      <c r="J21" s="111"/>
      <c r="K21" s="108"/>
      <c r="L21" s="110"/>
      <c r="M21" s="109"/>
      <c r="N21" s="68"/>
      <c r="O21" s="18"/>
      <c r="P21" s="18"/>
    </row>
    <row r="22" spans="2:16" ht="15.4" x14ac:dyDescent="0.45">
      <c r="B22" s="112"/>
      <c r="C22" s="113"/>
      <c r="D22" s="113"/>
      <c r="E22" s="113"/>
      <c r="F22" s="113"/>
      <c r="G22" s="113"/>
      <c r="H22" s="113"/>
      <c r="I22" s="113"/>
      <c r="J22" s="114"/>
      <c r="K22" s="114"/>
      <c r="L22" s="114"/>
      <c r="M22" s="113"/>
      <c r="N22" s="72"/>
      <c r="O22" s="18"/>
      <c r="P22" s="18"/>
    </row>
    <row r="23" spans="2:16" ht="15.4" x14ac:dyDescent="0.45">
      <c r="B23" s="115"/>
      <c r="C23" s="116"/>
      <c r="D23" s="117"/>
      <c r="E23" s="116"/>
      <c r="F23" s="116"/>
      <c r="G23" s="116"/>
      <c r="H23" s="116"/>
      <c r="I23" s="117" t="s">
        <v>105</v>
      </c>
      <c r="J23" s="18"/>
      <c r="K23" s="118"/>
      <c r="L23" s="119"/>
      <c r="M23" s="116">
        <f>M20/5</f>
        <v>241487.53999999998</v>
      </c>
      <c r="N23" s="72"/>
      <c r="O23" s="18"/>
      <c r="P23" s="18"/>
    </row>
    <row r="24" spans="2:16" ht="15.4" x14ac:dyDescent="0.45">
      <c r="B24" s="20"/>
      <c r="C24" s="117"/>
      <c r="D24" s="18"/>
      <c r="E24" s="117"/>
      <c r="F24" s="117"/>
      <c r="G24" s="117"/>
      <c r="H24" s="117"/>
      <c r="I24" s="117"/>
      <c r="J24" s="18"/>
      <c r="K24" s="23"/>
      <c r="L24" s="118"/>
      <c r="M24" s="31"/>
      <c r="N24" s="72"/>
      <c r="O24" s="18"/>
      <c r="P24" s="18"/>
    </row>
    <row r="25" spans="2:16" ht="15.4" x14ac:dyDescent="0.45">
      <c r="B25" s="115"/>
      <c r="C25" s="117"/>
      <c r="D25" s="117"/>
      <c r="E25" s="117"/>
      <c r="F25" s="117"/>
      <c r="G25" s="117"/>
      <c r="H25" s="117"/>
      <c r="I25" s="117" t="s">
        <v>106</v>
      </c>
      <c r="J25" s="18"/>
      <c r="K25" s="118"/>
      <c r="L25" s="117"/>
      <c r="M25" s="116">
        <f>M23*0.2</f>
        <v>48297.508000000002</v>
      </c>
      <c r="N25" s="72"/>
      <c r="O25" s="18"/>
      <c r="P25" s="18">
        <f>M25+M23</f>
        <v>289785.04799999995</v>
      </c>
    </row>
    <row r="26" spans="2:16" ht="15.4" x14ac:dyDescent="0.45">
      <c r="B26" s="120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68"/>
      <c r="O26" s="18"/>
      <c r="P26" s="18"/>
    </row>
  </sheetData>
  <mergeCells count="5">
    <mergeCell ref="C9:D9"/>
    <mergeCell ref="E9:F9"/>
    <mergeCell ref="G9:H9"/>
    <mergeCell ref="I9:J9"/>
    <mergeCell ref="K9:L9"/>
  </mergeCells>
  <printOptions horizontalCentered="1" verticalCentered="1"/>
  <pageMargins left="0.7" right="0.7" top="0.75" bottom="0.75" header="0.3" footer="0.3"/>
  <pageSetup scale="90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7B32F-4CA1-4F84-B54A-FE6CF749D13D}">
  <sheetPr>
    <tabColor rgb="FF92D050"/>
  </sheetPr>
  <dimension ref="A1:E6"/>
  <sheetViews>
    <sheetView workbookViewId="0">
      <selection activeCell="H13" sqref="H13"/>
    </sheetView>
  </sheetViews>
  <sheetFormatPr defaultRowHeight="14.25" x14ac:dyDescent="0.45"/>
  <cols>
    <col min="1" max="1" width="11.21875" style="1" customWidth="1"/>
    <col min="2" max="16384" width="8.88671875" style="1"/>
  </cols>
  <sheetData>
    <row r="1" spans="1:5" x14ac:dyDescent="0.45">
      <c r="A1" s="1" t="s">
        <v>228</v>
      </c>
    </row>
    <row r="3" spans="1:5" x14ac:dyDescent="0.45">
      <c r="A3" s="1" t="s">
        <v>156</v>
      </c>
      <c r="C3" s="151">
        <f>D3*E3</f>
        <v>6000</v>
      </c>
      <c r="D3" s="1">
        <v>8</v>
      </c>
      <c r="E3" s="1">
        <v>750</v>
      </c>
    </row>
    <row r="5" spans="1:5" x14ac:dyDescent="0.45">
      <c r="A5" s="1" t="s">
        <v>227</v>
      </c>
      <c r="B5" s="152">
        <v>0.3</v>
      </c>
      <c r="C5" s="151">
        <f>B5*C3</f>
        <v>1800</v>
      </c>
    </row>
    <row r="6" spans="1:5" x14ac:dyDescent="0.45">
      <c r="A6" s="1" t="s">
        <v>155</v>
      </c>
      <c r="B6" s="152">
        <v>0.7</v>
      </c>
      <c r="C6" s="151">
        <f>B6*C3</f>
        <v>4200</v>
      </c>
    </row>
  </sheetData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52889-0321-45D3-A9A4-AE60C9D6113F}">
  <sheetPr>
    <tabColor rgb="FF92D050"/>
  </sheetPr>
  <dimension ref="A1:G37"/>
  <sheetViews>
    <sheetView showGridLines="0" topLeftCell="A10" workbookViewId="0">
      <selection activeCell="B20" sqref="B20"/>
    </sheetView>
  </sheetViews>
  <sheetFormatPr defaultRowHeight="13.5" x14ac:dyDescent="0.35"/>
  <cols>
    <col min="1" max="1" width="22.0546875" style="145" customWidth="1"/>
    <col min="2" max="2" width="9.88671875" style="146" bestFit="1" customWidth="1"/>
    <col min="3" max="3" width="9.71875" style="146" bestFit="1" customWidth="1"/>
    <col min="4" max="4" width="9.88671875" style="145" bestFit="1" customWidth="1"/>
    <col min="5" max="16384" width="8.88671875" style="145"/>
  </cols>
  <sheetData>
    <row r="1" spans="1:7" ht="14.25" x14ac:dyDescent="0.45">
      <c r="A1" s="1" t="s">
        <v>134</v>
      </c>
      <c r="B1" s="7"/>
      <c r="C1" s="7"/>
      <c r="D1" s="1"/>
      <c r="E1" s="1"/>
      <c r="F1" s="1"/>
      <c r="G1" s="1"/>
    </row>
    <row r="2" spans="1:7" ht="14.25" x14ac:dyDescent="0.45">
      <c r="A2" s="1" t="s">
        <v>140</v>
      </c>
      <c r="B2" s="7"/>
      <c r="C2" s="7">
        <v>0</v>
      </c>
      <c r="D2" s="1"/>
      <c r="E2" s="1"/>
      <c r="F2" s="1"/>
      <c r="G2" s="1"/>
    </row>
    <row r="3" spans="1:7" ht="14.25" x14ac:dyDescent="0.45">
      <c r="A3" s="1" t="s">
        <v>141</v>
      </c>
      <c r="B3" s="220"/>
      <c r="C3" s="222">
        <v>71584</v>
      </c>
      <c r="D3" s="1"/>
      <c r="E3" s="1"/>
      <c r="F3" s="1"/>
      <c r="G3" s="1"/>
    </row>
    <row r="4" spans="1:7" ht="14.25" x14ac:dyDescent="0.45">
      <c r="A4" s="1" t="s">
        <v>142</v>
      </c>
      <c r="B4" s="220"/>
      <c r="C4" s="220">
        <f>C2+C3</f>
        <v>71584</v>
      </c>
      <c r="D4" s="1"/>
      <c r="E4" s="1"/>
      <c r="F4" s="1"/>
      <c r="G4" s="1"/>
    </row>
    <row r="5" spans="1:7" ht="14.25" x14ac:dyDescent="0.45">
      <c r="A5" s="1"/>
      <c r="B5" s="220"/>
      <c r="C5" s="220"/>
      <c r="D5" s="1"/>
      <c r="E5" s="1"/>
      <c r="F5" s="1"/>
      <c r="G5" s="1"/>
    </row>
    <row r="6" spans="1:7" ht="14.25" x14ac:dyDescent="0.45">
      <c r="A6" s="1" t="s">
        <v>135</v>
      </c>
      <c r="B6" s="220"/>
      <c r="C6" s="220">
        <v>60919</v>
      </c>
      <c r="D6" s="1"/>
      <c r="E6" s="1"/>
      <c r="F6" s="1"/>
      <c r="G6" s="1"/>
    </row>
    <row r="7" spans="1:7" ht="14.25" x14ac:dyDescent="0.45">
      <c r="A7" s="1"/>
      <c r="B7" s="220"/>
      <c r="C7" s="220"/>
      <c r="D7" s="1"/>
      <c r="E7" s="1"/>
      <c r="F7" s="1"/>
      <c r="G7" s="1"/>
    </row>
    <row r="8" spans="1:7" ht="14.25" x14ac:dyDescent="0.45">
      <c r="A8" s="1" t="s">
        <v>136</v>
      </c>
      <c r="B8" s="220"/>
      <c r="C8" s="220"/>
      <c r="D8" s="1"/>
      <c r="E8" s="1"/>
      <c r="F8" s="1"/>
      <c r="G8" s="1"/>
    </row>
    <row r="9" spans="1:7" ht="14.25" x14ac:dyDescent="0.45">
      <c r="A9" s="1" t="s">
        <v>145</v>
      </c>
      <c r="B9" s="220">
        <v>120</v>
      </c>
      <c r="C9" s="220"/>
      <c r="D9" s="1"/>
      <c r="E9" s="1"/>
      <c r="F9" s="1"/>
      <c r="G9" s="1"/>
    </row>
    <row r="10" spans="1:7" ht="14.25" x14ac:dyDescent="0.45">
      <c r="A10" s="1" t="s">
        <v>146</v>
      </c>
      <c r="B10" s="220">
        <v>2040</v>
      </c>
      <c r="C10" s="220"/>
      <c r="D10" s="1"/>
      <c r="E10" s="1"/>
      <c r="F10" s="1"/>
      <c r="G10" s="1"/>
    </row>
    <row r="11" spans="1:7" ht="14.25" x14ac:dyDescent="0.45">
      <c r="A11" s="1" t="s">
        <v>147</v>
      </c>
      <c r="B11" s="220">
        <v>282</v>
      </c>
      <c r="C11" s="220"/>
      <c r="D11" s="1"/>
      <c r="E11" s="1"/>
      <c r="F11" s="1"/>
      <c r="G11" s="1"/>
    </row>
    <row r="12" spans="1:7" ht="14.25" x14ac:dyDescent="0.45">
      <c r="A12" s="1" t="s">
        <v>148</v>
      </c>
      <c r="B12" s="220">
        <v>0</v>
      </c>
      <c r="C12" s="222"/>
      <c r="D12" s="1"/>
      <c r="E12" s="1"/>
      <c r="F12" s="1"/>
      <c r="G12" s="1"/>
    </row>
    <row r="13" spans="1:7" ht="14.25" x14ac:dyDescent="0.45">
      <c r="A13" s="1" t="s">
        <v>143</v>
      </c>
      <c r="B13" s="7"/>
      <c r="C13" s="7">
        <f>SUM(B9:B12)</f>
        <v>2442</v>
      </c>
      <c r="D13" s="1"/>
      <c r="E13" s="1"/>
      <c r="F13" s="1"/>
      <c r="G13" s="1"/>
    </row>
    <row r="14" spans="1:7" ht="14.25" x14ac:dyDescent="0.45">
      <c r="A14" s="1"/>
      <c r="B14" s="7"/>
      <c r="C14" s="7"/>
      <c r="D14" s="1"/>
      <c r="E14" s="1"/>
      <c r="F14" s="1"/>
      <c r="G14" s="1"/>
    </row>
    <row r="15" spans="1:7" ht="14.25" x14ac:dyDescent="0.45">
      <c r="A15" s="1" t="s">
        <v>144</v>
      </c>
      <c r="B15" s="7"/>
      <c r="C15" s="7"/>
      <c r="D15" s="1"/>
      <c r="E15" s="1"/>
      <c r="F15" s="1"/>
      <c r="G15" s="1"/>
    </row>
    <row r="16" spans="1:7" ht="14.25" x14ac:dyDescent="0.45">
      <c r="A16" s="1" t="s">
        <v>184</v>
      </c>
      <c r="B16" s="220">
        <v>0</v>
      </c>
      <c r="C16" s="7"/>
      <c r="D16" s="1"/>
      <c r="E16" s="1"/>
      <c r="F16" s="1"/>
      <c r="G16" s="1"/>
    </row>
    <row r="17" spans="1:7" ht="14.25" x14ac:dyDescent="0.45">
      <c r="A17" s="1" t="s">
        <v>185</v>
      </c>
      <c r="B17" s="220">
        <v>0</v>
      </c>
      <c r="C17" s="7"/>
      <c r="D17" s="1"/>
      <c r="E17" s="1"/>
      <c r="F17" s="1"/>
      <c r="G17" s="1"/>
    </row>
    <row r="18" spans="1:7" ht="14.25" x14ac:dyDescent="0.45">
      <c r="A18" s="1" t="s">
        <v>149</v>
      </c>
      <c r="B18" s="220">
        <v>2116</v>
      </c>
      <c r="C18" s="7"/>
      <c r="D18" s="1"/>
      <c r="E18" s="1"/>
      <c r="F18" s="1"/>
      <c r="G18" s="1"/>
    </row>
    <row r="19" spans="1:7" ht="14.25" x14ac:dyDescent="0.45">
      <c r="A19" s="1" t="s">
        <v>150</v>
      </c>
      <c r="B19" s="220">
        <v>6107</v>
      </c>
      <c r="C19" s="7"/>
    </row>
    <row r="20" spans="1:7" ht="14.25" x14ac:dyDescent="0.45">
      <c r="A20" s="1" t="s">
        <v>151</v>
      </c>
      <c r="B20" s="7"/>
      <c r="C20" s="5">
        <f>SUM(B16:B19)</f>
        <v>8223</v>
      </c>
    </row>
    <row r="21" spans="1:7" ht="14.25" x14ac:dyDescent="0.45">
      <c r="A21" s="1" t="s">
        <v>152</v>
      </c>
      <c r="B21" s="7"/>
      <c r="C21" s="7">
        <f>C6+C13+C20</f>
        <v>71584</v>
      </c>
    </row>
    <row r="22" spans="1:7" ht="14.25" x14ac:dyDescent="0.45">
      <c r="A22" s="1"/>
    </row>
    <row r="24" spans="1:7" ht="14.25" x14ac:dyDescent="0.45">
      <c r="D24" s="47">
        <f>C20/C4</f>
        <v>0.1148720384443451</v>
      </c>
      <c r="E24" s="1" t="s">
        <v>137</v>
      </c>
      <c r="F24" s="1"/>
      <c r="G24" s="1"/>
    </row>
    <row r="25" spans="1:7" ht="14.25" x14ac:dyDescent="0.45">
      <c r="D25" s="47">
        <v>0.15</v>
      </c>
      <c r="E25" s="1" t="s">
        <v>138</v>
      </c>
      <c r="F25" s="1"/>
      <c r="G25" s="1"/>
    </row>
    <row r="26" spans="1:7" ht="14.25" x14ac:dyDescent="0.45">
      <c r="D26" s="47">
        <f>IF(D24&gt;D25,D24-D25,0)</f>
        <v>0</v>
      </c>
      <c r="E26" s="1" t="s">
        <v>139</v>
      </c>
      <c r="F26" s="1"/>
      <c r="G26" s="21"/>
    </row>
    <row r="28" spans="1:7" ht="14.25" x14ac:dyDescent="0.45">
      <c r="A28" s="1" t="s">
        <v>198</v>
      </c>
      <c r="B28" s="7"/>
      <c r="C28" s="7"/>
      <c r="D28" s="22" t="s">
        <v>37</v>
      </c>
    </row>
    <row r="29" spans="1:7" ht="14.25" x14ac:dyDescent="0.45">
      <c r="A29" s="1" t="str">
        <f>SAO!C22</f>
        <v>Purchased Water</v>
      </c>
      <c r="B29" s="206">
        <f>SAO!D22</f>
        <v>0</v>
      </c>
      <c r="C29" s="193"/>
      <c r="D29" s="157">
        <f>-SAO!D22*$D$26</f>
        <v>0</v>
      </c>
      <c r="F29" s="21"/>
    </row>
    <row r="30" spans="1:7" ht="14.25" x14ac:dyDescent="0.45">
      <c r="A30" s="1" t="str">
        <f>SAO!C23</f>
        <v>Purchased Power</v>
      </c>
      <c r="B30" s="206">
        <f>SAO!D23</f>
        <v>51868</v>
      </c>
      <c r="C30" s="193"/>
      <c r="D30" s="157">
        <f>-SAO!D23*$D$26</f>
        <v>0</v>
      </c>
      <c r="F30" s="21"/>
    </row>
    <row r="31" spans="1:7" ht="14.25" x14ac:dyDescent="0.45">
      <c r="A31" s="1" t="str">
        <f>SAO!C24</f>
        <v>Chemicals</v>
      </c>
      <c r="B31" s="207">
        <f>SAO!D24</f>
        <v>0</v>
      </c>
      <c r="C31" s="194"/>
      <c r="D31" s="195">
        <f>-SAO!D24*$D$26</f>
        <v>0</v>
      </c>
    </row>
    <row r="32" spans="1:7" ht="14.25" x14ac:dyDescent="0.45">
      <c r="A32" s="1" t="s">
        <v>12</v>
      </c>
      <c r="B32" s="206">
        <f>SUM(B29:B31)</f>
        <v>51868</v>
      </c>
      <c r="C32" s="194"/>
      <c r="D32" s="206">
        <f>SUM(D29:D31)</f>
        <v>0</v>
      </c>
    </row>
    <row r="33" spans="1:4" ht="14.25" x14ac:dyDescent="0.45">
      <c r="A33" s="1"/>
      <c r="B33" s="206"/>
      <c r="C33" s="194"/>
      <c r="D33" s="206"/>
    </row>
    <row r="34" spans="1:4" ht="14.25" x14ac:dyDescent="0.45">
      <c r="A34" s="1" t="s">
        <v>199</v>
      </c>
      <c r="B34" s="7"/>
      <c r="C34" s="194"/>
      <c r="D34" s="157"/>
    </row>
    <row r="35" spans="1:4" ht="14.25" x14ac:dyDescent="0.45">
      <c r="A35" s="1" t="s">
        <v>176</v>
      </c>
      <c r="B35" s="7"/>
      <c r="C35" s="194"/>
      <c r="D35" s="209">
        <f>D32</f>
        <v>0</v>
      </c>
    </row>
    <row r="36" spans="1:4" ht="14.25" x14ac:dyDescent="0.45">
      <c r="A36" s="1" t="s">
        <v>179</v>
      </c>
      <c r="B36" s="7"/>
      <c r="C36" s="6"/>
      <c r="D36" s="30">
        <f>IF(D24&gt;D25,ExBA!F4,0)</f>
        <v>0</v>
      </c>
    </row>
    <row r="37" spans="1:4" ht="14.25" x14ac:dyDescent="0.45">
      <c r="A37" s="1" t="s">
        <v>177</v>
      </c>
      <c r="B37" s="7"/>
      <c r="C37" s="194"/>
      <c r="D37" s="157">
        <f>IF(D24&gt;D25,-D35/D36,0)</f>
        <v>0</v>
      </c>
    </row>
  </sheetData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2:GI15"/>
  <sheetViews>
    <sheetView showGridLines="0" workbookViewId="0">
      <selection activeCell="J16" sqref="B1:J16"/>
    </sheetView>
  </sheetViews>
  <sheetFormatPr defaultColWidth="8.88671875" defaultRowHeight="14.25" x14ac:dyDescent="0.45"/>
  <cols>
    <col min="1" max="1" width="3.0546875" style="26" customWidth="1"/>
    <col min="2" max="2" width="9.6640625" style="26" customWidth="1"/>
    <col min="3" max="3" width="11.109375" style="26" customWidth="1"/>
    <col min="4" max="4" width="8.44140625" style="26" customWidth="1"/>
    <col min="5" max="5" width="13.1640625" style="26" bestFit="1" customWidth="1"/>
    <col min="6" max="6" width="9.6640625" style="26" customWidth="1"/>
    <col min="7" max="7" width="13.1640625" style="26" bestFit="1" customWidth="1"/>
    <col min="8" max="8" width="9.6640625" style="26" customWidth="1"/>
    <col min="9" max="9" width="9.6640625" style="211" customWidth="1"/>
    <col min="10" max="10" width="2.77734375" style="26" customWidth="1"/>
    <col min="11" max="11" width="2.5546875" style="26" customWidth="1"/>
    <col min="12" max="12" width="9.6640625" style="191" customWidth="1"/>
    <col min="13" max="191" width="9.6640625" style="26" customWidth="1"/>
    <col min="192" max="16384" width="8.88671875" style="17"/>
  </cols>
  <sheetData>
    <row r="2" spans="2:14" ht="18" customHeight="1" x14ac:dyDescent="0.55000000000000004">
      <c r="B2" s="284"/>
      <c r="C2" s="285"/>
      <c r="D2" s="285"/>
      <c r="E2" s="285"/>
      <c r="F2" s="285"/>
      <c r="G2" s="285"/>
      <c r="H2" s="285"/>
      <c r="I2" s="285"/>
      <c r="J2" s="286"/>
    </row>
    <row r="3" spans="2:14" ht="18" hidden="1" customHeight="1" x14ac:dyDescent="0.55000000000000004">
      <c r="B3" s="279" t="s">
        <v>66</v>
      </c>
      <c r="C3" s="280"/>
      <c r="D3" s="280"/>
      <c r="E3" s="280"/>
      <c r="F3" s="280"/>
      <c r="G3" s="280"/>
      <c r="H3" s="280"/>
      <c r="I3" s="280"/>
      <c r="J3" s="281"/>
    </row>
    <row r="4" spans="2:14" ht="18" hidden="1" customHeight="1" x14ac:dyDescent="0.55000000000000004">
      <c r="B4" s="279" t="s">
        <v>277</v>
      </c>
      <c r="C4" s="280"/>
      <c r="D4" s="280"/>
      <c r="E4" s="280"/>
      <c r="F4" s="280"/>
      <c r="G4" s="280"/>
      <c r="H4" s="280"/>
      <c r="I4" s="280"/>
      <c r="J4" s="281"/>
    </row>
    <row r="5" spans="2:14" ht="18" hidden="1" customHeight="1" x14ac:dyDescent="0.45">
      <c r="B5" s="258"/>
      <c r="J5" s="259"/>
    </row>
    <row r="6" spans="2:14" ht="21" hidden="1" x14ac:dyDescent="0.65">
      <c r="B6" s="287" t="s">
        <v>48</v>
      </c>
      <c r="C6" s="288"/>
      <c r="D6" s="288"/>
      <c r="E6" s="288"/>
      <c r="F6" s="288"/>
      <c r="G6" s="288"/>
      <c r="H6" s="288"/>
      <c r="I6" s="288"/>
      <c r="J6" s="289"/>
    </row>
    <row r="7" spans="2:14" ht="18" hidden="1" customHeight="1" x14ac:dyDescent="0.45">
      <c r="B7" s="290" t="s">
        <v>222</v>
      </c>
      <c r="C7" s="291"/>
      <c r="D7" s="291"/>
      <c r="E7" s="291"/>
      <c r="F7" s="291"/>
      <c r="G7" s="291"/>
      <c r="H7" s="291"/>
      <c r="I7" s="291"/>
      <c r="J7" s="292"/>
    </row>
    <row r="8" spans="2:14" ht="30.4" customHeight="1" x14ac:dyDescent="0.75">
      <c r="B8" s="293" t="s">
        <v>203</v>
      </c>
      <c r="C8" s="294"/>
      <c r="D8" s="282" t="s">
        <v>49</v>
      </c>
      <c r="E8" s="283"/>
      <c r="F8" s="282" t="s">
        <v>10</v>
      </c>
      <c r="G8" s="283"/>
      <c r="H8" s="282" t="s">
        <v>60</v>
      </c>
      <c r="I8" s="282"/>
      <c r="J8" s="260"/>
    </row>
    <row r="9" spans="2:14" x14ac:dyDescent="0.45">
      <c r="B9" s="261"/>
      <c r="C9" s="27"/>
      <c r="D9" s="28"/>
      <c r="E9" s="28"/>
      <c r="F9" s="29"/>
      <c r="G9" s="28"/>
      <c r="H9" s="28"/>
      <c r="J9" s="262"/>
      <c r="M9" s="192"/>
      <c r="N9" s="192"/>
    </row>
    <row r="10" spans="2:14" x14ac:dyDescent="0.45">
      <c r="B10" s="263" t="s">
        <v>191</v>
      </c>
      <c r="C10" s="233" t="s">
        <v>215</v>
      </c>
      <c r="D10" s="234">
        <v>44.6</v>
      </c>
      <c r="E10" s="234" t="s">
        <v>204</v>
      </c>
      <c r="F10" s="235">
        <f>ROUND(D10*(1+SAO!$G$55),2)</f>
        <v>56.67</v>
      </c>
      <c r="G10" s="234" t="s">
        <v>204</v>
      </c>
      <c r="H10" s="234">
        <f t="shared" ref="H10:H12" si="0">F10-D10</f>
        <v>12.07</v>
      </c>
      <c r="I10" s="236">
        <f t="shared" ref="I10:I12" si="1">H10/D10</f>
        <v>0.27062780269058295</v>
      </c>
      <c r="J10" s="264"/>
      <c r="M10" s="192"/>
      <c r="N10" s="192"/>
    </row>
    <row r="11" spans="2:14" x14ac:dyDescent="0.45">
      <c r="B11" s="263" t="s">
        <v>216</v>
      </c>
      <c r="C11" s="233" t="s">
        <v>223</v>
      </c>
      <c r="D11" s="234">
        <v>6.48</v>
      </c>
      <c r="E11" s="234" t="s">
        <v>213</v>
      </c>
      <c r="F11" s="235">
        <f>ROUND(D11*(1+SAO!$G$55),2)</f>
        <v>8.23</v>
      </c>
      <c r="G11" s="234" t="s">
        <v>213</v>
      </c>
      <c r="H11" s="234">
        <f t="shared" ref="H11" si="2">F11-D11</f>
        <v>1.75</v>
      </c>
      <c r="I11" s="236">
        <f t="shared" ref="I11" si="3">H11/D11</f>
        <v>0.27006172839506171</v>
      </c>
      <c r="J11" s="264"/>
      <c r="M11" s="192"/>
      <c r="N11" s="192"/>
    </row>
    <row r="12" spans="2:14" x14ac:dyDescent="0.45">
      <c r="B12" s="263" t="s">
        <v>205</v>
      </c>
      <c r="C12" s="233" t="s">
        <v>214</v>
      </c>
      <c r="D12" s="234">
        <v>5.68</v>
      </c>
      <c r="E12" s="234" t="s">
        <v>213</v>
      </c>
      <c r="F12" s="235">
        <f>ROUND(D12*(1+SAO!$G$55),2)</f>
        <v>7.22</v>
      </c>
      <c r="G12" s="234" t="s">
        <v>213</v>
      </c>
      <c r="H12" s="234">
        <f t="shared" si="0"/>
        <v>1.54</v>
      </c>
      <c r="I12" s="236">
        <f t="shared" si="1"/>
        <v>0.27112676056338031</v>
      </c>
      <c r="J12" s="264"/>
      <c r="M12" s="192"/>
      <c r="N12" s="192"/>
    </row>
    <row r="13" spans="2:14" x14ac:dyDescent="0.45">
      <c r="B13" s="263"/>
      <c r="C13" s="233"/>
      <c r="D13" s="234"/>
      <c r="E13" s="234"/>
      <c r="F13" s="235"/>
      <c r="G13" s="234"/>
      <c r="H13" s="234"/>
      <c r="I13" s="236"/>
      <c r="J13" s="264"/>
      <c r="M13" s="192"/>
      <c r="N13" s="192"/>
    </row>
    <row r="14" spans="2:14" x14ac:dyDescent="0.45">
      <c r="B14" s="263"/>
      <c r="C14" s="233" t="s">
        <v>224</v>
      </c>
      <c r="D14" s="234">
        <v>6.83</v>
      </c>
      <c r="E14" s="234" t="s">
        <v>213</v>
      </c>
      <c r="F14" s="235">
        <f>ROUND(D14*(1+SAO!$G$55),2)</f>
        <v>8.68</v>
      </c>
      <c r="G14" s="234" t="s">
        <v>213</v>
      </c>
      <c r="H14" s="234">
        <f t="shared" ref="H14" si="4">F14-D14</f>
        <v>1.8499999999999996</v>
      </c>
      <c r="I14" s="236">
        <f t="shared" ref="I14" si="5">H14/D14</f>
        <v>0.27086383601756947</v>
      </c>
      <c r="J14" s="264"/>
      <c r="M14" s="192"/>
      <c r="N14" s="192"/>
    </row>
    <row r="15" spans="2:14" x14ac:dyDescent="0.45">
      <c r="B15" s="265"/>
      <c r="C15" s="266"/>
      <c r="D15" s="266"/>
      <c r="E15" s="266"/>
      <c r="F15" s="266"/>
      <c r="G15" s="266"/>
      <c r="H15" s="266"/>
      <c r="I15" s="267"/>
      <c r="J15" s="268"/>
    </row>
  </sheetData>
  <mergeCells count="9">
    <mergeCell ref="B3:J3"/>
    <mergeCell ref="D8:E8"/>
    <mergeCell ref="F8:G8"/>
    <mergeCell ref="B2:J2"/>
    <mergeCell ref="B6:J6"/>
    <mergeCell ref="B7:J7"/>
    <mergeCell ref="B8:C8"/>
    <mergeCell ref="H8:I8"/>
    <mergeCell ref="B4:J4"/>
  </mergeCells>
  <printOptions horizontalCentered="1"/>
  <pageMargins left="0.55000000000000004" right="0.55000000000000004" top="1.6" bottom="0.5" header="0" footer="0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B1:O27"/>
  <sheetViews>
    <sheetView showGridLines="0" workbookViewId="0">
      <selection activeCell="M8" sqref="M8"/>
    </sheetView>
  </sheetViews>
  <sheetFormatPr defaultColWidth="8.88671875" defaultRowHeight="14.25" x14ac:dyDescent="0.45"/>
  <cols>
    <col min="1" max="1" width="2.609375" style="7" customWidth="1"/>
    <col min="2" max="2" width="1.77734375" style="7" customWidth="1"/>
    <col min="3" max="4" width="9.77734375" style="7" customWidth="1"/>
    <col min="5" max="6" width="9.77734375" style="220" customWidth="1"/>
    <col min="7" max="8" width="9.77734375" style="7" customWidth="1"/>
    <col min="9" max="9" width="1.77734375" style="7" customWidth="1"/>
    <col min="10" max="10" width="2.5" style="7" customWidth="1"/>
    <col min="11" max="16384" width="8.88671875" style="7"/>
  </cols>
  <sheetData>
    <row r="1" spans="2:11" x14ac:dyDescent="0.45">
      <c r="B1" s="8"/>
      <c r="C1" s="9"/>
      <c r="D1" s="9"/>
      <c r="E1" s="221"/>
      <c r="F1" s="221"/>
      <c r="G1" s="9"/>
      <c r="H1" s="9"/>
      <c r="I1" s="10"/>
    </row>
    <row r="2" spans="2:11" ht="18" x14ac:dyDescent="0.55000000000000004">
      <c r="B2" s="11"/>
      <c r="C2" s="298" t="s">
        <v>175</v>
      </c>
      <c r="D2" s="298"/>
      <c r="E2" s="298"/>
      <c r="F2" s="298"/>
      <c r="G2" s="298"/>
      <c r="H2" s="298"/>
      <c r="I2" s="299"/>
    </row>
    <row r="3" spans="2:11" ht="18" x14ac:dyDescent="0.55000000000000004">
      <c r="B3" s="11"/>
      <c r="C3" s="295" t="s">
        <v>178</v>
      </c>
      <c r="D3" s="295"/>
      <c r="E3" s="295"/>
      <c r="F3" s="295"/>
      <c r="G3" s="295"/>
      <c r="H3" s="295"/>
      <c r="I3" s="296"/>
    </row>
    <row r="4" spans="2:11" ht="15.75" x14ac:dyDescent="0.45">
      <c r="B4" s="11"/>
      <c r="C4" s="275" t="s">
        <v>222</v>
      </c>
      <c r="D4" s="275"/>
      <c r="E4" s="275"/>
      <c r="F4" s="275"/>
      <c r="G4" s="275"/>
      <c r="H4" s="275"/>
      <c r="I4" s="297"/>
    </row>
    <row r="5" spans="2:11" x14ac:dyDescent="0.45">
      <c r="B5" s="13"/>
      <c r="C5" s="5"/>
      <c r="D5" s="5"/>
      <c r="E5" s="222"/>
      <c r="F5" s="222"/>
      <c r="G5" s="5"/>
      <c r="H5" s="5"/>
      <c r="I5" s="14"/>
    </row>
    <row r="6" spans="2:11" ht="6" customHeight="1" x14ac:dyDescent="0.45">
      <c r="B6" s="11"/>
      <c r="C6" s="6"/>
      <c r="D6" s="12"/>
      <c r="E6" s="223"/>
      <c r="F6" s="35"/>
      <c r="G6" s="35"/>
      <c r="H6" s="35"/>
      <c r="I6" s="36"/>
      <c r="J6" s="34"/>
      <c r="K6" s="34"/>
    </row>
    <row r="7" spans="2:11" ht="16.5" x14ac:dyDescent="0.75">
      <c r="B7" s="11"/>
      <c r="C7" s="16" t="s">
        <v>13</v>
      </c>
      <c r="D7" s="33" t="s">
        <v>59</v>
      </c>
      <c r="E7" s="224" t="s">
        <v>24</v>
      </c>
      <c r="F7" s="226" t="s">
        <v>10</v>
      </c>
      <c r="G7" s="16"/>
      <c r="H7" s="16"/>
      <c r="I7" s="33"/>
    </row>
    <row r="8" spans="2:11" ht="16.5" x14ac:dyDescent="0.75">
      <c r="B8" s="11"/>
      <c r="C8" s="16" t="s">
        <v>67</v>
      </c>
      <c r="D8" s="33" t="s">
        <v>63</v>
      </c>
      <c r="E8" s="224" t="s">
        <v>61</v>
      </c>
      <c r="F8" s="226" t="s">
        <v>61</v>
      </c>
      <c r="G8" s="16" t="s">
        <v>25</v>
      </c>
      <c r="H8" s="16" t="s">
        <v>62</v>
      </c>
      <c r="I8" s="33"/>
    </row>
    <row r="9" spans="2:11" x14ac:dyDescent="0.45">
      <c r="B9" s="11"/>
      <c r="C9" s="17">
        <v>0</v>
      </c>
      <c r="D9" s="37" t="s">
        <v>64</v>
      </c>
      <c r="E9" s="225">
        <f>Rates!$D$10</f>
        <v>44.6</v>
      </c>
      <c r="F9" s="155">
        <f>Rates!$F$10</f>
        <v>56.67</v>
      </c>
      <c r="G9" s="48">
        <f>F9-E9</f>
        <v>12.07</v>
      </c>
      <c r="H9" s="70">
        <f>G9/E9</f>
        <v>0.27062780269058295</v>
      </c>
      <c r="I9" s="40"/>
    </row>
    <row r="10" spans="2:11" x14ac:dyDescent="0.45">
      <c r="B10" s="11"/>
      <c r="C10" s="6">
        <v>2000</v>
      </c>
      <c r="D10" s="37" t="s">
        <v>64</v>
      </c>
      <c r="E10" s="225">
        <f>Rates!$D$10</f>
        <v>44.6</v>
      </c>
      <c r="F10" s="155">
        <f>Rates!$F$10</f>
        <v>56.67</v>
      </c>
      <c r="G10" s="17">
        <f t="shared" ref="G10:G17" si="0">F10-E10</f>
        <v>12.07</v>
      </c>
      <c r="H10" s="70">
        <f t="shared" ref="H10:H24" si="1">G10/E10</f>
        <v>0.27062780269058295</v>
      </c>
      <c r="I10" s="40"/>
    </row>
    <row r="11" spans="2:11" x14ac:dyDescent="0.45">
      <c r="B11" s="11"/>
      <c r="C11" s="41">
        <v>4000</v>
      </c>
      <c r="D11" s="42" t="s">
        <v>64</v>
      </c>
      <c r="E11" s="227">
        <f>Rates!$D$10+Rates!$D$11*((Bills!C11-2000)/1000)</f>
        <v>57.56</v>
      </c>
      <c r="F11" s="43">
        <f>Rates!$F$10+Rates!$F$11*((Bills!C11-2000)/1000)</f>
        <v>73.13</v>
      </c>
      <c r="G11" s="43">
        <f t="shared" si="0"/>
        <v>15.569999999999993</v>
      </c>
      <c r="H11" s="71">
        <f t="shared" si="1"/>
        <v>0.2705003474635162</v>
      </c>
      <c r="I11" s="44"/>
    </row>
    <row r="12" spans="2:11" x14ac:dyDescent="0.45">
      <c r="B12" s="11"/>
      <c r="C12" s="6">
        <v>6000</v>
      </c>
      <c r="D12" s="37" t="s">
        <v>64</v>
      </c>
      <c r="E12" s="225">
        <f>Rates!$D$10+Rates!$D$11*((Bills!C12-2000)/1000)</f>
        <v>70.52000000000001</v>
      </c>
      <c r="F12" s="155">
        <f>Rates!$F$10+Rates!$F$11*((Bills!C12-2000)/1000)</f>
        <v>89.59</v>
      </c>
      <c r="G12" s="17">
        <f t="shared" si="0"/>
        <v>19.069999999999993</v>
      </c>
      <c r="H12" s="70">
        <f t="shared" si="1"/>
        <v>0.27041973908111161</v>
      </c>
      <c r="I12" s="40"/>
    </row>
    <row r="13" spans="2:11" x14ac:dyDescent="0.45">
      <c r="B13" s="11"/>
      <c r="C13" s="6">
        <v>8000</v>
      </c>
      <c r="D13" s="37" t="s">
        <v>64</v>
      </c>
      <c r="E13" s="225">
        <f>Rates!$D$10+Rates!$D$11*((Bills!C13-2000)/1000)</f>
        <v>83.48</v>
      </c>
      <c r="F13" s="155">
        <f>Rates!$F$10+Rates!$F$11*((Bills!C13-2000)/1000)</f>
        <v>106.05000000000001</v>
      </c>
      <c r="G13" s="17">
        <f t="shared" si="0"/>
        <v>22.570000000000007</v>
      </c>
      <c r="H13" s="70">
        <f t="shared" si="1"/>
        <v>0.27036415908001926</v>
      </c>
      <c r="I13" s="40"/>
    </row>
    <row r="14" spans="2:11" x14ac:dyDescent="0.45">
      <c r="B14" s="11"/>
      <c r="C14" s="6">
        <v>10000</v>
      </c>
      <c r="D14" s="37" t="s">
        <v>64</v>
      </c>
      <c r="E14" s="225">
        <f>Rates!$D$10+8*Rates!$D$11</f>
        <v>96.44</v>
      </c>
      <c r="F14" s="155">
        <f>Rates!$F$10+8*Rates!$F$11</f>
        <v>122.51</v>
      </c>
      <c r="G14" s="17">
        <f t="shared" si="0"/>
        <v>26.070000000000007</v>
      </c>
      <c r="H14" s="70">
        <f t="shared" si="1"/>
        <v>0.27032351721277487</v>
      </c>
      <c r="I14" s="40"/>
    </row>
    <row r="15" spans="2:11" x14ac:dyDescent="0.45">
      <c r="B15" s="11"/>
      <c r="C15" s="6">
        <v>15000</v>
      </c>
      <c r="D15" s="37" t="s">
        <v>64</v>
      </c>
      <c r="E15" s="225">
        <f>Rates!$D$10+(8*Rates!$D$11)+((Bills!C15-10000)/1000)*Rates!$D$12</f>
        <v>124.84</v>
      </c>
      <c r="F15" s="155">
        <f>Rates!$F$10+(8*Rates!$F$11)+((Bills!C15-10000)/1000)*Rates!$F$12</f>
        <v>158.61000000000001</v>
      </c>
      <c r="G15" s="17">
        <f t="shared" si="0"/>
        <v>33.77000000000001</v>
      </c>
      <c r="H15" s="70">
        <f t="shared" si="1"/>
        <v>0.27050624799743678</v>
      </c>
      <c r="I15" s="40"/>
    </row>
    <row r="16" spans="2:11" x14ac:dyDescent="0.45">
      <c r="B16" s="11"/>
      <c r="C16" s="6">
        <v>20000</v>
      </c>
      <c r="D16" s="37" t="s">
        <v>64</v>
      </c>
      <c r="E16" s="225">
        <f>Rates!$D$10+(8*Rates!$D$11)+((Bills!C16-10000)/1000)*Rates!$D$12</f>
        <v>153.24</v>
      </c>
      <c r="F16" s="155">
        <f>Rates!$F$10+(8*Rates!$F$11)+((Bills!C16-10000)/1000)*Rates!$F$12</f>
        <v>194.71</v>
      </c>
      <c r="G16" s="17">
        <f t="shared" si="0"/>
        <v>41.47</v>
      </c>
      <c r="H16" s="70">
        <f t="shared" si="1"/>
        <v>0.27062124771600105</v>
      </c>
      <c r="I16" s="40"/>
    </row>
    <row r="17" spans="2:15" x14ac:dyDescent="0.45">
      <c r="B17" s="11"/>
      <c r="C17" s="6">
        <v>25000</v>
      </c>
      <c r="D17" s="38" t="s">
        <v>26</v>
      </c>
      <c r="E17" s="225">
        <f>Rates!$D$10+(8*Rates!$D$11)+((Bills!C17-10000)/1000)*Rates!$D$12</f>
        <v>181.64</v>
      </c>
      <c r="F17" s="155">
        <f>Rates!$F$10+(8*Rates!$F$11)+((Bills!C17-10000)/1000)*Rates!$F$12</f>
        <v>230.81</v>
      </c>
      <c r="G17" s="17">
        <f t="shared" si="0"/>
        <v>49.170000000000016</v>
      </c>
      <c r="H17" s="70">
        <f t="shared" si="1"/>
        <v>0.27070028628055504</v>
      </c>
      <c r="I17" s="40"/>
    </row>
    <row r="18" spans="2:15" x14ac:dyDescent="0.45">
      <c r="B18" s="11"/>
      <c r="C18" s="6">
        <v>30000</v>
      </c>
      <c r="D18" s="38" t="s">
        <v>26</v>
      </c>
      <c r="E18" s="225">
        <f>Rates!$D$10+(8*Rates!$D$11)+((Bills!C18-10000)/1000)*Rates!$D$12</f>
        <v>210.04</v>
      </c>
      <c r="F18" s="155">
        <f>Rates!$F$10+(8*Rates!$F$11)+((Bills!C18-10000)/1000)*Rates!$F$12</f>
        <v>266.91000000000003</v>
      </c>
      <c r="G18" s="17">
        <f t="shared" ref="G18:G24" si="2">F18-E18</f>
        <v>56.870000000000033</v>
      </c>
      <c r="H18" s="70">
        <f t="shared" si="1"/>
        <v>0.27075795086650178</v>
      </c>
      <c r="I18" s="40"/>
      <c r="O18" s="6"/>
    </row>
    <row r="19" spans="2:15" x14ac:dyDescent="0.45">
      <c r="B19" s="11"/>
      <c r="C19" s="6">
        <v>40000</v>
      </c>
      <c r="D19" s="38" t="s">
        <v>26</v>
      </c>
      <c r="E19" s="225">
        <f>Rates!$D$10+(8*Rates!$D$11)+((Bills!C19-10000)/1000)*Rates!$D$12</f>
        <v>266.83999999999997</v>
      </c>
      <c r="F19" s="155">
        <f>Rates!$F$10+(8*Rates!$F$11)+((Bills!C19-10000)/1000)*Rates!$F$12</f>
        <v>339.11</v>
      </c>
      <c r="G19" s="17">
        <f t="shared" si="2"/>
        <v>72.270000000000039</v>
      </c>
      <c r="H19" s="70">
        <f t="shared" si="1"/>
        <v>0.27083645630340297</v>
      </c>
      <c r="I19" s="40"/>
    </row>
    <row r="20" spans="2:15" x14ac:dyDescent="0.45">
      <c r="B20" s="11"/>
      <c r="C20" s="6">
        <v>50000</v>
      </c>
      <c r="D20" s="38" t="s">
        <v>26</v>
      </c>
      <c r="E20" s="225">
        <f>Rates!$D$10+(8*Rates!$D$11)+((Bills!C20-10000)/1000)*Rates!$D$12</f>
        <v>323.64</v>
      </c>
      <c r="F20" s="155">
        <f>Rates!$F$10+(8*Rates!$F$11)+((Bills!C20-10000)/1000)*Rates!$F$12</f>
        <v>411.31</v>
      </c>
      <c r="G20" s="17">
        <f t="shared" si="2"/>
        <v>87.670000000000016</v>
      </c>
      <c r="H20" s="70">
        <f t="shared" si="1"/>
        <v>0.27088740575948589</v>
      </c>
      <c r="I20" s="40"/>
    </row>
    <row r="21" spans="2:15" x14ac:dyDescent="0.45">
      <c r="B21" s="11"/>
      <c r="C21" s="6">
        <v>75000</v>
      </c>
      <c r="D21" s="38" t="s">
        <v>26</v>
      </c>
      <c r="E21" s="225">
        <f>Rates!$D$10+(8*Rates!$D$11)+((Bills!C21-10000)/1000)*Rates!$D$12</f>
        <v>465.64</v>
      </c>
      <c r="F21" s="155">
        <f>Rates!$F$10+(8*Rates!$F$11)+((Bills!C21-10000)/1000)*Rates!$F$12</f>
        <v>591.81000000000006</v>
      </c>
      <c r="G21" s="17">
        <f t="shared" si="2"/>
        <v>126.17000000000007</v>
      </c>
      <c r="H21" s="70">
        <f t="shared" si="1"/>
        <v>0.27096039859118648</v>
      </c>
      <c r="I21" s="40"/>
    </row>
    <row r="22" spans="2:15" x14ac:dyDescent="0.45">
      <c r="B22" s="11"/>
      <c r="C22" s="6">
        <v>100000</v>
      </c>
      <c r="D22" s="38" t="s">
        <v>26</v>
      </c>
      <c r="E22" s="225">
        <f>Rates!$D$10+(8*Rates!$D$11)+((Bills!C22-10000)/1000)*Rates!$D$12</f>
        <v>607.64</v>
      </c>
      <c r="F22" s="155">
        <f>Rates!$F$10+(8*Rates!$F$11)+((Bills!C22-10000)/1000)*Rates!$F$12</f>
        <v>772.31</v>
      </c>
      <c r="G22" s="17">
        <f t="shared" si="2"/>
        <v>164.66999999999996</v>
      </c>
      <c r="H22" s="70">
        <f t="shared" si="1"/>
        <v>0.27099927588703832</v>
      </c>
      <c r="I22" s="40"/>
    </row>
    <row r="23" spans="2:15" x14ac:dyDescent="0.45">
      <c r="B23" s="11"/>
      <c r="C23" s="6">
        <v>200000</v>
      </c>
      <c r="D23" s="38" t="s">
        <v>26</v>
      </c>
      <c r="E23" s="225">
        <f>Rates!$D$10+(8*Rates!$D$11)+((Bills!C23-10000)/1000)*Rates!$D$12</f>
        <v>1175.6400000000001</v>
      </c>
      <c r="F23" s="155">
        <f>Rates!$F$10+(8*Rates!$F$11)+((Bills!C23-10000)/1000)*Rates!$F$12</f>
        <v>1494.31</v>
      </c>
      <c r="G23" s="17">
        <f t="shared" si="2"/>
        <v>318.66999999999985</v>
      </c>
      <c r="H23" s="70">
        <f t="shared" si="1"/>
        <v>0.27106086897349513</v>
      </c>
      <c r="I23" s="40"/>
    </row>
    <row r="24" spans="2:15" x14ac:dyDescent="0.45">
      <c r="B24" s="11"/>
      <c r="C24" s="6">
        <v>500000</v>
      </c>
      <c r="D24" s="38" t="s">
        <v>26</v>
      </c>
      <c r="E24" s="225">
        <f>Rates!$D$10+(8*Rates!$D$11)+((Bills!C24-10000)/1000)*Rates!$D$12</f>
        <v>2879.64</v>
      </c>
      <c r="F24" s="155">
        <f>Rates!$F$10+(8*Rates!$F$11)+((Bills!C24-10000)/1000)*Rates!$F$12</f>
        <v>3660.31</v>
      </c>
      <c r="G24" s="17">
        <f t="shared" si="2"/>
        <v>780.67000000000007</v>
      </c>
      <c r="H24" s="70">
        <f t="shared" si="1"/>
        <v>0.27109985970468536</v>
      </c>
      <c r="I24" s="40"/>
    </row>
    <row r="25" spans="2:15" ht="6" customHeight="1" x14ac:dyDescent="0.45">
      <c r="B25" s="13"/>
      <c r="C25" s="5"/>
      <c r="D25" s="4"/>
      <c r="E25" s="196"/>
      <c r="F25" s="218"/>
      <c r="G25" s="39"/>
      <c r="H25" s="5"/>
      <c r="I25" s="14"/>
    </row>
    <row r="27" spans="2:15" x14ac:dyDescent="0.45">
      <c r="D27" s="49" t="s">
        <v>68</v>
      </c>
    </row>
  </sheetData>
  <mergeCells count="3">
    <mergeCell ref="C3:I3"/>
    <mergeCell ref="C4:I4"/>
    <mergeCell ref="C2:I2"/>
  </mergeCells>
  <printOptions horizontalCentered="1"/>
  <pageMargins left="0.7" right="0.7" top="1.1000000000000001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SAO</vt:lpstr>
      <vt:lpstr>Wages</vt:lpstr>
      <vt:lpstr>Medical</vt:lpstr>
      <vt:lpstr>Depreciation</vt:lpstr>
      <vt:lpstr>Debt Service</vt:lpstr>
      <vt:lpstr>Capital</vt:lpstr>
      <vt:lpstr>Water Loss</vt:lpstr>
      <vt:lpstr>Rates</vt:lpstr>
      <vt:lpstr>Bills</vt:lpstr>
      <vt:lpstr>ExBA</vt:lpstr>
      <vt:lpstr>PrBA</vt:lpstr>
      <vt:lpstr>Bills!Print_Area</vt:lpstr>
      <vt:lpstr>'Debt Service'!Print_Area</vt:lpstr>
      <vt:lpstr>Depreciation!Print_Area</vt:lpstr>
      <vt:lpstr>ExBA!Print_Area</vt:lpstr>
      <vt:lpstr>PrBA!Print_Area</vt:lpstr>
      <vt:lpstr>Rates!Print_Area</vt:lpstr>
      <vt:lpstr>SAO!Print_Area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Robert Miller</cp:lastModifiedBy>
  <cp:lastPrinted>2023-06-14T18:22:59Z</cp:lastPrinted>
  <dcterms:created xsi:type="dcterms:W3CDTF">2016-05-18T14:12:06Z</dcterms:created>
  <dcterms:modified xsi:type="dcterms:W3CDTF">2023-08-10T14:15:30Z</dcterms:modified>
</cp:coreProperties>
</file>