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ing\Share\000 - PSC Cases\PSC Case 2023-00177 - ES Compliance Plan Ammendment and CPCN\Testimonies\ISScott Testimony\"/>
    </mc:Choice>
  </mc:AlternateContent>
  <bookViews>
    <workbookView xWindow="0" yWindow="0" windowWidth="28800" windowHeight="14115"/>
  </bookViews>
  <sheets>
    <sheet name="Impacts" sheetId="9" r:id="rId1"/>
    <sheet name="Proposed - YE 2024" sheetId="12" r:id="rId2"/>
    <sheet name="Proposed - YE 2025" sheetId="13" r:id="rId3"/>
    <sheet name="Proposed - YE 2026" sheetId="14" r:id="rId4"/>
    <sheet name="Proposed - YE 2027" sheetId="15" r:id="rId5"/>
    <sheet name="BESF" sheetId="1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5" l="1"/>
  <c r="A132" i="15"/>
  <c r="A133" i="15" s="1"/>
  <c r="A104" i="9" l="1"/>
  <c r="A103" i="9"/>
  <c r="A55" i="9" l="1"/>
  <c r="A56" i="9" s="1"/>
  <c r="A57" i="9" s="1"/>
  <c r="A29" i="9"/>
  <c r="A30" i="9" s="1"/>
  <c r="A31" i="9" s="1"/>
  <c r="A4" i="11" l="1"/>
  <c r="A5" i="11" s="1"/>
  <c r="A6" i="11" s="1"/>
  <c r="A7" i="11" s="1"/>
  <c r="A8" i="11" s="1"/>
  <c r="A9" i="11" s="1"/>
  <c r="A3" i="11"/>
  <c r="A2" i="11"/>
  <c r="A5" i="14"/>
  <c r="A6" i="14" s="1"/>
  <c r="A5" i="13"/>
  <c r="A6" i="13" s="1"/>
  <c r="A6" i="12"/>
  <c r="A3" i="12"/>
  <c r="A4" i="12" s="1"/>
  <c r="A5" i="12" s="1"/>
  <c r="A2" i="12"/>
  <c r="D83" i="15" l="1"/>
  <c r="D121" i="15" s="1"/>
  <c r="D83" i="14"/>
  <c r="D121" i="14" s="1"/>
  <c r="D83" i="13"/>
  <c r="D121" i="13"/>
  <c r="D121" i="12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J54" i="15"/>
  <c r="J48" i="15"/>
  <c r="J46" i="15"/>
  <c r="J44" i="15"/>
  <c r="J40" i="15"/>
  <c r="J38" i="15"/>
  <c r="J36" i="15"/>
  <c r="J32" i="15"/>
  <c r="J30" i="15"/>
  <c r="J26" i="15"/>
  <c r="J24" i="15"/>
  <c r="J22" i="15"/>
  <c r="J20" i="15"/>
  <c r="J18" i="15"/>
  <c r="J16" i="15"/>
  <c r="J14" i="15"/>
  <c r="J54" i="14"/>
  <c r="J48" i="14"/>
  <c r="J46" i="14"/>
  <c r="J44" i="14"/>
  <c r="J40" i="14"/>
  <c r="J38" i="14"/>
  <c r="J36" i="14"/>
  <c r="J32" i="14"/>
  <c r="J30" i="14"/>
  <c r="J26" i="14"/>
  <c r="J24" i="14"/>
  <c r="J22" i="14"/>
  <c r="J20" i="14"/>
  <c r="J18" i="14"/>
  <c r="J16" i="14"/>
  <c r="J14" i="14"/>
  <c r="J54" i="13"/>
  <c r="J48" i="13"/>
  <c r="J46" i="13"/>
  <c r="J44" i="13"/>
  <c r="J40" i="13"/>
  <c r="J38" i="13"/>
  <c r="J36" i="13"/>
  <c r="J32" i="13"/>
  <c r="J30" i="13"/>
  <c r="J26" i="13"/>
  <c r="J24" i="13"/>
  <c r="J22" i="13"/>
  <c r="J20" i="13"/>
  <c r="J18" i="13"/>
  <c r="J16" i="13"/>
  <c r="J14" i="13"/>
  <c r="F60" i="12"/>
  <c r="F56" i="12"/>
  <c r="F54" i="12"/>
  <c r="F52" i="12"/>
  <c r="F50" i="12"/>
  <c r="F48" i="12"/>
  <c r="F46" i="12"/>
  <c r="F44" i="12"/>
  <c r="F42" i="12"/>
  <c r="F40" i="12"/>
  <c r="F38" i="12"/>
  <c r="F36" i="12"/>
  <c r="F34" i="12"/>
  <c r="F32" i="12"/>
  <c r="F30" i="12"/>
  <c r="F28" i="12"/>
  <c r="F26" i="12"/>
  <c r="F24" i="12"/>
  <c r="F22" i="12"/>
  <c r="F20" i="12"/>
  <c r="F18" i="12"/>
  <c r="F16" i="12"/>
  <c r="F14" i="12"/>
  <c r="L16" i="12"/>
  <c r="J56" i="12"/>
  <c r="J52" i="12"/>
  <c r="J50" i="12"/>
  <c r="J42" i="12"/>
  <c r="J34" i="12"/>
  <c r="J28" i="12"/>
  <c r="D62" i="11"/>
  <c r="M84" i="15" l="1"/>
  <c r="O58" i="15"/>
  <c r="M84" i="14"/>
  <c r="O58" i="14"/>
  <c r="M84" i="13"/>
  <c r="O58" i="13"/>
  <c r="M84" i="12"/>
  <c r="G56" i="15" l="1"/>
  <c r="G56" i="14"/>
  <c r="G56" i="13" l="1"/>
  <c r="O58" i="12"/>
  <c r="J62" i="11"/>
  <c r="G62" i="11"/>
  <c r="E62" i="11"/>
  <c r="H60" i="11"/>
  <c r="J56" i="13"/>
  <c r="K56" i="13" s="1"/>
  <c r="L56" i="12" l="1"/>
  <c r="D56" i="13" s="1"/>
  <c r="L56" i="13" s="1"/>
  <c r="D56" i="14" s="1"/>
  <c r="L56" i="14" s="1"/>
  <c r="D56" i="15" s="1"/>
  <c r="L56" i="15" s="1"/>
  <c r="K56" i="12"/>
  <c r="M56" i="12" s="1"/>
  <c r="E56" i="13" s="1"/>
  <c r="M56" i="13" s="1"/>
  <c r="J56" i="14"/>
  <c r="K56" i="14" s="1"/>
  <c r="J56" i="15"/>
  <c r="K56" i="15" s="1"/>
  <c r="H56" i="12"/>
  <c r="E56" i="14" l="1"/>
  <c r="M56" i="14" s="1"/>
  <c r="N56" i="13"/>
  <c r="F56" i="14" s="1"/>
  <c r="H56" i="14" s="1"/>
  <c r="N56" i="12"/>
  <c r="F56" i="13" s="1"/>
  <c r="H56" i="13" s="1"/>
  <c r="G60" i="15"/>
  <c r="D75" i="14"/>
  <c r="G60" i="14"/>
  <c r="D75" i="13"/>
  <c r="G60" i="13"/>
  <c r="D75" i="12"/>
  <c r="H59" i="11"/>
  <c r="F59" i="11"/>
  <c r="L60" i="12"/>
  <c r="D60" i="13" s="1"/>
  <c r="L60" i="13" s="1"/>
  <c r="E56" i="15" l="1"/>
  <c r="M56" i="15" s="1"/>
  <c r="N56" i="15" s="1"/>
  <c r="N56" i="14"/>
  <c r="F56" i="15" s="1"/>
  <c r="H56" i="15" s="1"/>
  <c r="D60" i="14"/>
  <c r="L60" i="14" s="1"/>
  <c r="D60" i="15" s="1"/>
  <c r="L60" i="15" s="1"/>
  <c r="J60" i="12"/>
  <c r="D131" i="14"/>
  <c r="K60" i="12" l="1"/>
  <c r="J60" i="13"/>
  <c r="K60" i="13" s="1"/>
  <c r="J60" i="15"/>
  <c r="K60" i="15" s="1"/>
  <c r="J60" i="14"/>
  <c r="K60" i="14" s="1"/>
  <c r="H60" i="12" l="1"/>
  <c r="M60" i="12"/>
  <c r="N60" i="12" s="1"/>
  <c r="F60" i="13" s="1"/>
  <c r="H60" i="13" s="1"/>
  <c r="E60" i="13" l="1"/>
  <c r="M60" i="13" s="1"/>
  <c r="E60" i="14" s="1"/>
  <c r="M60" i="14" s="1"/>
  <c r="N60" i="13" l="1"/>
  <c r="F60" i="14" s="1"/>
  <c r="H60" i="14" s="1"/>
  <c r="E60" i="15"/>
  <c r="M60" i="15" s="1"/>
  <c r="N60" i="14"/>
  <c r="F60" i="15" s="1"/>
  <c r="H60" i="15" s="1"/>
  <c r="N60" i="15" l="1"/>
  <c r="J100" i="12"/>
  <c r="K100" i="12" s="1"/>
  <c r="J100" i="15" l="1"/>
  <c r="J100" i="14"/>
  <c r="J100" i="13"/>
  <c r="H47" i="11"/>
  <c r="H44" i="11"/>
  <c r="H53" i="11"/>
  <c r="H50" i="11"/>
  <c r="G100" i="15" l="1"/>
  <c r="G54" i="15"/>
  <c r="G52" i="15"/>
  <c r="G50" i="15"/>
  <c r="G20" i="15"/>
  <c r="G14" i="15"/>
  <c r="G18" i="15"/>
  <c r="G16" i="15"/>
  <c r="G48" i="15"/>
  <c r="G46" i="15"/>
  <c r="G44" i="15"/>
  <c r="G42" i="15"/>
  <c r="G24" i="15"/>
  <c r="G28" i="15"/>
  <c r="G40" i="15"/>
  <c r="G38" i="15"/>
  <c r="G36" i="15"/>
  <c r="G34" i="15"/>
  <c r="G32" i="15"/>
  <c r="G26" i="15"/>
  <c r="G30" i="15"/>
  <c r="G22" i="15"/>
  <c r="D135" i="15"/>
  <c r="I34" i="9" s="1"/>
  <c r="D116" i="15"/>
  <c r="D107" i="15"/>
  <c r="D104" i="15"/>
  <c r="K100" i="15"/>
  <c r="D114" i="15" s="1"/>
  <c r="D75" i="15"/>
  <c r="D69" i="15" s="1"/>
  <c r="K54" i="15"/>
  <c r="K20" i="15"/>
  <c r="K14" i="15"/>
  <c r="K18" i="15"/>
  <c r="K16" i="15"/>
  <c r="K48" i="15"/>
  <c r="K46" i="15"/>
  <c r="K44" i="15"/>
  <c r="K24" i="15"/>
  <c r="K40" i="15"/>
  <c r="K38" i="15"/>
  <c r="K36" i="15"/>
  <c r="K32" i="15"/>
  <c r="K26" i="15"/>
  <c r="K30" i="15"/>
  <c r="K22" i="15"/>
  <c r="A2" i="15"/>
  <c r="A3" i="15" s="1"/>
  <c r="A4" i="15" s="1"/>
  <c r="G100" i="14"/>
  <c r="G54" i="14"/>
  <c r="G52" i="14"/>
  <c r="G50" i="14"/>
  <c r="G20" i="14"/>
  <c r="G14" i="14"/>
  <c r="G18" i="14"/>
  <c r="G16" i="14"/>
  <c r="G48" i="14"/>
  <c r="G46" i="14"/>
  <c r="G44" i="14"/>
  <c r="G42" i="14"/>
  <c r="G24" i="14"/>
  <c r="G28" i="14"/>
  <c r="G40" i="14"/>
  <c r="G38" i="14"/>
  <c r="G36" i="14"/>
  <c r="G34" i="14"/>
  <c r="G32" i="14"/>
  <c r="G26" i="14"/>
  <c r="G30" i="14"/>
  <c r="G22" i="14"/>
  <c r="D132" i="14"/>
  <c r="D134" i="14" s="1"/>
  <c r="H34" i="9" s="1"/>
  <c r="D116" i="14"/>
  <c r="D107" i="14"/>
  <c r="D104" i="14"/>
  <c r="K100" i="14"/>
  <c r="D114" i="14" s="1"/>
  <c r="O62" i="14"/>
  <c r="D66" i="14" s="1"/>
  <c r="K54" i="14"/>
  <c r="K20" i="14"/>
  <c r="K14" i="14"/>
  <c r="K18" i="14"/>
  <c r="K16" i="14"/>
  <c r="K48" i="14"/>
  <c r="K46" i="14"/>
  <c r="K44" i="14"/>
  <c r="K24" i="14"/>
  <c r="K40" i="14"/>
  <c r="K38" i="14"/>
  <c r="K36" i="14"/>
  <c r="K32" i="14"/>
  <c r="K26" i="14"/>
  <c r="K30" i="14"/>
  <c r="K22" i="14"/>
  <c r="A2" i="14"/>
  <c r="A3" i="14" s="1"/>
  <c r="A4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5" i="15" l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4" i="15" s="1"/>
  <c r="A135" i="15" s="1"/>
  <c r="A136" i="15" s="1"/>
  <c r="G58" i="15"/>
  <c r="G62" i="15" s="1"/>
  <c r="G58" i="14"/>
  <c r="A63" i="14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G62" i="14"/>
  <c r="O62" i="15"/>
  <c r="D66" i="15" s="1"/>
  <c r="D69" i="14"/>
  <c r="G100" i="13"/>
  <c r="D100" i="13"/>
  <c r="L100" i="13" s="1"/>
  <c r="D100" i="14" s="1"/>
  <c r="L100" i="14" s="1"/>
  <c r="G54" i="13"/>
  <c r="G52" i="13"/>
  <c r="G50" i="13"/>
  <c r="G20" i="13"/>
  <c r="G14" i="13"/>
  <c r="G18" i="13"/>
  <c r="G16" i="13"/>
  <c r="G48" i="13"/>
  <c r="G46" i="13"/>
  <c r="G44" i="13"/>
  <c r="G42" i="13"/>
  <c r="G24" i="13"/>
  <c r="G28" i="13"/>
  <c r="G40" i="13"/>
  <c r="G38" i="13"/>
  <c r="G36" i="13"/>
  <c r="G34" i="13"/>
  <c r="G32" i="13"/>
  <c r="G26" i="13"/>
  <c r="G30" i="13"/>
  <c r="G22" i="13"/>
  <c r="D132" i="13"/>
  <c r="D134" i="13" s="1"/>
  <c r="G34" i="9" s="1"/>
  <c r="D116" i="13"/>
  <c r="D107" i="13"/>
  <c r="D104" i="13"/>
  <c r="K100" i="13"/>
  <c r="D114" i="13" s="1"/>
  <c r="O62" i="13"/>
  <c r="D66" i="13" s="1"/>
  <c r="K54" i="13"/>
  <c r="K20" i="13"/>
  <c r="K14" i="13"/>
  <c r="K18" i="13"/>
  <c r="K16" i="13"/>
  <c r="K48" i="13"/>
  <c r="K46" i="13"/>
  <c r="K44" i="13"/>
  <c r="K24" i="13"/>
  <c r="K40" i="13"/>
  <c r="K38" i="13"/>
  <c r="K36" i="13"/>
  <c r="K32" i="13"/>
  <c r="K26" i="13"/>
  <c r="K30" i="13"/>
  <c r="K22" i="13"/>
  <c r="A3" i="13"/>
  <c r="A4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2" i="13"/>
  <c r="G58" i="13" l="1"/>
  <c r="G62" i="13" s="1"/>
  <c r="A58" i="13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D103" i="14"/>
  <c r="D105" i="14" s="1"/>
  <c r="D100" i="15"/>
  <c r="L100" i="15" s="1"/>
  <c r="D103" i="13"/>
  <c r="D105" i="13" s="1"/>
  <c r="D69" i="13"/>
  <c r="D113" i="12"/>
  <c r="D103" i="15" l="1"/>
  <c r="D105" i="15" s="1"/>
  <c r="D132" i="12"/>
  <c r="D134" i="12" s="1"/>
  <c r="F34" i="9" s="1"/>
  <c r="D116" i="12"/>
  <c r="D107" i="12"/>
  <c r="D104" i="12"/>
  <c r="D114" i="12"/>
  <c r="O62" i="12"/>
  <c r="D66" i="12" s="1"/>
  <c r="K54" i="12"/>
  <c r="K20" i="12"/>
  <c r="K14" i="12"/>
  <c r="K18" i="12"/>
  <c r="K16" i="12"/>
  <c r="K48" i="12"/>
  <c r="K46" i="12"/>
  <c r="K44" i="12"/>
  <c r="K24" i="12"/>
  <c r="K40" i="12"/>
  <c r="K38" i="12"/>
  <c r="K36" i="12"/>
  <c r="K32" i="12"/>
  <c r="K26" i="12"/>
  <c r="K30" i="12"/>
  <c r="K22" i="12"/>
  <c r="A7" i="12"/>
  <c r="A8" i="12" s="1"/>
  <c r="A9" i="12" s="1"/>
  <c r="A10" i="12" s="1"/>
  <c r="A11" i="12" s="1"/>
  <c r="A12" i="12" s="1"/>
  <c r="A13" i="12" s="1"/>
  <c r="A14" i="12" l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G58" i="12"/>
  <c r="G62" i="12" s="1"/>
  <c r="D103" i="12"/>
  <c r="D105" i="12" s="1"/>
  <c r="D69" i="12"/>
  <c r="G85" i="9"/>
  <c r="H85" i="9" s="1"/>
  <c r="I85" i="9" s="1"/>
  <c r="G76" i="9"/>
  <c r="H76" i="9" s="1"/>
  <c r="I76" i="9" s="1"/>
  <c r="F94" i="9"/>
  <c r="I62" i="9"/>
  <c r="H62" i="9"/>
  <c r="G62" i="9"/>
  <c r="F62" i="9"/>
  <c r="F58" i="11"/>
  <c r="F47" i="11"/>
  <c r="F44" i="11"/>
  <c r="F45" i="11"/>
  <c r="F54" i="11"/>
  <c r="F53" i="11"/>
  <c r="F52" i="11"/>
  <c r="F46" i="11"/>
  <c r="F57" i="11"/>
  <c r="F56" i="11"/>
  <c r="F55" i="11"/>
  <c r="F51" i="11"/>
  <c r="F49" i="11"/>
  <c r="F50" i="11"/>
  <c r="F48" i="11"/>
  <c r="D25" i="11"/>
  <c r="D12" i="11"/>
  <c r="D17" i="11"/>
  <c r="D11" i="11"/>
  <c r="F62" i="11" l="1"/>
  <c r="H48" i="11"/>
  <c r="I48" i="11"/>
  <c r="I49" i="11"/>
  <c r="H49" i="11"/>
  <c r="H55" i="11"/>
  <c r="I55" i="11"/>
  <c r="I56" i="11"/>
  <c r="H56" i="11"/>
  <c r="I57" i="11"/>
  <c r="H57" i="11"/>
  <c r="I51" i="11"/>
  <c r="H51" i="11"/>
  <c r="I46" i="11"/>
  <c r="H46" i="11"/>
  <c r="G47" i="9"/>
  <c r="D13" i="11"/>
  <c r="D15" i="11"/>
  <c r="I62" i="11" l="1"/>
  <c r="H62" i="11"/>
  <c r="H47" i="9"/>
  <c r="G94" i="9"/>
  <c r="D18" i="11"/>
  <c r="D22" i="11" s="1"/>
  <c r="D31" i="11" s="1"/>
  <c r="D27" i="11" l="1"/>
  <c r="D28" i="11" s="1"/>
  <c r="D32" i="11" s="1"/>
  <c r="D33" i="11" s="1"/>
  <c r="D36" i="11" s="1"/>
  <c r="I47" i="9"/>
  <c r="H94" i="9"/>
  <c r="D90" i="14" l="1"/>
  <c r="D90" i="12"/>
  <c r="D90" i="15"/>
  <c r="D90" i="13"/>
  <c r="I94" i="9"/>
  <c r="H100" i="12" l="1"/>
  <c r="D115" i="12" s="1"/>
  <c r="D117" i="12" s="1"/>
  <c r="D123" i="12" s="1"/>
  <c r="M100" i="12"/>
  <c r="D109" i="12" l="1"/>
  <c r="D110" i="12" s="1"/>
  <c r="D120" i="12" s="1"/>
  <c r="D122" i="12" s="1"/>
  <c r="D124" i="12" s="1"/>
  <c r="D126" i="12" s="1"/>
  <c r="F33" i="9" s="1"/>
  <c r="E100" i="13"/>
  <c r="M100" i="13" s="1"/>
  <c r="N100" i="12"/>
  <c r="F100" i="13" s="1"/>
  <c r="H100" i="13" s="1"/>
  <c r="D115" i="13" s="1"/>
  <c r="D117" i="13" s="1"/>
  <c r="D123" i="13" s="1"/>
  <c r="L54" i="12"/>
  <c r="M54" i="12"/>
  <c r="E54" i="13" s="1"/>
  <c r="M54" i="13" s="1"/>
  <c r="E54" i="14" s="1"/>
  <c r="M54" i="14" s="1"/>
  <c r="E54" i="15" s="1"/>
  <c r="M54" i="15" s="1"/>
  <c r="L52" i="12"/>
  <c r="L50" i="12"/>
  <c r="L20" i="12"/>
  <c r="M20" i="12"/>
  <c r="E20" i="13" s="1"/>
  <c r="M20" i="13" s="1"/>
  <c r="E20" i="14" s="1"/>
  <c r="M20" i="14" s="1"/>
  <c r="E20" i="15" s="1"/>
  <c r="M20" i="15" s="1"/>
  <c r="L18" i="12"/>
  <c r="M18" i="12"/>
  <c r="E18" i="13" s="1"/>
  <c r="M18" i="13" s="1"/>
  <c r="E18" i="14" s="1"/>
  <c r="M18" i="14" s="1"/>
  <c r="E18" i="15" s="1"/>
  <c r="M18" i="15" s="1"/>
  <c r="M16" i="12"/>
  <c r="E16" i="13" s="1"/>
  <c r="M16" i="13" s="1"/>
  <c r="E16" i="14" s="1"/>
  <c r="M16" i="14" s="1"/>
  <c r="E16" i="15" s="1"/>
  <c r="M16" i="15" s="1"/>
  <c r="L48" i="12"/>
  <c r="M48" i="12"/>
  <c r="E48" i="13" s="1"/>
  <c r="M48" i="13" s="1"/>
  <c r="E48" i="14" s="1"/>
  <c r="M48" i="14" s="1"/>
  <c r="E48" i="15" s="1"/>
  <c r="M48" i="15" s="1"/>
  <c r="L46" i="12"/>
  <c r="M46" i="12"/>
  <c r="E46" i="13" s="1"/>
  <c r="M46" i="13" s="1"/>
  <c r="E46" i="14" s="1"/>
  <c r="M46" i="14" s="1"/>
  <c r="E46" i="15" s="1"/>
  <c r="M46" i="15" s="1"/>
  <c r="L44" i="12"/>
  <c r="M44" i="12"/>
  <c r="E44" i="13" s="1"/>
  <c r="M44" i="13" s="1"/>
  <c r="E44" i="14" s="1"/>
  <c r="M44" i="14" s="1"/>
  <c r="E44" i="15" s="1"/>
  <c r="M44" i="15" s="1"/>
  <c r="L42" i="12"/>
  <c r="L24" i="12"/>
  <c r="M24" i="12"/>
  <c r="E24" i="13" s="1"/>
  <c r="M24" i="13" s="1"/>
  <c r="E24" i="14" s="1"/>
  <c r="M24" i="14" s="1"/>
  <c r="E24" i="15" s="1"/>
  <c r="M24" i="15" s="1"/>
  <c r="L28" i="12"/>
  <c r="L40" i="12"/>
  <c r="M40" i="12"/>
  <c r="E40" i="13" s="1"/>
  <c r="M40" i="13" s="1"/>
  <c r="E40" i="14" s="1"/>
  <c r="M40" i="14" s="1"/>
  <c r="E40" i="15" s="1"/>
  <c r="M40" i="15" s="1"/>
  <c r="L38" i="12"/>
  <c r="M38" i="12"/>
  <c r="E38" i="13" s="1"/>
  <c r="M38" i="13" s="1"/>
  <c r="E38" i="14" s="1"/>
  <c r="M38" i="14" s="1"/>
  <c r="E38" i="15" s="1"/>
  <c r="M38" i="15" s="1"/>
  <c r="L36" i="12"/>
  <c r="M36" i="12"/>
  <c r="E36" i="13" s="1"/>
  <c r="M36" i="13" s="1"/>
  <c r="E36" i="14" s="1"/>
  <c r="M36" i="14" s="1"/>
  <c r="E36" i="15" s="1"/>
  <c r="M36" i="15" s="1"/>
  <c r="L34" i="12"/>
  <c r="L32" i="12"/>
  <c r="M32" i="12"/>
  <c r="E32" i="13" s="1"/>
  <c r="M32" i="13" s="1"/>
  <c r="E32" i="14" s="1"/>
  <c r="M32" i="14" s="1"/>
  <c r="E32" i="15" s="1"/>
  <c r="M32" i="15" s="1"/>
  <c r="L26" i="12"/>
  <c r="M26" i="12"/>
  <c r="E26" i="13" s="1"/>
  <c r="M26" i="13" s="1"/>
  <c r="E26" i="14" s="1"/>
  <c r="M26" i="14" s="1"/>
  <c r="E26" i="15" s="1"/>
  <c r="M26" i="15" s="1"/>
  <c r="L30" i="12"/>
  <c r="M30" i="12"/>
  <c r="E30" i="13" s="1"/>
  <c r="M30" i="13" s="1"/>
  <c r="E30" i="14" s="1"/>
  <c r="M30" i="14" s="1"/>
  <c r="E30" i="15" s="1"/>
  <c r="M30" i="15" s="1"/>
  <c r="L14" i="12" l="1"/>
  <c r="D14" i="13" s="1"/>
  <c r="M14" i="12"/>
  <c r="F61" i="9"/>
  <c r="E100" i="14"/>
  <c r="M100" i="14" s="1"/>
  <c r="N100" i="13"/>
  <c r="F100" i="14" s="1"/>
  <c r="D109" i="13"/>
  <c r="D110" i="13" s="1"/>
  <c r="D120" i="13" s="1"/>
  <c r="D122" i="13" s="1"/>
  <c r="D124" i="13" s="1"/>
  <c r="D126" i="13" s="1"/>
  <c r="G33" i="9" s="1"/>
  <c r="D52" i="13"/>
  <c r="L52" i="13" s="1"/>
  <c r="D50" i="13"/>
  <c r="L50" i="13" s="1"/>
  <c r="D54" i="13"/>
  <c r="L54" i="13" s="1"/>
  <c r="N54" i="12"/>
  <c r="F54" i="13" s="1"/>
  <c r="D20" i="13"/>
  <c r="L20" i="13" s="1"/>
  <c r="N20" i="12"/>
  <c r="F20" i="13" s="1"/>
  <c r="N18" i="12"/>
  <c r="F18" i="13" s="1"/>
  <c r="D18" i="13"/>
  <c r="L18" i="13" s="1"/>
  <c r="N16" i="12"/>
  <c r="F16" i="13" s="1"/>
  <c r="D16" i="13"/>
  <c r="L16" i="13" s="1"/>
  <c r="D48" i="13"/>
  <c r="L48" i="13" s="1"/>
  <c r="N48" i="12"/>
  <c r="F48" i="13" s="1"/>
  <c r="D46" i="13"/>
  <c r="L46" i="13" s="1"/>
  <c r="N46" i="12"/>
  <c r="F46" i="13" s="1"/>
  <c r="D44" i="13"/>
  <c r="L44" i="13" s="1"/>
  <c r="N44" i="12"/>
  <c r="F44" i="13" s="1"/>
  <c r="D42" i="13"/>
  <c r="L42" i="13" s="1"/>
  <c r="D24" i="13"/>
  <c r="L24" i="13" s="1"/>
  <c r="N24" i="12"/>
  <c r="F24" i="13" s="1"/>
  <c r="H24" i="13" s="1"/>
  <c r="D28" i="13"/>
  <c r="L28" i="13" s="1"/>
  <c r="D40" i="13"/>
  <c r="L40" i="13" s="1"/>
  <c r="N40" i="12"/>
  <c r="F40" i="13" s="1"/>
  <c r="D38" i="13"/>
  <c r="L38" i="13" s="1"/>
  <c r="N38" i="12"/>
  <c r="F38" i="13" s="1"/>
  <c r="N36" i="12"/>
  <c r="F36" i="13" s="1"/>
  <c r="D36" i="13"/>
  <c r="L36" i="13" s="1"/>
  <c r="D34" i="13"/>
  <c r="L34" i="13" s="1"/>
  <c r="N32" i="12"/>
  <c r="F32" i="13" s="1"/>
  <c r="D32" i="13"/>
  <c r="L32" i="13" s="1"/>
  <c r="N26" i="12"/>
  <c r="F26" i="13" s="1"/>
  <c r="D26" i="13"/>
  <c r="L26" i="13" s="1"/>
  <c r="D30" i="13"/>
  <c r="L30" i="13" s="1"/>
  <c r="N30" i="12"/>
  <c r="F30" i="13" s="1"/>
  <c r="H24" i="12"/>
  <c r="N14" i="12" l="1"/>
  <c r="F14" i="13" s="1"/>
  <c r="E14" i="13"/>
  <c r="D58" i="12"/>
  <c r="L14" i="13"/>
  <c r="L22" i="12"/>
  <c r="L58" i="12" s="1"/>
  <c r="H16" i="12"/>
  <c r="I16" i="12"/>
  <c r="I32" i="13"/>
  <c r="H32" i="13"/>
  <c r="H44" i="13"/>
  <c r="I44" i="13"/>
  <c r="I18" i="13"/>
  <c r="H18" i="13"/>
  <c r="J28" i="14"/>
  <c r="J28" i="15"/>
  <c r="J28" i="13"/>
  <c r="K28" i="12"/>
  <c r="I46" i="13"/>
  <c r="H46" i="13"/>
  <c r="I30" i="13"/>
  <c r="H30" i="13"/>
  <c r="I18" i="12"/>
  <c r="H18" i="12"/>
  <c r="I14" i="12"/>
  <c r="H14" i="12"/>
  <c r="I36" i="13"/>
  <c r="H36" i="13"/>
  <c r="I20" i="13"/>
  <c r="H20" i="13"/>
  <c r="H32" i="12"/>
  <c r="I32" i="12"/>
  <c r="H52" i="12"/>
  <c r="I52" i="12"/>
  <c r="H42" i="12"/>
  <c r="I42" i="12"/>
  <c r="J50" i="14"/>
  <c r="K50" i="14" s="1"/>
  <c r="J50" i="15"/>
  <c r="K50" i="15" s="1"/>
  <c r="J50" i="13"/>
  <c r="K50" i="13" s="1"/>
  <c r="K50" i="12"/>
  <c r="M50" i="12" s="1"/>
  <c r="I38" i="13"/>
  <c r="H38" i="13"/>
  <c r="H100" i="14"/>
  <c r="D115" i="14" s="1"/>
  <c r="D117" i="14" s="1"/>
  <c r="D123" i="14" s="1"/>
  <c r="I40" i="12"/>
  <c r="H40" i="12"/>
  <c r="H20" i="12"/>
  <c r="I20" i="12"/>
  <c r="I54" i="12"/>
  <c r="H54" i="12"/>
  <c r="I46" i="12"/>
  <c r="H46" i="12"/>
  <c r="H26" i="12"/>
  <c r="I26" i="12"/>
  <c r="I26" i="13"/>
  <c r="H26" i="13"/>
  <c r="H54" i="13"/>
  <c r="I54" i="13"/>
  <c r="J58" i="12"/>
  <c r="H34" i="12"/>
  <c r="I34" i="12"/>
  <c r="I48" i="13"/>
  <c r="H48" i="13"/>
  <c r="H36" i="12"/>
  <c r="I36" i="12"/>
  <c r="I30" i="12"/>
  <c r="H30" i="12"/>
  <c r="I38" i="12"/>
  <c r="H38" i="12"/>
  <c r="H48" i="12"/>
  <c r="I48" i="12"/>
  <c r="I40" i="13"/>
  <c r="H40" i="13"/>
  <c r="I44" i="12"/>
  <c r="H44" i="12"/>
  <c r="H16" i="13"/>
  <c r="I16" i="13"/>
  <c r="G61" i="9"/>
  <c r="H50" i="12"/>
  <c r="I50" i="12"/>
  <c r="H28" i="12"/>
  <c r="I28" i="12"/>
  <c r="E100" i="15"/>
  <c r="M100" i="15" s="1"/>
  <c r="D109" i="14"/>
  <c r="D110" i="14" s="1"/>
  <c r="D120" i="14" s="1"/>
  <c r="D122" i="14" s="1"/>
  <c r="N100" i="14"/>
  <c r="F100" i="15" s="1"/>
  <c r="E58" i="12"/>
  <c r="D52" i="14"/>
  <c r="L52" i="14" s="1"/>
  <c r="D50" i="14"/>
  <c r="L50" i="14" s="1"/>
  <c r="D54" i="14"/>
  <c r="L54" i="14" s="1"/>
  <c r="N54" i="13"/>
  <c r="F54" i="14" s="1"/>
  <c r="D20" i="14"/>
  <c r="L20" i="14" s="1"/>
  <c r="N20" i="13"/>
  <c r="F20" i="14" s="1"/>
  <c r="N18" i="13"/>
  <c r="F18" i="14" s="1"/>
  <c r="D18" i="14"/>
  <c r="L18" i="14" s="1"/>
  <c r="N16" i="13"/>
  <c r="F16" i="14" s="1"/>
  <c r="D16" i="14"/>
  <c r="L16" i="14" s="1"/>
  <c r="N48" i="13"/>
  <c r="F48" i="14" s="1"/>
  <c r="D48" i="14"/>
  <c r="L48" i="14" s="1"/>
  <c r="D46" i="14"/>
  <c r="L46" i="14" s="1"/>
  <c r="N46" i="13"/>
  <c r="F46" i="14" s="1"/>
  <c r="N44" i="13"/>
  <c r="F44" i="14" s="1"/>
  <c r="D44" i="14"/>
  <c r="L44" i="14" s="1"/>
  <c r="D42" i="14"/>
  <c r="L42" i="14" s="1"/>
  <c r="D24" i="14"/>
  <c r="L24" i="14" s="1"/>
  <c r="N24" i="13"/>
  <c r="F24" i="14" s="1"/>
  <c r="H24" i="14" s="1"/>
  <c r="D28" i="14"/>
  <c r="L28" i="14" s="1"/>
  <c r="N40" i="13"/>
  <c r="F40" i="14" s="1"/>
  <c r="D40" i="14"/>
  <c r="L40" i="14" s="1"/>
  <c r="N38" i="13"/>
  <c r="F38" i="14" s="1"/>
  <c r="D38" i="14"/>
  <c r="L38" i="14" s="1"/>
  <c r="N36" i="13"/>
  <c r="F36" i="14" s="1"/>
  <c r="D36" i="14"/>
  <c r="L36" i="14" s="1"/>
  <c r="D34" i="14"/>
  <c r="L34" i="14" s="1"/>
  <c r="N32" i="13"/>
  <c r="F32" i="14" s="1"/>
  <c r="D32" i="14"/>
  <c r="L32" i="14" s="1"/>
  <c r="N26" i="13"/>
  <c r="F26" i="14" s="1"/>
  <c r="D26" i="14"/>
  <c r="L26" i="14" s="1"/>
  <c r="D30" i="14"/>
  <c r="L30" i="14" s="1"/>
  <c r="N30" i="13"/>
  <c r="F30" i="14" s="1"/>
  <c r="E15" i="9"/>
  <c r="C15" i="9"/>
  <c r="D18" i="9"/>
  <c r="D17" i="9"/>
  <c r="D16" i="9"/>
  <c r="D14" i="9"/>
  <c r="D13" i="9"/>
  <c r="E12" i="9"/>
  <c r="C12" i="9"/>
  <c r="D22" i="13" l="1"/>
  <c r="D58" i="13" s="1"/>
  <c r="H14" i="13"/>
  <c r="I14" i="13"/>
  <c r="K28" i="15"/>
  <c r="F58" i="12"/>
  <c r="K28" i="13"/>
  <c r="K28" i="14"/>
  <c r="M14" i="13"/>
  <c r="D14" i="14"/>
  <c r="D62" i="12"/>
  <c r="M28" i="12"/>
  <c r="N28" i="12" s="1"/>
  <c r="F28" i="13" s="1"/>
  <c r="J62" i="12"/>
  <c r="L62" i="12"/>
  <c r="D65" i="12" s="1"/>
  <c r="D67" i="12" s="1"/>
  <c r="J52" i="14"/>
  <c r="K52" i="14" s="1"/>
  <c r="J52" i="15"/>
  <c r="K52" i="15" s="1"/>
  <c r="J52" i="13"/>
  <c r="K52" i="13" s="1"/>
  <c r="K52" i="12"/>
  <c r="M52" i="12" s="1"/>
  <c r="I40" i="14"/>
  <c r="H40" i="14"/>
  <c r="J34" i="15"/>
  <c r="J34" i="14"/>
  <c r="J34" i="13"/>
  <c r="K34" i="12"/>
  <c r="I32" i="14"/>
  <c r="H32" i="14"/>
  <c r="H20" i="14"/>
  <c r="I20" i="14"/>
  <c r="E50" i="13"/>
  <c r="M50" i="13" s="1"/>
  <c r="N50" i="12"/>
  <c r="F50" i="13" s="1"/>
  <c r="H18" i="14"/>
  <c r="I18" i="14"/>
  <c r="H30" i="14"/>
  <c r="I30" i="14"/>
  <c r="I36" i="14"/>
  <c r="H36" i="14"/>
  <c r="I48" i="14"/>
  <c r="H48" i="14"/>
  <c r="I22" i="12"/>
  <c r="I58" i="12" s="1"/>
  <c r="H22" i="12"/>
  <c r="H58" i="12" s="1"/>
  <c r="J42" i="15"/>
  <c r="K42" i="15" s="1"/>
  <c r="J42" i="14"/>
  <c r="K42" i="14" s="1"/>
  <c r="J42" i="13"/>
  <c r="K42" i="13" s="1"/>
  <c r="K42" i="12"/>
  <c r="M42" i="12" s="1"/>
  <c r="H46" i="14"/>
  <c r="I46" i="14"/>
  <c r="H54" i="14"/>
  <c r="I54" i="14"/>
  <c r="H100" i="15"/>
  <c r="D115" i="15" s="1"/>
  <c r="D117" i="15" s="1"/>
  <c r="D123" i="15" s="1"/>
  <c r="H44" i="14"/>
  <c r="I44" i="14"/>
  <c r="I26" i="14"/>
  <c r="H26" i="14"/>
  <c r="I38" i="14"/>
  <c r="H38" i="14"/>
  <c r="H16" i="14"/>
  <c r="I16" i="14"/>
  <c r="D124" i="14"/>
  <c r="D126" i="14" s="1"/>
  <c r="H33" i="9" s="1"/>
  <c r="C20" i="9"/>
  <c r="F38" i="9" s="1"/>
  <c r="E20" i="9"/>
  <c r="D109" i="15"/>
  <c r="D110" i="15" s="1"/>
  <c r="D120" i="15" s="1"/>
  <c r="D122" i="15" s="1"/>
  <c r="N100" i="15"/>
  <c r="M22" i="12"/>
  <c r="D52" i="15"/>
  <c r="L52" i="15" s="1"/>
  <c r="D50" i="15"/>
  <c r="L50" i="15" s="1"/>
  <c r="N54" i="14"/>
  <c r="F54" i="15" s="1"/>
  <c r="D54" i="15"/>
  <c r="L54" i="15" s="1"/>
  <c r="D20" i="15"/>
  <c r="L20" i="15" s="1"/>
  <c r="N20" i="14"/>
  <c r="F20" i="15" s="1"/>
  <c r="N18" i="14"/>
  <c r="F18" i="15" s="1"/>
  <c r="D18" i="15"/>
  <c r="L18" i="15" s="1"/>
  <c r="N16" i="14"/>
  <c r="F16" i="15" s="1"/>
  <c r="D16" i="15"/>
  <c r="L16" i="15" s="1"/>
  <c r="D48" i="15"/>
  <c r="L48" i="15" s="1"/>
  <c r="N48" i="14"/>
  <c r="F48" i="15" s="1"/>
  <c r="D46" i="15"/>
  <c r="L46" i="15" s="1"/>
  <c r="N46" i="14"/>
  <c r="F46" i="15" s="1"/>
  <c r="D44" i="15"/>
  <c r="L44" i="15" s="1"/>
  <c r="N44" i="14"/>
  <c r="F44" i="15" s="1"/>
  <c r="D42" i="15"/>
  <c r="L42" i="15" s="1"/>
  <c r="N24" i="14"/>
  <c r="F24" i="15" s="1"/>
  <c r="H24" i="15" s="1"/>
  <c r="D24" i="15"/>
  <c r="L24" i="15" s="1"/>
  <c r="D28" i="15"/>
  <c r="L28" i="15" s="1"/>
  <c r="N40" i="14"/>
  <c r="F40" i="15" s="1"/>
  <c r="D40" i="15"/>
  <c r="L40" i="15" s="1"/>
  <c r="N38" i="14"/>
  <c r="F38" i="15" s="1"/>
  <c r="D38" i="15"/>
  <c r="L38" i="15" s="1"/>
  <c r="N36" i="14"/>
  <c r="F36" i="15" s="1"/>
  <c r="D36" i="15"/>
  <c r="L36" i="15" s="1"/>
  <c r="D34" i="15"/>
  <c r="L34" i="15" s="1"/>
  <c r="N32" i="14"/>
  <c r="F32" i="15" s="1"/>
  <c r="D32" i="15"/>
  <c r="L32" i="15" s="1"/>
  <c r="N26" i="14"/>
  <c r="F26" i="15" s="1"/>
  <c r="D26" i="15"/>
  <c r="L26" i="15" s="1"/>
  <c r="N30" i="14"/>
  <c r="F30" i="15" s="1"/>
  <c r="D30" i="15"/>
  <c r="L30" i="15" s="1"/>
  <c r="L22" i="13"/>
  <c r="L58" i="13" s="1"/>
  <c r="D62" i="13"/>
  <c r="D15" i="9"/>
  <c r="D12" i="9"/>
  <c r="A2" i="9"/>
  <c r="A3" i="9" l="1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F43" i="9"/>
  <c r="F52" i="9" s="1"/>
  <c r="F42" i="9"/>
  <c r="F51" i="9" s="1"/>
  <c r="H61" i="9"/>
  <c r="E28" i="13"/>
  <c r="M28" i="13" s="1"/>
  <c r="J58" i="14"/>
  <c r="J62" i="14" s="1"/>
  <c r="J58" i="15"/>
  <c r="J62" i="15" s="1"/>
  <c r="J58" i="13"/>
  <c r="J62" i="13" s="1"/>
  <c r="L14" i="14"/>
  <c r="K58" i="12"/>
  <c r="E14" i="14"/>
  <c r="N14" i="13"/>
  <c r="F62" i="12"/>
  <c r="E62" i="12"/>
  <c r="H62" i="12"/>
  <c r="D77" i="12" s="1"/>
  <c r="I62" i="12"/>
  <c r="D78" i="12" s="1"/>
  <c r="I38" i="15"/>
  <c r="H38" i="15"/>
  <c r="H16" i="15"/>
  <c r="I16" i="15"/>
  <c r="I54" i="15"/>
  <c r="H54" i="15"/>
  <c r="M34" i="12"/>
  <c r="M58" i="12" s="1"/>
  <c r="K34" i="13"/>
  <c r="K58" i="13" s="1"/>
  <c r="E52" i="13"/>
  <c r="M52" i="13" s="1"/>
  <c r="N52" i="12"/>
  <c r="F52" i="13" s="1"/>
  <c r="H18" i="15"/>
  <c r="I18" i="15"/>
  <c r="I44" i="15"/>
  <c r="H44" i="15"/>
  <c r="D124" i="15"/>
  <c r="D126" i="15" s="1"/>
  <c r="I33" i="9" s="1"/>
  <c r="E42" i="13"/>
  <c r="M42" i="13" s="1"/>
  <c r="N42" i="12"/>
  <c r="F42" i="13" s="1"/>
  <c r="K34" i="14"/>
  <c r="K58" i="14" s="1"/>
  <c r="I46" i="15"/>
  <c r="H46" i="15"/>
  <c r="I48" i="15"/>
  <c r="H48" i="15"/>
  <c r="I20" i="15"/>
  <c r="H20" i="15"/>
  <c r="I50" i="13"/>
  <c r="H50" i="13"/>
  <c r="H28" i="13"/>
  <c r="I28" i="13"/>
  <c r="I32" i="15"/>
  <c r="H32" i="15"/>
  <c r="H30" i="15"/>
  <c r="I30" i="15"/>
  <c r="E50" i="14"/>
  <c r="M50" i="14" s="1"/>
  <c r="N50" i="13"/>
  <c r="F50" i="14" s="1"/>
  <c r="K34" i="15"/>
  <c r="K58" i="15" s="1"/>
  <c r="I40" i="15"/>
  <c r="H40" i="15"/>
  <c r="I36" i="15"/>
  <c r="H36" i="15"/>
  <c r="H26" i="15"/>
  <c r="I26" i="15"/>
  <c r="D20" i="9"/>
  <c r="F15" i="9" s="1"/>
  <c r="E22" i="13"/>
  <c r="N22" i="12"/>
  <c r="N54" i="15"/>
  <c r="N20" i="15"/>
  <c r="N18" i="15"/>
  <c r="N16" i="15"/>
  <c r="N48" i="15"/>
  <c r="N46" i="15"/>
  <c r="N44" i="15"/>
  <c r="N24" i="15"/>
  <c r="N40" i="15"/>
  <c r="N38" i="15"/>
  <c r="N36" i="15"/>
  <c r="N32" i="15"/>
  <c r="N26" i="15"/>
  <c r="N30" i="15"/>
  <c r="D22" i="14"/>
  <c r="D58" i="14" s="1"/>
  <c r="F13" i="9" l="1"/>
  <c r="N28" i="13"/>
  <c r="F28" i="14" s="1"/>
  <c r="I28" i="14" s="1"/>
  <c r="E28" i="14"/>
  <c r="M28" i="14" s="1"/>
  <c r="E28" i="15" s="1"/>
  <c r="M28" i="15" s="1"/>
  <c r="M14" i="14"/>
  <c r="N14" i="14" s="1"/>
  <c r="D14" i="15"/>
  <c r="F14" i="14"/>
  <c r="K62" i="15"/>
  <c r="D76" i="15" s="1"/>
  <c r="K62" i="14"/>
  <c r="D76" i="14" s="1"/>
  <c r="K62" i="13"/>
  <c r="D76" i="13" s="1"/>
  <c r="L62" i="13"/>
  <c r="D65" i="13" s="1"/>
  <c r="D67" i="13" s="1"/>
  <c r="I61" i="9"/>
  <c r="K62" i="12"/>
  <c r="D76" i="12" s="1"/>
  <c r="D79" i="12" s="1"/>
  <c r="D85" i="12" s="1"/>
  <c r="M62" i="12"/>
  <c r="D71" i="12" s="1"/>
  <c r="D72" i="12" s="1"/>
  <c r="D82" i="12" s="1"/>
  <c r="D84" i="12" s="1"/>
  <c r="H50" i="14"/>
  <c r="I50" i="14"/>
  <c r="E34" i="13"/>
  <c r="M34" i="13" s="1"/>
  <c r="N34" i="12"/>
  <c r="F34" i="13" s="1"/>
  <c r="E50" i="15"/>
  <c r="M50" i="15" s="1"/>
  <c r="N50" i="14"/>
  <c r="F50" i="15" s="1"/>
  <c r="H52" i="13"/>
  <c r="I52" i="13"/>
  <c r="E52" i="14"/>
  <c r="M52" i="14" s="1"/>
  <c r="N52" i="13"/>
  <c r="F52" i="14" s="1"/>
  <c r="H42" i="13"/>
  <c r="I42" i="13"/>
  <c r="E42" i="14"/>
  <c r="M42" i="14" s="1"/>
  <c r="N42" i="13"/>
  <c r="F42" i="14" s="1"/>
  <c r="F17" i="9"/>
  <c r="F18" i="9"/>
  <c r="F14" i="9"/>
  <c r="F12" i="9"/>
  <c r="F66" i="9" s="1"/>
  <c r="F16" i="9"/>
  <c r="F22" i="13"/>
  <c r="M22" i="13"/>
  <c r="L22" i="14"/>
  <c r="L58" i="14" s="1"/>
  <c r="D62" i="14"/>
  <c r="G38" i="9"/>
  <c r="G43" i="9" l="1"/>
  <c r="G52" i="9" s="1"/>
  <c r="G42" i="9"/>
  <c r="G51" i="9" s="1"/>
  <c r="N28" i="14"/>
  <c r="F28" i="15" s="1"/>
  <c r="H28" i="15" s="1"/>
  <c r="H28" i="14"/>
  <c r="M58" i="13"/>
  <c r="I14" i="14"/>
  <c r="H14" i="14"/>
  <c r="F14" i="15"/>
  <c r="L14" i="15"/>
  <c r="N58" i="12"/>
  <c r="N62" i="12" s="1"/>
  <c r="E58" i="13"/>
  <c r="F58" i="13" s="1"/>
  <c r="E14" i="15"/>
  <c r="D86" i="12"/>
  <c r="D88" i="12" s="1"/>
  <c r="D91" i="12" s="1"/>
  <c r="F32" i="9" s="1"/>
  <c r="N28" i="15"/>
  <c r="E42" i="15"/>
  <c r="M42" i="15" s="1"/>
  <c r="N42" i="14"/>
  <c r="F42" i="15" s="1"/>
  <c r="H50" i="15"/>
  <c r="I50" i="15"/>
  <c r="N50" i="15"/>
  <c r="H52" i="14"/>
  <c r="I52" i="14"/>
  <c r="E52" i="15"/>
  <c r="M52" i="15" s="1"/>
  <c r="N52" i="14"/>
  <c r="F52" i="15" s="1"/>
  <c r="I34" i="13"/>
  <c r="H34" i="13"/>
  <c r="H22" i="13"/>
  <c r="I22" i="13"/>
  <c r="H42" i="14"/>
  <c r="I42" i="14"/>
  <c r="E34" i="14"/>
  <c r="M34" i="14" s="1"/>
  <c r="N34" i="13"/>
  <c r="F34" i="14" s="1"/>
  <c r="H66" i="9"/>
  <c r="H71" i="9" s="1"/>
  <c r="H80" i="9" s="1"/>
  <c r="H89" i="9" s="1"/>
  <c r="H98" i="9" s="1"/>
  <c r="G66" i="9"/>
  <c r="G72" i="9" s="1"/>
  <c r="G81" i="9" s="1"/>
  <c r="G90" i="9" s="1"/>
  <c r="G99" i="9" s="1"/>
  <c r="I66" i="9"/>
  <c r="I71" i="9" s="1"/>
  <c r="I80" i="9" s="1"/>
  <c r="I89" i="9" s="1"/>
  <c r="I98" i="9" s="1"/>
  <c r="F20" i="9"/>
  <c r="F72" i="9"/>
  <c r="F71" i="9"/>
  <c r="F80" i="9" s="1"/>
  <c r="F89" i="9" s="1"/>
  <c r="F98" i="9" s="1"/>
  <c r="E22" i="14"/>
  <c r="N22" i="13"/>
  <c r="D22" i="15"/>
  <c r="D58" i="15" s="1"/>
  <c r="H38" i="9"/>
  <c r="F41" i="9" l="1"/>
  <c r="F50" i="9" s="1"/>
  <c r="H43" i="9"/>
  <c r="H52" i="9" s="1"/>
  <c r="H42" i="9"/>
  <c r="H51" i="9" s="1"/>
  <c r="G71" i="9"/>
  <c r="G80" i="9" s="1"/>
  <c r="G89" i="9" s="1"/>
  <c r="G98" i="9" s="1"/>
  <c r="H72" i="9"/>
  <c r="H81" i="9" s="1"/>
  <c r="H90" i="9" s="1"/>
  <c r="H99" i="9" s="1"/>
  <c r="I28" i="15"/>
  <c r="I58" i="13"/>
  <c r="H58" i="13"/>
  <c r="N58" i="13"/>
  <c r="N62" i="13" s="1"/>
  <c r="E58" i="14"/>
  <c r="I14" i="15"/>
  <c r="H14" i="15"/>
  <c r="M14" i="15"/>
  <c r="F81" i="9"/>
  <c r="F90" i="9" s="1"/>
  <c r="F99" i="9" s="1"/>
  <c r="F36" i="9"/>
  <c r="F45" i="9" s="1"/>
  <c r="L62" i="14"/>
  <c r="D65" i="14" s="1"/>
  <c r="D67" i="14" s="1"/>
  <c r="M62" i="13"/>
  <c r="D71" i="13" s="1"/>
  <c r="D72" i="13" s="1"/>
  <c r="F62" i="13"/>
  <c r="E62" i="13"/>
  <c r="F60" i="9"/>
  <c r="F70" i="9" s="1"/>
  <c r="F79" i="9" s="1"/>
  <c r="F88" i="9" s="1"/>
  <c r="F97" i="9" s="1"/>
  <c r="N52" i="15"/>
  <c r="H42" i="15"/>
  <c r="I42" i="15"/>
  <c r="N42" i="15"/>
  <c r="H34" i="14"/>
  <c r="I34" i="14"/>
  <c r="E34" i="15"/>
  <c r="M34" i="15" s="1"/>
  <c r="N34" i="14"/>
  <c r="F34" i="15" s="1"/>
  <c r="I52" i="15"/>
  <c r="H52" i="15"/>
  <c r="I72" i="9"/>
  <c r="I81" i="9" s="1"/>
  <c r="I90" i="9" s="1"/>
  <c r="I99" i="9" s="1"/>
  <c r="F22" i="14"/>
  <c r="M22" i="14"/>
  <c r="M58" i="14" s="1"/>
  <c r="D62" i="15"/>
  <c r="L22" i="15"/>
  <c r="L58" i="15" s="1"/>
  <c r="I38" i="9"/>
  <c r="F54" i="9" l="1"/>
  <c r="I43" i="9"/>
  <c r="I52" i="9" s="1"/>
  <c r="I42" i="9"/>
  <c r="I51" i="9" s="1"/>
  <c r="N14" i="15"/>
  <c r="F64" i="9"/>
  <c r="F74" i="9" s="1"/>
  <c r="F83" i="9" s="1"/>
  <c r="F92" i="9" s="1"/>
  <c r="F101" i="9" s="1"/>
  <c r="D82" i="13"/>
  <c r="D84" i="13" s="1"/>
  <c r="F58" i="14"/>
  <c r="F62" i="14" s="1"/>
  <c r="E62" i="14"/>
  <c r="I62" i="13"/>
  <c r="D78" i="13" s="1"/>
  <c r="H62" i="13"/>
  <c r="D77" i="13" s="1"/>
  <c r="I34" i="15"/>
  <c r="H34" i="15"/>
  <c r="N34" i="15"/>
  <c r="I22" i="14"/>
  <c r="I58" i="14" s="1"/>
  <c r="H22" i="14"/>
  <c r="H58" i="14" s="1"/>
  <c r="E22" i="15"/>
  <c r="E58" i="15" s="1"/>
  <c r="N22" i="14"/>
  <c r="N58" i="14" s="1"/>
  <c r="D79" i="13" l="1"/>
  <c r="D85" i="13" s="1"/>
  <c r="D86" i="13" s="1"/>
  <c r="L62" i="15"/>
  <c r="D65" i="15" s="1"/>
  <c r="D67" i="15" s="1"/>
  <c r="I62" i="14"/>
  <c r="D78" i="14" s="1"/>
  <c r="M62" i="14"/>
  <c r="D71" i="14" s="1"/>
  <c r="D72" i="14" s="1"/>
  <c r="D82" i="14" s="1"/>
  <c r="D84" i="14" s="1"/>
  <c r="H62" i="14"/>
  <c r="D77" i="14" s="1"/>
  <c r="N62" i="14"/>
  <c r="F22" i="15"/>
  <c r="M22" i="15"/>
  <c r="M58" i="15" s="1"/>
  <c r="D79" i="14" l="1"/>
  <c r="D85" i="14" s="1"/>
  <c r="D86" i="14" s="1"/>
  <c r="D88" i="14" s="1"/>
  <c r="D91" i="14" s="1"/>
  <c r="H32" i="9" s="1"/>
  <c r="F58" i="15"/>
  <c r="F62" i="15" s="1"/>
  <c r="E62" i="15"/>
  <c r="D88" i="13"/>
  <c r="D91" i="13" s="1"/>
  <c r="G32" i="9" s="1"/>
  <c r="G41" i="9" s="1"/>
  <c r="G50" i="9" s="1"/>
  <c r="I22" i="15"/>
  <c r="I58" i="15" s="1"/>
  <c r="H22" i="15"/>
  <c r="H58" i="15" s="1"/>
  <c r="N22" i="15"/>
  <c r="N58" i="15" s="1"/>
  <c r="H41" i="9" l="1"/>
  <c r="H50" i="9" s="1"/>
  <c r="H62" i="15"/>
  <c r="D77" i="15" s="1"/>
  <c r="I62" i="15"/>
  <c r="D78" i="15" s="1"/>
  <c r="M62" i="15"/>
  <c r="D71" i="15" s="1"/>
  <c r="D72" i="15" s="1"/>
  <c r="D82" i="15" s="1"/>
  <c r="D84" i="15" s="1"/>
  <c r="H60" i="9"/>
  <c r="H36" i="9"/>
  <c r="H45" i="9" s="1"/>
  <c r="H54" i="9" s="1"/>
  <c r="G36" i="9"/>
  <c r="G45" i="9" s="1"/>
  <c r="G54" i="9" s="1"/>
  <c r="G60" i="9"/>
  <c r="N62" i="15"/>
  <c r="H70" i="9" l="1"/>
  <c r="H79" i="9" s="1"/>
  <c r="H88" i="9" s="1"/>
  <c r="H97" i="9" s="1"/>
  <c r="D79" i="15"/>
  <c r="D85" i="15" s="1"/>
  <c r="D86" i="15" s="1"/>
  <c r="D88" i="15" s="1"/>
  <c r="D91" i="15" s="1"/>
  <c r="I32" i="9" s="1"/>
  <c r="H64" i="9"/>
  <c r="H74" i="9" s="1"/>
  <c r="H83" i="9" s="1"/>
  <c r="H92" i="9" s="1"/>
  <c r="H101" i="9" s="1"/>
  <c r="G64" i="9"/>
  <c r="G74" i="9" s="1"/>
  <c r="G83" i="9" s="1"/>
  <c r="G92" i="9" s="1"/>
  <c r="G101" i="9" s="1"/>
  <c r="G70" i="9"/>
  <c r="G79" i="9" s="1"/>
  <c r="G88" i="9" s="1"/>
  <c r="G97" i="9" s="1"/>
  <c r="I36" i="9" l="1"/>
  <c r="I45" i="9" s="1"/>
  <c r="I54" i="9" s="1"/>
  <c r="I41" i="9"/>
  <c r="I50" i="9" s="1"/>
  <c r="I60" i="9"/>
  <c r="I70" i="9" s="1"/>
  <c r="I79" i="9" s="1"/>
  <c r="I88" i="9" s="1"/>
  <c r="I97" i="9" s="1"/>
  <c r="I64" i="9" l="1"/>
  <c r="I74" i="9" s="1"/>
  <c r="I83" i="9" s="1"/>
  <c r="I92" i="9" s="1"/>
  <c r="I101" i="9" s="1"/>
</calcChain>
</file>

<file path=xl/sharedStrings.xml><?xml version="1.0" encoding="utf-8"?>
<sst xmlns="http://schemas.openxmlformats.org/spreadsheetml/2006/main" count="899" uniqueCount="217">
  <si>
    <t>Plant, Depreciation, Property Insurance, and Property Taxes:</t>
  </si>
  <si>
    <t>Description</t>
  </si>
  <si>
    <t>Eligible Gross</t>
  </si>
  <si>
    <t>Plant in Service</t>
  </si>
  <si>
    <t>Eligible Accum.</t>
  </si>
  <si>
    <t>Depreciation</t>
  </si>
  <si>
    <t>CWIP</t>
  </si>
  <si>
    <t>Eligible Net</t>
  </si>
  <si>
    <t>Property</t>
  </si>
  <si>
    <t>Taxes</t>
  </si>
  <si>
    <t>Insurance</t>
  </si>
  <si>
    <t>Depreciation Expense</t>
  </si>
  <si>
    <t>Monthly</t>
  </si>
  <si>
    <t>Annual</t>
  </si>
  <si>
    <t>Balances as of December 31, 2023</t>
  </si>
  <si>
    <t>Totals</t>
  </si>
  <si>
    <t xml:space="preserve">Property Tax Rates:  </t>
  </si>
  <si>
    <t xml:space="preserve">Property Insurance Rate:  </t>
  </si>
  <si>
    <t>Manufacturing Machinery</t>
  </si>
  <si>
    <t>Real Estate - Clark Co.</t>
  </si>
  <si>
    <t>Real Estate - Mason Co.</t>
  </si>
  <si>
    <t>Real Estate - Pulaski Co.</t>
  </si>
  <si>
    <t>Eligible Gross Plant in Service</t>
  </si>
  <si>
    <t xml:space="preserve">  Subtotal</t>
  </si>
  <si>
    <t>Additions -</t>
  </si>
  <si>
    <t xml:space="preserve">  Cash Working Capital Allowance</t>
  </si>
  <si>
    <t>Deductions -</t>
  </si>
  <si>
    <t xml:space="preserve">  Eligible Accumulated Depreciation </t>
  </si>
  <si>
    <t>Environmental Compliance Rate Base</t>
  </si>
  <si>
    <t>Annual O&amp;M Expenses</t>
  </si>
  <si>
    <t>Annual Depreciation and Amortization Expense</t>
  </si>
  <si>
    <t>Annual Property Taxes</t>
  </si>
  <si>
    <t>Annual Property Insurance Expense</t>
  </si>
  <si>
    <t>Total Pollution Control Operating Expenses</t>
  </si>
  <si>
    <t>Return on Rate Base</t>
  </si>
  <si>
    <t>Operating Expenses</t>
  </si>
  <si>
    <t>Member System Allocation Ratio (December 31, 2022)</t>
  </si>
  <si>
    <t xml:space="preserve">  Total Revenue Requirement</t>
  </si>
  <si>
    <t>2024 Amounts</t>
  </si>
  <si>
    <t>Balances as of December 31, 2024</t>
  </si>
  <si>
    <t>Determination of Environmental Compliance Rate Base as of December 31, 2024:</t>
  </si>
  <si>
    <t>Determination of Pollution Control Operating Expenses, 12 months ending December 31, 2024:</t>
  </si>
  <si>
    <t>Revenue Requirement for 12 Months ending December 31, 2024:</t>
  </si>
  <si>
    <t>Balances as of December 31, 2025</t>
  </si>
  <si>
    <t>2026 Amounts</t>
  </si>
  <si>
    <t>Balances as of December 31, 2026</t>
  </si>
  <si>
    <t>Determination of Environmental Compliance Rate Base as of December 31, 2025:</t>
  </si>
  <si>
    <t>Determination of Pollution Control Operating Expenses, 12 months ending December 31, 2025:</t>
  </si>
  <si>
    <t>Revenue Requirement for 12 Months ending December 31, 2025:</t>
  </si>
  <si>
    <t>Determination of Environmental Compliance Rate Base as of December 31, 2026:</t>
  </si>
  <si>
    <t>Determination of Pollution Control Operating Expenses, 12 months ending December 31, 2026:</t>
  </si>
  <si>
    <t>Revenue Requirement for 12 Months ending December 31, 2026:</t>
  </si>
  <si>
    <t>2027 Amounts</t>
  </si>
  <si>
    <t>Balances as of December 31, 2027</t>
  </si>
  <si>
    <t>Determination of Environmental Compliance Rate Base as of December 31, 2027:</t>
  </si>
  <si>
    <t>Determination of Pollution Control Operating Expenses, 12 months ending December 31, 2027:</t>
  </si>
  <si>
    <t>Revenue Requirement for 12 Months ending December 31, 2027:</t>
  </si>
  <si>
    <t>Revenue Information as of December 31, 2022 Billings</t>
  </si>
  <si>
    <t>Rate</t>
  </si>
  <si>
    <t>Schedule</t>
  </si>
  <si>
    <t>Total</t>
  </si>
  <si>
    <t>Revenues</t>
  </si>
  <si>
    <t>Base Rate &amp;</t>
  </si>
  <si>
    <t>FAC Revenues</t>
  </si>
  <si>
    <t>Environmental</t>
  </si>
  <si>
    <t>Surcharge</t>
  </si>
  <si>
    <t>Allocation</t>
  </si>
  <si>
    <t>Percentage</t>
  </si>
  <si>
    <t>Rate E</t>
  </si>
  <si>
    <t>Rate B</t>
  </si>
  <si>
    <t>Rate C</t>
  </si>
  <si>
    <t>Rate G</t>
  </si>
  <si>
    <t>Int. Paper Steam</t>
  </si>
  <si>
    <t>Nucor Gallatin</t>
  </si>
  <si>
    <t>Tenn Gas Pipeline</t>
  </si>
  <si>
    <t>Note:  Allocation Percentage is calculated off of Base Rate and FAC Revenues.</t>
  </si>
  <si>
    <t>Estimated Rate Impacts</t>
  </si>
  <si>
    <t xml:space="preserve">  Total Revenues as of December 31, 2022</t>
  </si>
  <si>
    <t>Proposed Projects Not Requiring a CPCN:</t>
  </si>
  <si>
    <t>Cooper Inlet Hopper Discharge Modification w New System</t>
  </si>
  <si>
    <t>Cooper Treatment Plant pH Adjustment</t>
  </si>
  <si>
    <t>Smith CCR Groundwater Well - Purchase &amp; Installation</t>
  </si>
  <si>
    <t>Spurlock CCR Groundwater Well - Purchase &amp; Installation</t>
  </si>
  <si>
    <t>Spurlock Air Heater Wash Water Pumping System - 2021-2022</t>
  </si>
  <si>
    <t>Spurlock Ash Haul Bridge Expansion Joint Plate Protectors</t>
  </si>
  <si>
    <t>Spurlock Backup Limestone Conveyor &amp; TDF/Alter. Fuel Feeder</t>
  </si>
  <si>
    <t>Spurlock Fly Ash Silo Exhausters</t>
  </si>
  <si>
    <t>Spurlock Lagoon Re-circulation Pumps</t>
  </si>
  <si>
    <t>Spurlock Landfill - Area C Phase 5</t>
  </si>
  <si>
    <t>Spurlock Site Wide Service Water Project, Phase 1</t>
  </si>
  <si>
    <t>Spurlock Units 1 &amp; 2 Fly Ash Silo Dust Suppression System</t>
  </si>
  <si>
    <t>Spurlock Unit 4 Fly Ash Silo Dust Suppression System</t>
  </si>
  <si>
    <t>Spurlock Unit 2 Air Heater Deposition Measure. &amp; Control Sys.</t>
  </si>
  <si>
    <t>Spurlock Unit 1 Sonic Horns</t>
  </si>
  <si>
    <t>Spurlock Unit 2 Sonic Horns</t>
  </si>
  <si>
    <t>Spurlock Unit 3 Baghouse (Liner)</t>
  </si>
  <si>
    <t>Spurlock Unit 4 Baghouse (Liner)</t>
  </si>
  <si>
    <t>Spurlock WWT and Ash System Platforms</t>
  </si>
  <si>
    <t>Spurlock Fly Ash Silo Foggers</t>
  </si>
  <si>
    <t>Spurlock Landfill - Haul Road Paving Phase 1</t>
  </si>
  <si>
    <t>Total Proposed Projects Not Requiring a CPCN</t>
  </si>
  <si>
    <t>Spurlock Landfill - Area D Phase 2</t>
  </si>
  <si>
    <t>Proposed Projects Requiring a CPCN:</t>
  </si>
  <si>
    <t>Cooper CFI Closure - No capital costs; expensed as incurred only.</t>
  </si>
  <si>
    <t>Less:  BESF Revenue Requirement for Items Already Recovered</t>
  </si>
  <si>
    <t xml:space="preserve">  through Base Rates</t>
  </si>
  <si>
    <t>Revenue Requirment applicable to Member Systems</t>
  </si>
  <si>
    <t>Net Revenue Requirement applicable to Member Systems</t>
  </si>
  <si>
    <t>1/8 of O&amp;M Expenses</t>
  </si>
  <si>
    <t>Annual O&amp;M Expenses for Proposed Projects:</t>
  </si>
  <si>
    <t>Total Annual O&amp;M Expenses</t>
  </si>
  <si>
    <t>Determination of Rate Base as of December 31, 2019:</t>
  </si>
  <si>
    <t>Gross Plant in Service</t>
  </si>
  <si>
    <t xml:space="preserve">  Accumulated Depreciation </t>
  </si>
  <si>
    <t>Total Rate Base</t>
  </si>
  <si>
    <t>Determination of Operating Expenses as of December 31, 2019:</t>
  </si>
  <si>
    <t>Annual Depreciation Expense</t>
  </si>
  <si>
    <t>Annual O&amp;M Expense</t>
  </si>
  <si>
    <t>Annual Property Taxes &amp; Insurance</t>
  </si>
  <si>
    <t>Total Operating Expenses</t>
  </si>
  <si>
    <t>BESF Revenue Requirement as of December 31, 2019:</t>
  </si>
  <si>
    <t>Total Revenue Requirement</t>
  </si>
  <si>
    <t>Member System Allocation Percentage at December 2019</t>
  </si>
  <si>
    <t>BESF Revenue Requirement for Items Already Recovered</t>
  </si>
  <si>
    <t>Rate of Return on Rate Base - Authorized Case No. 2019-00380</t>
  </si>
  <si>
    <t xml:space="preserve">  Cash Working Capital Allowance - 1/8th of O&amp;M Expenses</t>
  </si>
  <si>
    <t>Expense</t>
  </si>
  <si>
    <t>Estimated Annual Revenue Requirement applicable to</t>
  </si>
  <si>
    <t xml:space="preserve">  Member Systems -</t>
  </si>
  <si>
    <t xml:space="preserve">    Projects not Requiring a CPCN; Net of BESF</t>
  </si>
  <si>
    <t xml:space="preserve">    CPCN - Spurlock Landfill, Area D, Phase 2</t>
  </si>
  <si>
    <t xml:space="preserve">    CPCN - Cooper CFI Closure</t>
  </si>
  <si>
    <t xml:space="preserve">    Total Estimated Annual Revenue Requirement</t>
  </si>
  <si>
    <t xml:space="preserve">      applicable to Member Systems</t>
  </si>
  <si>
    <t>Percentage Increase at Wholesale -</t>
  </si>
  <si>
    <t xml:space="preserve">    Total Percentage Increase at Wholesale</t>
  </si>
  <si>
    <t>Historic relationship between Retail and Wholesale</t>
  </si>
  <si>
    <t>Percentage Increase at Retail -</t>
  </si>
  <si>
    <t xml:space="preserve">    Total Percentage Increase at Retail</t>
  </si>
  <si>
    <t>Allocation Percentage - Rate E</t>
  </si>
  <si>
    <t>Allocated Estimated Annual Revenue Requirement</t>
  </si>
  <si>
    <t xml:space="preserve">    Total Allocated Estimated Annual Revenue Requirement</t>
  </si>
  <si>
    <t xml:space="preserve">  applicable to Member Systems - Rate E -</t>
  </si>
  <si>
    <t xml:space="preserve">      applicable to Member Systems - Rate E</t>
  </si>
  <si>
    <t xml:space="preserve">2022 Billed kWh Sales - Rate E </t>
  </si>
  <si>
    <t xml:space="preserve">    Total Wholesale Rate E Revenue Requirement per kWh</t>
  </si>
  <si>
    <t>Wholesale Rate E Revenue Requirement per kWh -</t>
  </si>
  <si>
    <t>Average Residential Bill in kWh</t>
  </si>
  <si>
    <t>Impact on Average Residential Bill at Wholesale -</t>
  </si>
  <si>
    <t xml:space="preserve">    Total Impact on Average Residential Bill at Wholesale</t>
  </si>
  <si>
    <t>Impact on Average Residential Bill at Retail -</t>
  </si>
  <si>
    <t xml:space="preserve">    Total Impact on Average Residential Bill at Retail</t>
  </si>
  <si>
    <t xml:space="preserve">  Average of total estimated O&amp;M Expenses for one month</t>
  </si>
  <si>
    <t xml:space="preserve">  One month of depreciation expense in 2024</t>
  </si>
  <si>
    <t>2025 Amounts</t>
  </si>
  <si>
    <t>Subtotal Proposed Projects Not Requiring a CPCN</t>
  </si>
  <si>
    <t>Spurlock Landfill, Area D, Phase 1 (CPCN already granted)</t>
  </si>
  <si>
    <t>Spurlock Landfill, Area D, Ponds &amp; Stream Mitigation</t>
  </si>
  <si>
    <t>Revenue Requirement applicable to Member Systems</t>
  </si>
  <si>
    <t>Compliance Plan</t>
  </si>
  <si>
    <t>Project Reference</t>
  </si>
  <si>
    <t>Amend 11</t>
  </si>
  <si>
    <t>Amend 15</t>
  </si>
  <si>
    <t>Amend 16</t>
  </si>
  <si>
    <t>Amend 12</t>
  </si>
  <si>
    <t>Amend 3</t>
  </si>
  <si>
    <t>Amend 4</t>
  </si>
  <si>
    <t>Amend 1</t>
  </si>
  <si>
    <t>Amend 9</t>
  </si>
  <si>
    <t>Spurlock 3 Baghouse (Liner)</t>
  </si>
  <si>
    <t>Spurlock 1 Sonic Horns</t>
  </si>
  <si>
    <t>Spurlock 2 Sonic Horns</t>
  </si>
  <si>
    <t>Spurlock 4 Baghouse (Liner)</t>
  </si>
  <si>
    <t>Cooper Inlet Hopper Discharge Modification</t>
  </si>
  <si>
    <t>Smith CCR Groundwater Wells</t>
  </si>
  <si>
    <t>Spurlock CCR Groundwater Wells</t>
  </si>
  <si>
    <t>Spurlock Ash Haul Bridge Joint Plate</t>
  </si>
  <si>
    <t>Spurlock Backup Limestone Conveyor</t>
  </si>
  <si>
    <t>Spurlock 1&amp;2 Fly Ash Silo Dust Suppression</t>
  </si>
  <si>
    <t>Spurlock 4 Fly Ash Silo Dust Suppression</t>
  </si>
  <si>
    <t>Spurlock 2 Air Heater Deposition Meas.</t>
  </si>
  <si>
    <t>Spurlock Landfill - Haul Road Paving</t>
  </si>
  <si>
    <t>Spurlock Landfill, Area D, Ponds &amp; Stream</t>
  </si>
  <si>
    <t>Spurlock Landfill, Area D, Phase 1</t>
  </si>
  <si>
    <t>Detailed Financial Information - Balances as of December 31, 2019</t>
  </si>
  <si>
    <t xml:space="preserve">  No O&amp;M expenses could be identified for these projects in the financial information.</t>
  </si>
  <si>
    <t>Authorized Rate of Return  (Proposed)</t>
  </si>
  <si>
    <t xml:space="preserve">  Reflects new depreciation study approved in last base rate case.</t>
  </si>
  <si>
    <t>Page 2 of 6</t>
  </si>
  <si>
    <t>East Kentucky Power Cooperative, Inc.</t>
  </si>
  <si>
    <t>Detailed Revenue Requirement Calculations for the Expense Month Ending December 2024</t>
  </si>
  <si>
    <t>Page 3 of 6</t>
  </si>
  <si>
    <t>Page 4 of 6</t>
  </si>
  <si>
    <t>Page 5 of 6</t>
  </si>
  <si>
    <t>Detailed Revenue Requirement Calculations for the Expense Month Ending December 2027</t>
  </si>
  <si>
    <t>Detailed Revenue Requirement Calculations for the Expense Month Ending December 2026</t>
  </si>
  <si>
    <t>Detailed Revenue Requirement Calculations for the Expense Month Ending December 2025</t>
  </si>
  <si>
    <t>Page 6 of 6</t>
  </si>
  <si>
    <t>BESF Revenue Requirement Calculations for Proposed Projects Already Recovered in Base Rates</t>
  </si>
  <si>
    <t>Calculated Annual Amount included in Detailed Revenue Requirement Calculations for Years Ending 2024 through 2027</t>
  </si>
  <si>
    <t>Exhibit ISS-5</t>
  </si>
  <si>
    <t>Calendar Year Ending</t>
  </si>
  <si>
    <t>2024</t>
  </si>
  <si>
    <t>2025</t>
  </si>
  <si>
    <t>2026</t>
  </si>
  <si>
    <t>2027</t>
  </si>
  <si>
    <t>Estimated Annual Revenue Requirement applicable to Member Systems -</t>
  </si>
  <si>
    <t xml:space="preserve">    Total Estimated Annual Revenue Requirement applicable to</t>
  </si>
  <si>
    <t xml:space="preserve">      Member Systems</t>
  </si>
  <si>
    <t>Page 1 of 6</t>
  </si>
  <si>
    <t>Estimated Increase in Revenues and Estimated Bill Impact on Residential Customers</t>
  </si>
  <si>
    <t>Historic relationship between Retail and Wholesale Surcharge Factors</t>
  </si>
  <si>
    <t>Percentage Increase</t>
  </si>
  <si>
    <t xml:space="preserve">Impact on Average Residential Bill at Retail  </t>
  </si>
  <si>
    <t xml:space="preserve">Note: </t>
  </si>
  <si>
    <t xml:space="preserve">  This calculation reflects EKPC's best estimate of the impact on residential bills and is not based on an analysis of residential billing information.</t>
  </si>
  <si>
    <t>Operating Expenses - to complete Impoundment Closure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</si>
</sst>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8" formatCode="&quot;$&quot;#,##0.00_);[Red]\(&quot;$&quot;#,##0.00\)"/>
    <numFmt numFmtId="164" formatCode="&quot;$&quot;#,##0.0000_);[Red]\(&quot;$&quot;#,##0.0000\)"/>
    <numFmt numFmtId="165" formatCode="&quot;$&quot;#,##0.000000_);[Red]\(&quot;$&quot;#,##0.000000\)"/>
    <numFmt numFmtId="166" formatCode="&quot;$&quot;#,##0.00000_);[Red]\(&quot;$&quot;#,##0.00000\)"/>
    <numFmt numFmtId="167" formatCode="0.000%"/>
    <numFmt numFmtId="168" formatCode="&quot;$&quot;#,##0.000_);[Red]\(&quot;$&quot;#,##0.000\)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38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6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6" fontId="0" fillId="0" borderId="11" xfId="0" applyNumberFormat="1" applyBorder="1"/>
    <xf numFmtId="6" fontId="0" fillId="0" borderId="12" xfId="0" applyNumberFormat="1" applyBorder="1"/>
    <xf numFmtId="0" fontId="2" fillId="0" borderId="0" xfId="0" applyFont="1" applyAlignment="1">
      <alignment horizontal="left"/>
    </xf>
    <xf numFmtId="6" fontId="0" fillId="0" borderId="13" xfId="0" applyNumberFormat="1" applyBorder="1"/>
    <xf numFmtId="167" fontId="0" fillId="0" borderId="11" xfId="0" applyNumberFormat="1" applyBorder="1"/>
    <xf numFmtId="10" fontId="0" fillId="0" borderId="11" xfId="0" applyNumberFormat="1" applyBorder="1"/>
    <xf numFmtId="0" fontId="0" fillId="0" borderId="0" xfId="0" applyBorder="1" applyAlignment="1">
      <alignment horizontal="center"/>
    </xf>
    <xf numFmtId="167" fontId="0" fillId="0" borderId="0" xfId="0" applyNumberFormat="1"/>
    <xf numFmtId="167" fontId="0" fillId="0" borderId="12" xfId="0" applyNumberFormat="1" applyBorder="1"/>
    <xf numFmtId="0" fontId="3" fillId="0" borderId="0" xfId="0" applyFont="1"/>
    <xf numFmtId="10" fontId="0" fillId="0" borderId="0" xfId="0" applyNumberFormat="1"/>
    <xf numFmtId="168" fontId="0" fillId="0" borderId="0" xfId="0" applyNumberFormat="1"/>
    <xf numFmtId="8" fontId="0" fillId="0" borderId="0" xfId="0" applyNumberFormat="1"/>
    <xf numFmtId="6" fontId="0" fillId="0" borderId="0" xfId="0" applyNumberFormat="1" applyBorder="1"/>
    <xf numFmtId="0" fontId="0" fillId="0" borderId="0" xfId="0" applyBorder="1"/>
    <xf numFmtId="0" fontId="4" fillId="0" borderId="0" xfId="0" applyFont="1"/>
    <xf numFmtId="0" fontId="4" fillId="0" borderId="0" xfId="0" applyFont="1" applyAlignment="1">
      <alignment horizontal="left"/>
    </xf>
    <xf numFmtId="6" fontId="2" fillId="0" borderId="0" xfId="0" applyNumberFormat="1" applyFont="1"/>
    <xf numFmtId="10" fontId="0" fillId="0" borderId="0" xfId="0" applyNumberFormat="1" applyBorder="1"/>
    <xf numFmtId="0" fontId="0" fillId="0" borderId="0" xfId="0" applyFont="1" applyBorder="1"/>
    <xf numFmtId="6" fontId="0" fillId="0" borderId="0" xfId="0" applyNumberFormat="1" applyFont="1" applyBorder="1"/>
    <xf numFmtId="167" fontId="0" fillId="0" borderId="0" xfId="0" applyNumberFormat="1" applyFont="1" applyBorder="1"/>
    <xf numFmtId="6" fontId="0" fillId="0" borderId="11" xfId="0" applyNumberFormat="1" applyFont="1" applyBorder="1"/>
    <xf numFmtId="6" fontId="0" fillId="0" borderId="13" xfId="0" applyNumberFormat="1" applyFont="1" applyBorder="1"/>
    <xf numFmtId="10" fontId="0" fillId="0" borderId="11" xfId="0" applyNumberFormat="1" applyFont="1" applyBorder="1"/>
    <xf numFmtId="0" fontId="0" fillId="2" borderId="0" xfId="0" applyFill="1"/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6" fontId="0" fillId="0" borderId="11" xfId="0" applyNumberFormat="1" applyBorder="1"/>
    <xf numFmtId="168" fontId="0" fillId="0" borderId="11" xfId="0" applyNumberFormat="1" applyBorder="1"/>
    <xf numFmtId="8" fontId="0" fillId="0" borderId="11" xfId="0" applyNumberFormat="1" applyBorder="1"/>
    <xf numFmtId="6" fontId="0" fillId="0" borderId="0" xfId="0" applyNumberFormat="1" applyFill="1"/>
    <xf numFmtId="0" fontId="0" fillId="0" borderId="0" xfId="0" applyFill="1"/>
    <xf numFmtId="6" fontId="0" fillId="0" borderId="11" xfId="0" applyNumberFormat="1" applyFill="1" applyBorder="1"/>
    <xf numFmtId="10" fontId="0" fillId="0" borderId="11" xfId="0" applyNumberFormat="1" applyFill="1" applyBorder="1"/>
    <xf numFmtId="6" fontId="0" fillId="0" borderId="13" xfId="0" applyNumberFormat="1" applyFill="1" applyBorder="1"/>
    <xf numFmtId="6" fontId="0" fillId="0" borderId="0" xfId="0" applyNumberFormat="1" applyFill="1" applyBorder="1"/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ill="1" applyAlignment="1">
      <alignment horizontal="center"/>
    </xf>
    <xf numFmtId="0" fontId="1" fillId="0" borderId="0" xfId="0" applyFont="1" applyAlignment="1">
      <alignment horizontal="right"/>
    </xf>
    <xf numFmtId="167" fontId="0" fillId="0" borderId="0" xfId="0" applyNumberFormat="1" applyBorder="1"/>
    <xf numFmtId="38" fontId="0" fillId="0" borderId="0" xfId="0" applyNumberFormat="1" applyBorder="1"/>
    <xf numFmtId="166" fontId="0" fillId="0" borderId="0" xfId="0" applyNumberFormat="1" applyBorder="1"/>
    <xf numFmtId="168" fontId="0" fillId="0" borderId="0" xfId="0" applyNumberFormat="1" applyBorder="1"/>
    <xf numFmtId="8" fontId="0" fillId="0" borderId="0" xfId="0" applyNumberFormat="1" applyBorder="1"/>
    <xf numFmtId="0" fontId="0" fillId="0" borderId="6" xfId="0" quotePrefix="1" applyBorder="1" applyAlignment="1">
      <alignment horizontal="center"/>
    </xf>
    <xf numFmtId="167" fontId="0" fillId="0" borderId="11" xfId="0" applyNumberFormat="1" applyFill="1" applyBorder="1"/>
    <xf numFmtId="167" fontId="0" fillId="0" borderId="1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80" zoomScaleNormal="80" workbookViewId="0">
      <selection activeCell="B4" sqref="B4"/>
    </sheetView>
  </sheetViews>
  <sheetFormatPr defaultColWidth="15.625" defaultRowHeight="14.25" x14ac:dyDescent="0.2"/>
  <cols>
    <col min="1" max="1" width="4.625" customWidth="1"/>
    <col min="2" max="2" width="17.625" customWidth="1"/>
    <col min="10" max="10" width="27.75" customWidth="1"/>
    <col min="16" max="16" width="17.5" bestFit="1" customWidth="1"/>
  </cols>
  <sheetData>
    <row r="1" spans="1:9" ht="15" x14ac:dyDescent="0.25">
      <c r="A1" s="1">
        <v>1</v>
      </c>
      <c r="I1" s="57" t="s">
        <v>200</v>
      </c>
    </row>
    <row r="2" spans="1:9" ht="15" x14ac:dyDescent="0.25">
      <c r="A2" s="1">
        <f>A1+1</f>
        <v>2</v>
      </c>
      <c r="I2" s="57" t="s">
        <v>209</v>
      </c>
    </row>
    <row r="3" spans="1:9" ht="15" x14ac:dyDescent="0.25">
      <c r="A3" s="1">
        <f t="shared" ref="A3:A32" si="0">A2+1</f>
        <v>3</v>
      </c>
      <c r="C3" s="69" t="s">
        <v>189</v>
      </c>
      <c r="D3" s="69"/>
      <c r="E3" s="69"/>
      <c r="F3" s="69"/>
      <c r="G3" s="69"/>
      <c r="H3" s="69"/>
      <c r="I3" s="57"/>
    </row>
    <row r="4" spans="1:9" ht="15" x14ac:dyDescent="0.25">
      <c r="A4" s="1">
        <f t="shared" si="0"/>
        <v>4</v>
      </c>
      <c r="C4" s="69" t="s">
        <v>210</v>
      </c>
      <c r="D4" s="69"/>
      <c r="E4" s="69"/>
      <c r="F4" s="69"/>
      <c r="G4" s="69"/>
      <c r="H4" s="69"/>
      <c r="I4" s="57"/>
    </row>
    <row r="5" spans="1:9" ht="15" x14ac:dyDescent="0.25">
      <c r="A5" s="1">
        <f t="shared" si="0"/>
        <v>5</v>
      </c>
      <c r="I5" s="57"/>
    </row>
    <row r="6" spans="1:9" x14ac:dyDescent="0.2">
      <c r="A6" s="1">
        <f t="shared" si="0"/>
        <v>6</v>
      </c>
    </row>
    <row r="7" spans="1:9" ht="15" x14ac:dyDescent="0.25">
      <c r="A7" s="1">
        <f t="shared" si="0"/>
        <v>7</v>
      </c>
      <c r="B7" s="2" t="s">
        <v>57</v>
      </c>
    </row>
    <row r="8" spans="1:9" x14ac:dyDescent="0.2">
      <c r="A8" s="1">
        <f t="shared" si="0"/>
        <v>8</v>
      </c>
    </row>
    <row r="9" spans="1:9" x14ac:dyDescent="0.2">
      <c r="A9" s="1">
        <f t="shared" si="0"/>
        <v>9</v>
      </c>
      <c r="B9" s="21" t="s">
        <v>58</v>
      </c>
      <c r="C9" s="21" t="s">
        <v>60</v>
      </c>
      <c r="D9" s="21" t="s">
        <v>62</v>
      </c>
      <c r="E9" s="21" t="s">
        <v>64</v>
      </c>
      <c r="F9" s="21" t="s">
        <v>66</v>
      </c>
    </row>
    <row r="10" spans="1:9" ht="15" thickBot="1" x14ac:dyDescent="0.25">
      <c r="A10" s="1">
        <f t="shared" si="0"/>
        <v>10</v>
      </c>
      <c r="B10" s="5" t="s">
        <v>59</v>
      </c>
      <c r="C10" s="5" t="s">
        <v>61</v>
      </c>
      <c r="D10" s="5" t="s">
        <v>63</v>
      </c>
      <c r="E10" s="5" t="s">
        <v>65</v>
      </c>
      <c r="F10" s="5" t="s">
        <v>67</v>
      </c>
    </row>
    <row r="11" spans="1:9" x14ac:dyDescent="0.2">
      <c r="A11" s="1">
        <f t="shared" si="0"/>
        <v>11</v>
      </c>
    </row>
    <row r="12" spans="1:9" x14ac:dyDescent="0.2">
      <c r="A12" s="1">
        <f t="shared" si="0"/>
        <v>12</v>
      </c>
      <c r="B12" t="s">
        <v>68</v>
      </c>
      <c r="C12" s="10">
        <f>894848664-55116-527334-539298</f>
        <v>893726916</v>
      </c>
      <c r="D12" s="10">
        <f>C12-E12</f>
        <v>778653305</v>
      </c>
      <c r="E12" s="10">
        <f>115143424-69813</f>
        <v>115073611</v>
      </c>
      <c r="F12" s="22">
        <f>ROUND(D12/D$20,5)</f>
        <v>0.78515999999999997</v>
      </c>
    </row>
    <row r="13" spans="1:9" x14ac:dyDescent="0.2">
      <c r="A13" s="1">
        <f t="shared" si="0"/>
        <v>13</v>
      </c>
      <c r="B13" t="s">
        <v>69</v>
      </c>
      <c r="C13" s="10">
        <v>77379305</v>
      </c>
      <c r="D13" s="10">
        <f t="shared" ref="D13:D18" si="1">C13-E13</f>
        <v>67582287</v>
      </c>
      <c r="E13" s="10">
        <v>9797018</v>
      </c>
      <c r="F13" s="22">
        <f t="shared" ref="F13:F18" si="2">ROUND(D13/D$20,5)</f>
        <v>6.8150000000000002E-2</v>
      </c>
    </row>
    <row r="14" spans="1:9" x14ac:dyDescent="0.2">
      <c r="A14" s="1">
        <f t="shared" si="0"/>
        <v>14</v>
      </c>
      <c r="B14" t="s">
        <v>70</v>
      </c>
      <c r="C14" s="10">
        <v>26056409</v>
      </c>
      <c r="D14" s="10">
        <f t="shared" si="1"/>
        <v>22713978</v>
      </c>
      <c r="E14" s="10">
        <v>3342431</v>
      </c>
      <c r="F14" s="22">
        <f t="shared" si="2"/>
        <v>2.29E-2</v>
      </c>
    </row>
    <row r="15" spans="1:9" x14ac:dyDescent="0.2">
      <c r="A15" s="1">
        <f t="shared" si="0"/>
        <v>15</v>
      </c>
      <c r="B15" t="s">
        <v>71</v>
      </c>
      <c r="C15" s="10">
        <f>108238787-65942897</f>
        <v>42295890</v>
      </c>
      <c r="D15" s="10">
        <f t="shared" si="1"/>
        <v>36941136</v>
      </c>
      <c r="E15" s="10">
        <f>13167608-7812854</f>
        <v>5354754</v>
      </c>
      <c r="F15" s="22">
        <f t="shared" si="2"/>
        <v>3.7249999999999998E-2</v>
      </c>
    </row>
    <row r="16" spans="1:9" x14ac:dyDescent="0.2">
      <c r="A16" s="1">
        <f t="shared" si="0"/>
        <v>16</v>
      </c>
      <c r="B16" t="s">
        <v>72</v>
      </c>
      <c r="C16" s="10">
        <v>14760489</v>
      </c>
      <c r="D16" s="10">
        <f t="shared" si="1"/>
        <v>12880733</v>
      </c>
      <c r="E16" s="10">
        <v>1879756</v>
      </c>
      <c r="F16" s="22">
        <f t="shared" si="2"/>
        <v>1.299E-2</v>
      </c>
    </row>
    <row r="17" spans="1:9" x14ac:dyDescent="0.2">
      <c r="A17" s="1">
        <f t="shared" si="0"/>
        <v>17</v>
      </c>
      <c r="B17" t="s">
        <v>73</v>
      </c>
      <c r="C17" s="10">
        <v>65942897</v>
      </c>
      <c r="D17" s="10">
        <f t="shared" si="1"/>
        <v>58130043</v>
      </c>
      <c r="E17" s="10">
        <v>7812854</v>
      </c>
      <c r="F17" s="22">
        <f t="shared" si="2"/>
        <v>5.8619999999999998E-2</v>
      </c>
    </row>
    <row r="18" spans="1:9" x14ac:dyDescent="0.2">
      <c r="A18" s="1">
        <f t="shared" si="0"/>
        <v>18</v>
      </c>
      <c r="B18" t="s">
        <v>74</v>
      </c>
      <c r="C18" s="15">
        <v>15746173</v>
      </c>
      <c r="D18" s="15">
        <f t="shared" si="1"/>
        <v>14813995</v>
      </c>
      <c r="E18" s="15">
        <v>932178</v>
      </c>
      <c r="F18" s="19">
        <f t="shared" si="2"/>
        <v>1.494E-2</v>
      </c>
    </row>
    <row r="19" spans="1:9" x14ac:dyDescent="0.2">
      <c r="A19" s="1">
        <f t="shared" si="0"/>
        <v>19</v>
      </c>
      <c r="C19" s="10"/>
      <c r="D19" s="10"/>
      <c r="E19" s="10"/>
      <c r="F19" s="22"/>
    </row>
    <row r="20" spans="1:9" ht="15" thickBot="1" x14ac:dyDescent="0.25">
      <c r="A20" s="1">
        <f t="shared" si="0"/>
        <v>20</v>
      </c>
      <c r="B20" t="s">
        <v>15</v>
      </c>
      <c r="C20" s="16">
        <f>SUM(C12:C18)</f>
        <v>1135908079</v>
      </c>
      <c r="D20" s="16">
        <f t="shared" ref="D20:E20" si="3">SUM(D12:D18)</f>
        <v>991715477</v>
      </c>
      <c r="E20" s="16">
        <f t="shared" si="3"/>
        <v>144192602</v>
      </c>
      <c r="F20" s="23">
        <f>SUM(F12:F18)</f>
        <v>1.0000100000000001</v>
      </c>
    </row>
    <row r="21" spans="1:9" ht="15" thickTop="1" x14ac:dyDescent="0.2">
      <c r="A21" s="1">
        <f t="shared" si="0"/>
        <v>21</v>
      </c>
    </row>
    <row r="22" spans="1:9" x14ac:dyDescent="0.2">
      <c r="A22" s="1">
        <f t="shared" si="0"/>
        <v>22</v>
      </c>
      <c r="B22" t="s">
        <v>75</v>
      </c>
    </row>
    <row r="23" spans="1:9" x14ac:dyDescent="0.2">
      <c r="A23" s="1">
        <f t="shared" si="0"/>
        <v>23</v>
      </c>
    </row>
    <row r="24" spans="1:9" x14ac:dyDescent="0.2">
      <c r="A24" s="1">
        <f t="shared" si="0"/>
        <v>24</v>
      </c>
    </row>
    <row r="25" spans="1:9" ht="15" x14ac:dyDescent="0.25">
      <c r="A25" s="1">
        <f t="shared" si="0"/>
        <v>25</v>
      </c>
      <c r="B25" s="2" t="s">
        <v>76</v>
      </c>
    </row>
    <row r="26" spans="1:9" ht="15" x14ac:dyDescent="0.25">
      <c r="A26" s="1">
        <f t="shared" si="0"/>
        <v>26</v>
      </c>
      <c r="B26" s="24"/>
      <c r="F26" s="66" t="s">
        <v>201</v>
      </c>
      <c r="G26" s="67"/>
      <c r="H26" s="67"/>
      <c r="I26" s="68"/>
    </row>
    <row r="27" spans="1:9" ht="15" thickBot="1" x14ac:dyDescent="0.25">
      <c r="A27" s="1">
        <f t="shared" si="0"/>
        <v>27</v>
      </c>
      <c r="E27" s="21"/>
      <c r="F27" s="63" t="s">
        <v>202</v>
      </c>
      <c r="G27" s="63" t="s">
        <v>203</v>
      </c>
      <c r="H27" s="63" t="s">
        <v>204</v>
      </c>
      <c r="I27" s="63" t="s">
        <v>205</v>
      </c>
    </row>
    <row r="28" spans="1:9" x14ac:dyDescent="0.2">
      <c r="A28" s="1">
        <f t="shared" si="0"/>
        <v>28</v>
      </c>
      <c r="E28" s="29"/>
    </row>
    <row r="29" spans="1:9" x14ac:dyDescent="0.2">
      <c r="A29" s="1">
        <f t="shared" si="0"/>
        <v>29</v>
      </c>
      <c r="B29" s="30" t="s">
        <v>212</v>
      </c>
      <c r="E29" s="29"/>
    </row>
    <row r="30" spans="1:9" x14ac:dyDescent="0.2">
      <c r="A30" s="1">
        <f t="shared" si="0"/>
        <v>30</v>
      </c>
      <c r="E30" s="29"/>
    </row>
    <row r="31" spans="1:9" x14ac:dyDescent="0.2">
      <c r="A31" s="1">
        <f t="shared" si="0"/>
        <v>31</v>
      </c>
      <c r="B31" t="s">
        <v>206</v>
      </c>
      <c r="E31" s="29"/>
    </row>
    <row r="32" spans="1:9" x14ac:dyDescent="0.2">
      <c r="A32" s="1">
        <f t="shared" si="0"/>
        <v>32</v>
      </c>
      <c r="B32" t="s">
        <v>129</v>
      </c>
      <c r="E32" s="28"/>
      <c r="F32" s="48">
        <f>'Proposed - YE 2024'!D91</f>
        <v>3618088</v>
      </c>
      <c r="G32" s="48">
        <f>'Proposed - YE 2025'!D91</f>
        <v>3515958</v>
      </c>
      <c r="H32" s="48">
        <f>'Proposed - YE 2026'!D91</f>
        <v>3413831</v>
      </c>
      <c r="I32" s="48">
        <f>'Proposed - YE 2027'!D91</f>
        <v>3311704</v>
      </c>
    </row>
    <row r="33" spans="1:9" x14ac:dyDescent="0.2">
      <c r="A33" s="1">
        <f t="shared" ref="A33:A35" si="4">A32+1</f>
        <v>33</v>
      </c>
      <c r="B33" t="s">
        <v>130</v>
      </c>
      <c r="E33" s="28"/>
      <c r="F33" s="48">
        <f>'Proposed - YE 2024'!D126</f>
        <v>1034236</v>
      </c>
      <c r="G33" s="48">
        <f>'Proposed - YE 2025'!D126</f>
        <v>1850165</v>
      </c>
      <c r="H33" s="48">
        <f>'Proposed - YE 2026'!D126</f>
        <v>1811392</v>
      </c>
      <c r="I33" s="48">
        <f>'Proposed - YE 2027'!D126</f>
        <v>1772619</v>
      </c>
    </row>
    <row r="34" spans="1:9" x14ac:dyDescent="0.2">
      <c r="A34" s="1">
        <f t="shared" si="4"/>
        <v>34</v>
      </c>
      <c r="B34" t="s">
        <v>131</v>
      </c>
      <c r="E34" s="28"/>
      <c r="F34" s="50">
        <f>'Proposed - YE 2024'!D134</f>
        <v>195278</v>
      </c>
      <c r="G34" s="50">
        <f>'Proposed - YE 2025'!D134</f>
        <v>16260834</v>
      </c>
      <c r="H34" s="50">
        <f>'Proposed - YE 2026'!D134</f>
        <v>26500658</v>
      </c>
      <c r="I34" s="50">
        <f>'Proposed - YE 2027'!D135</f>
        <v>109942</v>
      </c>
    </row>
    <row r="35" spans="1:9" x14ac:dyDescent="0.2">
      <c r="A35" s="1">
        <f t="shared" si="4"/>
        <v>35</v>
      </c>
      <c r="B35" t="s">
        <v>207</v>
      </c>
      <c r="E35" s="29"/>
      <c r="F35" s="49"/>
      <c r="G35" s="49"/>
      <c r="H35" s="49"/>
      <c r="I35" s="49"/>
    </row>
    <row r="36" spans="1:9" x14ac:dyDescent="0.2">
      <c r="A36" s="1">
        <f t="shared" ref="A36:A101" si="5">A35+1</f>
        <v>36</v>
      </c>
      <c r="B36" t="s">
        <v>208</v>
      </c>
      <c r="E36" s="28"/>
      <c r="F36" s="10">
        <f>SUM(F32:F34)</f>
        <v>4847602</v>
      </c>
      <c r="G36" s="10">
        <f t="shared" ref="G36:I36" si="6">SUM(G32:G34)</f>
        <v>21626957</v>
      </c>
      <c r="H36" s="10">
        <f t="shared" si="6"/>
        <v>31725881</v>
      </c>
      <c r="I36" s="10">
        <f t="shared" si="6"/>
        <v>5194265</v>
      </c>
    </row>
    <row r="37" spans="1:9" x14ac:dyDescent="0.2">
      <c r="A37" s="1">
        <f t="shared" si="5"/>
        <v>37</v>
      </c>
      <c r="E37" s="29"/>
    </row>
    <row r="38" spans="1:9" x14ac:dyDescent="0.2">
      <c r="A38" s="1">
        <f t="shared" si="5"/>
        <v>38</v>
      </c>
      <c r="B38" t="s">
        <v>77</v>
      </c>
      <c r="E38" s="28"/>
      <c r="F38" s="10">
        <f>C20</f>
        <v>1135908079</v>
      </c>
      <c r="G38" s="10">
        <f t="shared" ref="G38:I38" si="7">F38</f>
        <v>1135908079</v>
      </c>
      <c r="H38" s="10">
        <f t="shared" si="7"/>
        <v>1135908079</v>
      </c>
      <c r="I38" s="10">
        <f t="shared" si="7"/>
        <v>1135908079</v>
      </c>
    </row>
    <row r="39" spans="1:9" x14ac:dyDescent="0.2">
      <c r="A39" s="1">
        <f t="shared" si="5"/>
        <v>39</v>
      </c>
      <c r="E39" s="29"/>
    </row>
    <row r="40" spans="1:9" x14ac:dyDescent="0.2">
      <c r="A40" s="1">
        <f t="shared" si="5"/>
        <v>40</v>
      </c>
      <c r="B40" t="s">
        <v>134</v>
      </c>
      <c r="E40" s="33"/>
    </row>
    <row r="41" spans="1:9" x14ac:dyDescent="0.2">
      <c r="A41" s="1">
        <f t="shared" si="5"/>
        <v>41</v>
      </c>
      <c r="B41" t="s">
        <v>129</v>
      </c>
      <c r="E41" s="33"/>
      <c r="F41" s="25">
        <f t="shared" ref="F41:I43" si="8">ROUND(F32/F$38,4)</f>
        <v>3.2000000000000002E-3</v>
      </c>
      <c r="G41" s="25">
        <f t="shared" si="8"/>
        <v>3.0999999999999999E-3</v>
      </c>
      <c r="H41" s="25">
        <f t="shared" si="8"/>
        <v>3.0000000000000001E-3</v>
      </c>
      <c r="I41" s="25">
        <f t="shared" si="8"/>
        <v>2.8999999999999998E-3</v>
      </c>
    </row>
    <row r="42" spans="1:9" x14ac:dyDescent="0.2">
      <c r="A42" s="1">
        <f t="shared" si="5"/>
        <v>42</v>
      </c>
      <c r="B42" t="s">
        <v>130</v>
      </c>
      <c r="E42" s="33"/>
      <c r="F42" s="25">
        <f t="shared" si="8"/>
        <v>8.9999999999999998E-4</v>
      </c>
      <c r="G42" s="25">
        <f t="shared" si="8"/>
        <v>1.6000000000000001E-3</v>
      </c>
      <c r="H42" s="25">
        <f t="shared" si="8"/>
        <v>1.6000000000000001E-3</v>
      </c>
      <c r="I42" s="25">
        <f t="shared" si="8"/>
        <v>1.6000000000000001E-3</v>
      </c>
    </row>
    <row r="43" spans="1:9" x14ac:dyDescent="0.2">
      <c r="A43" s="1">
        <f t="shared" si="5"/>
        <v>43</v>
      </c>
      <c r="B43" t="s">
        <v>131</v>
      </c>
      <c r="E43" s="33"/>
      <c r="F43" s="20">
        <f t="shared" si="8"/>
        <v>2.0000000000000001E-4</v>
      </c>
      <c r="G43" s="20">
        <f t="shared" si="8"/>
        <v>1.43E-2</v>
      </c>
      <c r="H43" s="20">
        <f t="shared" si="8"/>
        <v>2.3300000000000001E-2</v>
      </c>
      <c r="I43" s="20">
        <f t="shared" si="8"/>
        <v>1E-4</v>
      </c>
    </row>
    <row r="44" spans="1:9" x14ac:dyDescent="0.2">
      <c r="A44" s="1">
        <f t="shared" si="5"/>
        <v>44</v>
      </c>
      <c r="E44" s="33"/>
      <c r="F44" s="33"/>
      <c r="G44" s="33"/>
      <c r="H44" s="33"/>
      <c r="I44" s="33"/>
    </row>
    <row r="45" spans="1:9" x14ac:dyDescent="0.2">
      <c r="A45" s="1">
        <f t="shared" si="5"/>
        <v>45</v>
      </c>
      <c r="B45" t="s">
        <v>135</v>
      </c>
      <c r="E45" s="33"/>
      <c r="F45" s="25">
        <f>ROUND(F36/F$38,4)</f>
        <v>4.3E-3</v>
      </c>
      <c r="G45" s="25">
        <f>ROUND(G36/G$38,4)</f>
        <v>1.9E-2</v>
      </c>
      <c r="H45" s="25">
        <f>ROUND(H36/H$38,4)</f>
        <v>2.7900000000000001E-2</v>
      </c>
      <c r="I45" s="25">
        <f>ROUND(I36/I$38,4)</f>
        <v>4.5999999999999999E-3</v>
      </c>
    </row>
    <row r="46" spans="1:9" x14ac:dyDescent="0.2">
      <c r="A46" s="1">
        <f t="shared" si="5"/>
        <v>46</v>
      </c>
      <c r="E46" s="29"/>
    </row>
    <row r="47" spans="1:9" x14ac:dyDescent="0.2">
      <c r="A47" s="1">
        <f>A46+1</f>
        <v>47</v>
      </c>
      <c r="B47" t="s">
        <v>211</v>
      </c>
      <c r="E47" s="33"/>
      <c r="F47" s="25">
        <v>0.72</v>
      </c>
      <c r="G47" s="25">
        <f t="shared" ref="G47:I47" si="9">F47</f>
        <v>0.72</v>
      </c>
      <c r="H47" s="25">
        <f t="shared" si="9"/>
        <v>0.72</v>
      </c>
      <c r="I47" s="25">
        <f t="shared" si="9"/>
        <v>0.72</v>
      </c>
    </row>
    <row r="48" spans="1:9" x14ac:dyDescent="0.2">
      <c r="A48" s="1">
        <f t="shared" si="5"/>
        <v>48</v>
      </c>
      <c r="E48" s="29"/>
    </row>
    <row r="49" spans="1:16" x14ac:dyDescent="0.2">
      <c r="A49" s="1">
        <f t="shared" si="5"/>
        <v>49</v>
      </c>
      <c r="B49" t="s">
        <v>137</v>
      </c>
      <c r="E49" s="29"/>
    </row>
    <row r="50" spans="1:16" x14ac:dyDescent="0.2">
      <c r="A50" s="1">
        <f t="shared" si="5"/>
        <v>50</v>
      </c>
      <c r="B50" t="s">
        <v>129</v>
      </c>
      <c r="E50" s="33"/>
      <c r="F50" s="25">
        <f t="shared" ref="F50:I52" si="10">ROUND(F41*F$47,4)</f>
        <v>2.3E-3</v>
      </c>
      <c r="G50" s="25">
        <f t="shared" si="10"/>
        <v>2.2000000000000001E-3</v>
      </c>
      <c r="H50" s="25">
        <f t="shared" si="10"/>
        <v>2.2000000000000001E-3</v>
      </c>
      <c r="I50" s="25">
        <f t="shared" si="10"/>
        <v>2.0999999999999999E-3</v>
      </c>
    </row>
    <row r="51" spans="1:16" x14ac:dyDescent="0.2">
      <c r="A51" s="1">
        <f t="shared" si="5"/>
        <v>51</v>
      </c>
      <c r="B51" t="s">
        <v>130</v>
      </c>
      <c r="E51" s="33"/>
      <c r="F51" s="25">
        <f t="shared" si="10"/>
        <v>5.9999999999999995E-4</v>
      </c>
      <c r="G51" s="25">
        <f t="shared" si="10"/>
        <v>1.1999999999999999E-3</v>
      </c>
      <c r="H51" s="25">
        <f t="shared" si="10"/>
        <v>1.1999999999999999E-3</v>
      </c>
      <c r="I51" s="25">
        <f t="shared" si="10"/>
        <v>1.1999999999999999E-3</v>
      </c>
    </row>
    <row r="52" spans="1:16" x14ac:dyDescent="0.2">
      <c r="A52" s="1">
        <f t="shared" si="5"/>
        <v>52</v>
      </c>
      <c r="B52" t="s">
        <v>131</v>
      </c>
      <c r="E52" s="33"/>
      <c r="F52" s="20">
        <f t="shared" si="10"/>
        <v>1E-4</v>
      </c>
      <c r="G52" s="20">
        <f t="shared" si="10"/>
        <v>1.03E-2</v>
      </c>
      <c r="H52" s="20">
        <f t="shared" si="10"/>
        <v>1.6799999999999999E-2</v>
      </c>
      <c r="I52" s="20">
        <f t="shared" si="10"/>
        <v>1E-4</v>
      </c>
    </row>
    <row r="53" spans="1:16" x14ac:dyDescent="0.2">
      <c r="A53" s="1">
        <f t="shared" si="5"/>
        <v>53</v>
      </c>
      <c r="E53" s="33"/>
      <c r="F53" s="25"/>
      <c r="G53" s="25"/>
      <c r="H53" s="25"/>
      <c r="I53" s="25"/>
    </row>
    <row r="54" spans="1:16" x14ac:dyDescent="0.2">
      <c r="A54" s="1">
        <f t="shared" si="5"/>
        <v>54</v>
      </c>
      <c r="B54" t="s">
        <v>138</v>
      </c>
      <c r="E54" s="33"/>
      <c r="F54" s="25">
        <f>ROUND(F45*F$47,4)</f>
        <v>3.0999999999999999E-3</v>
      </c>
      <c r="G54" s="25">
        <f>ROUND(G45*G$47,4)</f>
        <v>1.37E-2</v>
      </c>
      <c r="H54" s="25">
        <f>ROUND(H45*H$47,4)</f>
        <v>2.01E-2</v>
      </c>
      <c r="I54" s="25">
        <f>ROUND(I45*I$47,4)</f>
        <v>3.3E-3</v>
      </c>
    </row>
    <row r="55" spans="1:16" x14ac:dyDescent="0.2">
      <c r="A55" s="1">
        <f t="shared" si="5"/>
        <v>55</v>
      </c>
      <c r="E55" s="33"/>
      <c r="F55" s="25"/>
      <c r="G55" s="25"/>
      <c r="H55" s="25"/>
      <c r="I55" s="25"/>
    </row>
    <row r="56" spans="1:16" x14ac:dyDescent="0.2">
      <c r="A56" s="1">
        <f t="shared" si="5"/>
        <v>56</v>
      </c>
      <c r="B56" s="30" t="s">
        <v>213</v>
      </c>
      <c r="E56" s="33"/>
      <c r="F56" s="25"/>
      <c r="G56" s="25"/>
      <c r="H56" s="25"/>
      <c r="I56" s="25"/>
    </row>
    <row r="57" spans="1:16" x14ac:dyDescent="0.2">
      <c r="A57" s="1">
        <f t="shared" si="5"/>
        <v>57</v>
      </c>
      <c r="E57" s="29"/>
    </row>
    <row r="58" spans="1:16" x14ac:dyDescent="0.2">
      <c r="A58" s="1">
        <f t="shared" si="5"/>
        <v>58</v>
      </c>
      <c r="B58" t="s">
        <v>127</v>
      </c>
      <c r="E58" s="29"/>
    </row>
    <row r="59" spans="1:16" x14ac:dyDescent="0.2">
      <c r="A59" s="1">
        <f t="shared" si="5"/>
        <v>59</v>
      </c>
      <c r="B59" t="s">
        <v>128</v>
      </c>
      <c r="E59" s="29"/>
    </row>
    <row r="60" spans="1:16" x14ac:dyDescent="0.2">
      <c r="A60" s="1">
        <f t="shared" si="5"/>
        <v>60</v>
      </c>
      <c r="B60" t="s">
        <v>129</v>
      </c>
      <c r="E60" s="28"/>
      <c r="F60" s="10">
        <f t="shared" ref="F60:I62" si="11">F32</f>
        <v>3618088</v>
      </c>
      <c r="G60" s="10">
        <f t="shared" si="11"/>
        <v>3515958</v>
      </c>
      <c r="H60" s="10">
        <f t="shared" si="11"/>
        <v>3413831</v>
      </c>
      <c r="I60" s="10">
        <f t="shared" si="11"/>
        <v>3311704</v>
      </c>
      <c r="P60" s="10"/>
    </row>
    <row r="61" spans="1:16" x14ac:dyDescent="0.2">
      <c r="A61" s="1">
        <f t="shared" si="5"/>
        <v>61</v>
      </c>
      <c r="B61" t="s">
        <v>130</v>
      </c>
      <c r="E61" s="28"/>
      <c r="F61" s="10">
        <f t="shared" si="11"/>
        <v>1034236</v>
      </c>
      <c r="G61" s="10">
        <f t="shared" si="11"/>
        <v>1850165</v>
      </c>
      <c r="H61" s="10">
        <f t="shared" si="11"/>
        <v>1811392</v>
      </c>
      <c r="I61" s="10">
        <f t="shared" si="11"/>
        <v>1772619</v>
      </c>
    </row>
    <row r="62" spans="1:16" x14ac:dyDescent="0.2">
      <c r="A62" s="1">
        <f t="shared" si="5"/>
        <v>62</v>
      </c>
      <c r="B62" t="s">
        <v>131</v>
      </c>
      <c r="E62" s="28"/>
      <c r="F62" s="15">
        <f t="shared" si="11"/>
        <v>195278</v>
      </c>
      <c r="G62" s="15">
        <f t="shared" si="11"/>
        <v>16260834</v>
      </c>
      <c r="H62" s="15">
        <f t="shared" si="11"/>
        <v>26500658</v>
      </c>
      <c r="I62" s="15">
        <f t="shared" si="11"/>
        <v>109942</v>
      </c>
    </row>
    <row r="63" spans="1:16" x14ac:dyDescent="0.2">
      <c r="A63" s="1">
        <f t="shared" si="5"/>
        <v>63</v>
      </c>
      <c r="B63" t="s">
        <v>132</v>
      </c>
      <c r="E63" s="29"/>
    </row>
    <row r="64" spans="1:16" x14ac:dyDescent="0.2">
      <c r="A64" s="1">
        <f t="shared" si="5"/>
        <v>64</v>
      </c>
      <c r="B64" t="s">
        <v>133</v>
      </c>
      <c r="E64" s="28"/>
      <c r="F64" s="10">
        <f t="shared" ref="F64:I64" si="12">SUM(F60:F62)</f>
        <v>4847602</v>
      </c>
      <c r="G64" s="10">
        <f t="shared" si="12"/>
        <v>21626957</v>
      </c>
      <c r="H64" s="10">
        <f t="shared" si="12"/>
        <v>31725881</v>
      </c>
      <c r="I64" s="10">
        <f t="shared" si="12"/>
        <v>5194265</v>
      </c>
      <c r="P64" s="10"/>
    </row>
    <row r="65" spans="1:16" x14ac:dyDescent="0.2">
      <c r="A65" s="1">
        <f t="shared" si="5"/>
        <v>65</v>
      </c>
      <c r="E65" s="29"/>
    </row>
    <row r="66" spans="1:16" x14ac:dyDescent="0.2">
      <c r="A66" s="1">
        <f t="shared" si="5"/>
        <v>66</v>
      </c>
      <c r="B66" t="s">
        <v>139</v>
      </c>
      <c r="E66" s="58"/>
      <c r="F66" s="22">
        <f>$F$12</f>
        <v>0.78515999999999997</v>
      </c>
      <c r="G66" s="22">
        <f>$F$12</f>
        <v>0.78515999999999997</v>
      </c>
      <c r="H66" s="22">
        <f>$F$12</f>
        <v>0.78515999999999997</v>
      </c>
      <c r="I66" s="22">
        <f>$F$12</f>
        <v>0.78515999999999997</v>
      </c>
    </row>
    <row r="67" spans="1:16" x14ac:dyDescent="0.2">
      <c r="A67" s="1">
        <f t="shared" si="5"/>
        <v>67</v>
      </c>
      <c r="E67" s="29"/>
    </row>
    <row r="68" spans="1:16" x14ac:dyDescent="0.2">
      <c r="A68" s="1">
        <f t="shared" si="5"/>
        <v>68</v>
      </c>
      <c r="B68" t="s">
        <v>140</v>
      </c>
      <c r="E68" s="29"/>
    </row>
    <row r="69" spans="1:16" x14ac:dyDescent="0.2">
      <c r="A69" s="1">
        <f t="shared" si="5"/>
        <v>69</v>
      </c>
      <c r="B69" t="s">
        <v>142</v>
      </c>
      <c r="E69" s="29"/>
    </row>
    <row r="70" spans="1:16" x14ac:dyDescent="0.2">
      <c r="A70" s="1">
        <f t="shared" si="5"/>
        <v>70</v>
      </c>
      <c r="B70" t="s">
        <v>129</v>
      </c>
      <c r="E70" s="28"/>
      <c r="F70" s="10">
        <f t="shared" ref="F70:I72" si="13">ROUND(F60*F$66,0)</f>
        <v>2840778</v>
      </c>
      <c r="G70" s="10">
        <f t="shared" si="13"/>
        <v>2760590</v>
      </c>
      <c r="H70" s="10">
        <f t="shared" si="13"/>
        <v>2680404</v>
      </c>
      <c r="I70" s="10">
        <f t="shared" si="13"/>
        <v>2600218</v>
      </c>
    </row>
    <row r="71" spans="1:16" x14ac:dyDescent="0.2">
      <c r="A71" s="1">
        <f t="shared" si="5"/>
        <v>71</v>
      </c>
      <c r="B71" t="s">
        <v>130</v>
      </c>
      <c r="E71" s="28"/>
      <c r="F71" s="10">
        <f t="shared" si="13"/>
        <v>812041</v>
      </c>
      <c r="G71" s="10">
        <f t="shared" si="13"/>
        <v>1452676</v>
      </c>
      <c r="H71" s="10">
        <f t="shared" si="13"/>
        <v>1422233</v>
      </c>
      <c r="I71" s="10">
        <f t="shared" si="13"/>
        <v>1391790</v>
      </c>
    </row>
    <row r="72" spans="1:16" x14ac:dyDescent="0.2">
      <c r="A72" s="1">
        <f t="shared" si="5"/>
        <v>72</v>
      </c>
      <c r="B72" t="s">
        <v>131</v>
      </c>
      <c r="E72" s="28"/>
      <c r="F72" s="15">
        <f t="shared" si="13"/>
        <v>153324</v>
      </c>
      <c r="G72" s="15">
        <f t="shared" si="13"/>
        <v>12767356</v>
      </c>
      <c r="H72" s="15">
        <f t="shared" si="13"/>
        <v>20807257</v>
      </c>
      <c r="I72" s="15">
        <f t="shared" si="13"/>
        <v>86322</v>
      </c>
      <c r="P72" s="53"/>
    </row>
    <row r="73" spans="1:16" x14ac:dyDescent="0.2">
      <c r="A73" s="1">
        <f t="shared" si="5"/>
        <v>73</v>
      </c>
      <c r="B73" t="s">
        <v>141</v>
      </c>
      <c r="E73" s="28"/>
      <c r="F73" s="10"/>
      <c r="G73" s="10"/>
      <c r="H73" s="10"/>
      <c r="I73" s="10"/>
    </row>
    <row r="74" spans="1:16" x14ac:dyDescent="0.2">
      <c r="A74" s="1">
        <f t="shared" si="5"/>
        <v>74</v>
      </c>
      <c r="B74" t="s">
        <v>143</v>
      </c>
      <c r="E74" s="28"/>
      <c r="F74" s="10">
        <f>ROUND(F64*F$66,0)</f>
        <v>3806143</v>
      </c>
      <c r="G74" s="10">
        <f>ROUND(G64*G$66,0)</f>
        <v>16980622</v>
      </c>
      <c r="H74" s="10">
        <f>ROUND(H64*H$66,0)</f>
        <v>24909893</v>
      </c>
      <c r="I74" s="10">
        <f>ROUND(I64*I$66,0)</f>
        <v>4078329</v>
      </c>
    </row>
    <row r="75" spans="1:16" x14ac:dyDescent="0.2">
      <c r="A75" s="1">
        <f t="shared" si="5"/>
        <v>75</v>
      </c>
      <c r="E75" s="29"/>
    </row>
    <row r="76" spans="1:16" x14ac:dyDescent="0.2">
      <c r="A76" s="1">
        <f t="shared" si="5"/>
        <v>76</v>
      </c>
      <c r="B76" t="s">
        <v>144</v>
      </c>
      <c r="E76" s="59"/>
      <c r="F76" s="1">
        <v>10095267378</v>
      </c>
      <c r="G76" s="1">
        <f t="shared" ref="G76:I76" si="14">F76</f>
        <v>10095267378</v>
      </c>
      <c r="H76" s="1">
        <f t="shared" si="14"/>
        <v>10095267378</v>
      </c>
      <c r="I76" s="1">
        <f t="shared" si="14"/>
        <v>10095267378</v>
      </c>
    </row>
    <row r="77" spans="1:16" x14ac:dyDescent="0.2">
      <c r="A77" s="1">
        <f t="shared" si="5"/>
        <v>77</v>
      </c>
      <c r="E77" s="29"/>
      <c r="P77" s="10"/>
    </row>
    <row r="78" spans="1:16" x14ac:dyDescent="0.2">
      <c r="A78" s="1">
        <f t="shared" si="5"/>
        <v>78</v>
      </c>
      <c r="B78" t="s">
        <v>146</v>
      </c>
      <c r="E78" s="29"/>
    </row>
    <row r="79" spans="1:16" x14ac:dyDescent="0.2">
      <c r="A79" s="1">
        <f t="shared" si="5"/>
        <v>79</v>
      </c>
      <c r="B79" t="s">
        <v>129</v>
      </c>
      <c r="E79" s="60"/>
      <c r="F79" s="14">
        <f t="shared" ref="F79:I81" si="15">ROUND(F70/F$76,5)</f>
        <v>2.7999999999999998E-4</v>
      </c>
      <c r="G79" s="14">
        <f t="shared" si="15"/>
        <v>2.7E-4</v>
      </c>
      <c r="H79" s="14">
        <f t="shared" si="15"/>
        <v>2.7E-4</v>
      </c>
      <c r="I79" s="14">
        <f t="shared" si="15"/>
        <v>2.5999999999999998E-4</v>
      </c>
    </row>
    <row r="80" spans="1:16" x14ac:dyDescent="0.2">
      <c r="A80" s="1">
        <f t="shared" si="5"/>
        <v>80</v>
      </c>
      <c r="B80" t="s">
        <v>130</v>
      </c>
      <c r="E80" s="60"/>
      <c r="F80" s="14">
        <f t="shared" si="15"/>
        <v>8.0000000000000007E-5</v>
      </c>
      <c r="G80" s="14">
        <f t="shared" si="15"/>
        <v>1.3999999999999999E-4</v>
      </c>
      <c r="H80" s="14">
        <f t="shared" si="15"/>
        <v>1.3999999999999999E-4</v>
      </c>
      <c r="I80" s="14">
        <f t="shared" si="15"/>
        <v>1.3999999999999999E-4</v>
      </c>
    </row>
    <row r="81" spans="1:16" x14ac:dyDescent="0.2">
      <c r="A81" s="1">
        <f t="shared" si="5"/>
        <v>81</v>
      </c>
      <c r="B81" t="s">
        <v>131</v>
      </c>
      <c r="E81" s="60"/>
      <c r="F81" s="45">
        <f t="shared" si="15"/>
        <v>2.0000000000000002E-5</v>
      </c>
      <c r="G81" s="45">
        <f t="shared" si="15"/>
        <v>1.2600000000000001E-3</v>
      </c>
      <c r="H81" s="45">
        <f t="shared" si="15"/>
        <v>2.0600000000000002E-3</v>
      </c>
      <c r="I81" s="45">
        <f t="shared" si="15"/>
        <v>1.0000000000000001E-5</v>
      </c>
    </row>
    <row r="82" spans="1:16" x14ac:dyDescent="0.2">
      <c r="A82" s="1">
        <f t="shared" si="5"/>
        <v>82</v>
      </c>
      <c r="E82" s="60"/>
      <c r="F82" s="14"/>
      <c r="G82" s="14"/>
      <c r="H82" s="14"/>
      <c r="I82" s="14"/>
    </row>
    <row r="83" spans="1:16" x14ac:dyDescent="0.2">
      <c r="A83" s="1">
        <f t="shared" si="5"/>
        <v>83</v>
      </c>
      <c r="B83" t="s">
        <v>145</v>
      </c>
      <c r="E83" s="60"/>
      <c r="F83" s="14">
        <f>ROUND(F74/F$76,5)</f>
        <v>3.8000000000000002E-4</v>
      </c>
      <c r="G83" s="14">
        <f>ROUND(G74/G$76,5)</f>
        <v>1.6800000000000001E-3</v>
      </c>
      <c r="H83" s="14">
        <f>ROUND(H74/H$76,5)</f>
        <v>2.47E-3</v>
      </c>
      <c r="I83" s="14">
        <f>ROUND(I74/I$76,5)</f>
        <v>4.0000000000000002E-4</v>
      </c>
    </row>
    <row r="84" spans="1:16" x14ac:dyDescent="0.2">
      <c r="A84" s="1">
        <f t="shared" si="5"/>
        <v>84</v>
      </c>
      <c r="E84" s="29"/>
    </row>
    <row r="85" spans="1:16" x14ac:dyDescent="0.2">
      <c r="A85" s="1">
        <f t="shared" si="5"/>
        <v>85</v>
      </c>
      <c r="B85" t="s">
        <v>147</v>
      </c>
      <c r="E85" s="59"/>
      <c r="F85" s="1">
        <v>1125</v>
      </c>
      <c r="G85" s="1">
        <f t="shared" ref="G85:I85" si="16">F85</f>
        <v>1125</v>
      </c>
      <c r="H85" s="1">
        <f t="shared" si="16"/>
        <v>1125</v>
      </c>
      <c r="I85" s="1">
        <f t="shared" si="16"/>
        <v>1125</v>
      </c>
      <c r="P85" s="10"/>
    </row>
    <row r="86" spans="1:16" x14ac:dyDescent="0.2">
      <c r="A86" s="1">
        <f t="shared" si="5"/>
        <v>86</v>
      </c>
      <c r="E86" s="29"/>
    </row>
    <row r="87" spans="1:16" x14ac:dyDescent="0.2">
      <c r="A87" s="1">
        <f t="shared" si="5"/>
        <v>87</v>
      </c>
      <c r="B87" t="s">
        <v>148</v>
      </c>
      <c r="E87" s="29"/>
    </row>
    <row r="88" spans="1:16" x14ac:dyDescent="0.2">
      <c r="A88" s="1">
        <f t="shared" si="5"/>
        <v>88</v>
      </c>
      <c r="B88" t="s">
        <v>129</v>
      </c>
      <c r="E88" s="61"/>
      <c r="F88" s="26">
        <f t="shared" ref="F88:I90" si="17">ROUND(F79*F$85,3)</f>
        <v>0.315</v>
      </c>
      <c r="G88" s="26">
        <f t="shared" si="17"/>
        <v>0.30399999999999999</v>
      </c>
      <c r="H88" s="26">
        <f t="shared" si="17"/>
        <v>0.30399999999999999</v>
      </c>
      <c r="I88" s="26">
        <f t="shared" si="17"/>
        <v>0.29299999999999998</v>
      </c>
    </row>
    <row r="89" spans="1:16" x14ac:dyDescent="0.2">
      <c r="A89" s="1">
        <f t="shared" si="5"/>
        <v>89</v>
      </c>
      <c r="B89" t="s">
        <v>130</v>
      </c>
      <c r="E89" s="61"/>
      <c r="F89" s="26">
        <f t="shared" si="17"/>
        <v>0.09</v>
      </c>
      <c r="G89" s="26">
        <f t="shared" si="17"/>
        <v>0.158</v>
      </c>
      <c r="H89" s="26">
        <f t="shared" si="17"/>
        <v>0.158</v>
      </c>
      <c r="I89" s="26">
        <f t="shared" si="17"/>
        <v>0.158</v>
      </c>
    </row>
    <row r="90" spans="1:16" x14ac:dyDescent="0.2">
      <c r="A90" s="1">
        <f t="shared" si="5"/>
        <v>90</v>
      </c>
      <c r="B90" t="s">
        <v>131</v>
      </c>
      <c r="E90" s="61"/>
      <c r="F90" s="46">
        <f t="shared" si="17"/>
        <v>2.3E-2</v>
      </c>
      <c r="G90" s="46">
        <f t="shared" si="17"/>
        <v>1.4179999999999999</v>
      </c>
      <c r="H90" s="46">
        <f t="shared" si="17"/>
        <v>2.3180000000000001</v>
      </c>
      <c r="I90" s="46">
        <f t="shared" si="17"/>
        <v>1.0999999999999999E-2</v>
      </c>
      <c r="P90" s="10"/>
    </row>
    <row r="91" spans="1:16" x14ac:dyDescent="0.2">
      <c r="A91" s="1">
        <f t="shared" si="5"/>
        <v>91</v>
      </c>
      <c r="E91" s="61"/>
      <c r="F91" s="26"/>
      <c r="G91" s="26"/>
      <c r="H91" s="26"/>
      <c r="I91" s="26"/>
    </row>
    <row r="92" spans="1:16" x14ac:dyDescent="0.2">
      <c r="A92" s="1">
        <f t="shared" si="5"/>
        <v>92</v>
      </c>
      <c r="B92" t="s">
        <v>149</v>
      </c>
      <c r="E92" s="61"/>
      <c r="F92" s="26">
        <f>ROUND(F83*F$85,3)</f>
        <v>0.42799999999999999</v>
      </c>
      <c r="G92" s="26">
        <f>ROUND(G83*G$85,3)</f>
        <v>1.89</v>
      </c>
      <c r="H92" s="26">
        <f>ROUND(H83*H$85,3)</f>
        <v>2.7789999999999999</v>
      </c>
      <c r="I92" s="26">
        <f>ROUND(I83*I$85,3)</f>
        <v>0.45</v>
      </c>
    </row>
    <row r="93" spans="1:16" x14ac:dyDescent="0.2">
      <c r="A93" s="1">
        <f t="shared" si="5"/>
        <v>93</v>
      </c>
      <c r="E93" s="29"/>
    </row>
    <row r="94" spans="1:16" x14ac:dyDescent="0.2">
      <c r="A94" s="1">
        <f t="shared" si="5"/>
        <v>94</v>
      </c>
      <c r="B94" t="s">
        <v>136</v>
      </c>
      <c r="E94" s="33"/>
      <c r="F94" s="25">
        <f>F47</f>
        <v>0.72</v>
      </c>
      <c r="G94" s="25">
        <f>G47</f>
        <v>0.72</v>
      </c>
      <c r="H94" s="25">
        <f>H47</f>
        <v>0.72</v>
      </c>
      <c r="I94" s="25">
        <f>I47</f>
        <v>0.72</v>
      </c>
    </row>
    <row r="95" spans="1:16" x14ac:dyDescent="0.2">
      <c r="A95" s="1">
        <f t="shared" si="5"/>
        <v>95</v>
      </c>
      <c r="E95" s="29"/>
    </row>
    <row r="96" spans="1:16" x14ac:dyDescent="0.2">
      <c r="A96" s="1">
        <f t="shared" si="5"/>
        <v>96</v>
      </c>
      <c r="B96" t="s">
        <v>150</v>
      </c>
      <c r="E96" s="29"/>
    </row>
    <row r="97" spans="1:9" x14ac:dyDescent="0.2">
      <c r="A97" s="1">
        <f t="shared" si="5"/>
        <v>97</v>
      </c>
      <c r="B97" t="s">
        <v>129</v>
      </c>
      <c r="E97" s="62"/>
      <c r="F97" s="27">
        <f t="shared" ref="F97:I99" si="18">ROUND(F88*F$94,2)</f>
        <v>0.23</v>
      </c>
      <c r="G97" s="27">
        <f t="shared" si="18"/>
        <v>0.22</v>
      </c>
      <c r="H97" s="27">
        <f t="shared" si="18"/>
        <v>0.22</v>
      </c>
      <c r="I97" s="27">
        <f t="shared" si="18"/>
        <v>0.21</v>
      </c>
    </row>
    <row r="98" spans="1:9" x14ac:dyDescent="0.2">
      <c r="A98" s="1">
        <f t="shared" si="5"/>
        <v>98</v>
      </c>
      <c r="B98" t="s">
        <v>130</v>
      </c>
      <c r="E98" s="62"/>
      <c r="F98" s="27">
        <f t="shared" si="18"/>
        <v>0.06</v>
      </c>
      <c r="G98" s="27">
        <f t="shared" si="18"/>
        <v>0.11</v>
      </c>
      <c r="H98" s="27">
        <f t="shared" si="18"/>
        <v>0.11</v>
      </c>
      <c r="I98" s="27">
        <f t="shared" si="18"/>
        <v>0.11</v>
      </c>
    </row>
    <row r="99" spans="1:9" x14ac:dyDescent="0.2">
      <c r="A99" s="1">
        <f t="shared" si="5"/>
        <v>99</v>
      </c>
      <c r="B99" t="s">
        <v>131</v>
      </c>
      <c r="E99" s="62"/>
      <c r="F99" s="47">
        <f t="shared" si="18"/>
        <v>0.02</v>
      </c>
      <c r="G99" s="47">
        <f t="shared" si="18"/>
        <v>1.02</v>
      </c>
      <c r="H99" s="47">
        <f t="shared" si="18"/>
        <v>1.67</v>
      </c>
      <c r="I99" s="47">
        <f t="shared" si="18"/>
        <v>0.01</v>
      </c>
    </row>
    <row r="100" spans="1:9" x14ac:dyDescent="0.2">
      <c r="A100" s="1">
        <f t="shared" si="5"/>
        <v>100</v>
      </c>
      <c r="E100" s="62"/>
      <c r="F100" s="27"/>
      <c r="G100" s="27"/>
      <c r="H100" s="27"/>
      <c r="I100" s="27"/>
    </row>
    <row r="101" spans="1:9" x14ac:dyDescent="0.2">
      <c r="A101" s="1">
        <f t="shared" si="5"/>
        <v>101</v>
      </c>
      <c r="B101" t="s">
        <v>151</v>
      </c>
      <c r="E101" s="62"/>
      <c r="F101" s="27">
        <f>ROUND(F92*F$94,2)</f>
        <v>0.31</v>
      </c>
      <c r="G101" s="27">
        <f>ROUND(G92*G$94,2)</f>
        <v>1.36</v>
      </c>
      <c r="H101" s="27">
        <f>ROUND(H92*H$94,2)</f>
        <v>2</v>
      </c>
      <c r="I101" s="27">
        <f>ROUND(I92*I$94,2)</f>
        <v>0.32</v>
      </c>
    </row>
    <row r="102" spans="1:9" x14ac:dyDescent="0.2">
      <c r="A102" s="1">
        <f t="shared" ref="A102:A104" si="19">A101+1</f>
        <v>102</v>
      </c>
      <c r="E102" s="29"/>
    </row>
    <row r="103" spans="1:9" x14ac:dyDescent="0.2">
      <c r="A103" s="1">
        <f t="shared" si="19"/>
        <v>103</v>
      </c>
      <c r="B103" s="30" t="s">
        <v>214</v>
      </c>
    </row>
    <row r="104" spans="1:9" x14ac:dyDescent="0.2">
      <c r="A104" s="1">
        <f t="shared" si="19"/>
        <v>104</v>
      </c>
      <c r="B104" t="s">
        <v>215</v>
      </c>
    </row>
  </sheetData>
  <mergeCells count="3">
    <mergeCell ref="F26:I26"/>
    <mergeCell ref="C3:H3"/>
    <mergeCell ref="C4:H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zoomScale="80" zoomScaleNormal="80" workbookViewId="0">
      <selection activeCell="C122" sqref="C122"/>
    </sheetView>
  </sheetViews>
  <sheetFormatPr defaultColWidth="15.625" defaultRowHeight="14.25" x14ac:dyDescent="0.2"/>
  <cols>
    <col min="1" max="1" width="4.625" customWidth="1"/>
    <col min="3" max="3" width="56.625" customWidth="1"/>
  </cols>
  <sheetData>
    <row r="1" spans="1:15" ht="15" x14ac:dyDescent="0.25">
      <c r="A1" s="1">
        <v>1</v>
      </c>
      <c r="O1" s="57" t="s">
        <v>200</v>
      </c>
    </row>
    <row r="2" spans="1:15" ht="15" x14ac:dyDescent="0.25">
      <c r="A2" s="1">
        <f>A1+1</f>
        <v>2</v>
      </c>
      <c r="O2" s="57" t="s">
        <v>188</v>
      </c>
    </row>
    <row r="3" spans="1:15" ht="15" x14ac:dyDescent="0.25">
      <c r="A3" s="1">
        <f t="shared" ref="A3:A6" si="0">A2+1</f>
        <v>3</v>
      </c>
      <c r="C3" s="69" t="s">
        <v>189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" x14ac:dyDescent="0.25">
      <c r="A4" s="1">
        <f t="shared" si="0"/>
        <v>4</v>
      </c>
      <c r="C4" s="69" t="s">
        <v>190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5" x14ac:dyDescent="0.2">
      <c r="A5" s="1">
        <f t="shared" si="0"/>
        <v>5</v>
      </c>
    </row>
    <row r="6" spans="1:15" x14ac:dyDescent="0.2">
      <c r="A6" s="1">
        <f t="shared" si="0"/>
        <v>6</v>
      </c>
    </row>
    <row r="7" spans="1:15" x14ac:dyDescent="0.2">
      <c r="A7" s="1">
        <f t="shared" ref="A7:A73" si="1">A6+1</f>
        <v>7</v>
      </c>
      <c r="B7" s="30" t="s">
        <v>78</v>
      </c>
    </row>
    <row r="8" spans="1:15" x14ac:dyDescent="0.2">
      <c r="A8" s="1">
        <f t="shared" si="1"/>
        <v>8</v>
      </c>
      <c r="I8" s="14"/>
    </row>
    <row r="9" spans="1:15" x14ac:dyDescent="0.2">
      <c r="A9" s="1">
        <f t="shared" si="1"/>
        <v>9</v>
      </c>
      <c r="B9" s="4" t="s">
        <v>0</v>
      </c>
    </row>
    <row r="10" spans="1:15" x14ac:dyDescent="0.2">
      <c r="A10" s="1">
        <f t="shared" si="1"/>
        <v>10</v>
      </c>
      <c r="D10" s="66" t="s">
        <v>14</v>
      </c>
      <c r="E10" s="67"/>
      <c r="F10" s="67"/>
      <c r="G10" s="68"/>
      <c r="H10" s="66" t="s">
        <v>38</v>
      </c>
      <c r="I10" s="67"/>
      <c r="J10" s="67"/>
      <c r="K10" s="68"/>
      <c r="L10" s="66" t="s">
        <v>39</v>
      </c>
      <c r="M10" s="67"/>
      <c r="N10" s="67"/>
      <c r="O10" s="68"/>
    </row>
    <row r="11" spans="1:15" x14ac:dyDescent="0.2">
      <c r="A11" s="1">
        <f t="shared" si="1"/>
        <v>11</v>
      </c>
      <c r="B11" s="3" t="s">
        <v>159</v>
      </c>
      <c r="C11" s="3"/>
      <c r="D11" s="3" t="s">
        <v>2</v>
      </c>
      <c r="E11" s="3" t="s">
        <v>4</v>
      </c>
      <c r="F11" s="3" t="s">
        <v>7</v>
      </c>
      <c r="G11" s="3"/>
      <c r="H11" s="6" t="s">
        <v>8</v>
      </c>
      <c r="I11" s="3" t="s">
        <v>8</v>
      </c>
      <c r="J11" s="70" t="s">
        <v>11</v>
      </c>
      <c r="K11" s="71"/>
      <c r="L11" s="3" t="s">
        <v>2</v>
      </c>
      <c r="M11" s="3" t="s">
        <v>4</v>
      </c>
      <c r="N11" s="3" t="s">
        <v>7</v>
      </c>
      <c r="O11" s="3"/>
    </row>
    <row r="12" spans="1:15" ht="15" thickBot="1" x14ac:dyDescent="0.25">
      <c r="A12" s="1">
        <f t="shared" si="1"/>
        <v>12</v>
      </c>
      <c r="B12" s="5" t="s">
        <v>160</v>
      </c>
      <c r="C12" s="5" t="s">
        <v>1</v>
      </c>
      <c r="D12" s="5" t="s">
        <v>3</v>
      </c>
      <c r="E12" s="5" t="s">
        <v>5</v>
      </c>
      <c r="F12" s="5" t="s">
        <v>3</v>
      </c>
      <c r="G12" s="5" t="s">
        <v>6</v>
      </c>
      <c r="H12" s="7" t="s">
        <v>9</v>
      </c>
      <c r="I12" s="5" t="s">
        <v>10</v>
      </c>
      <c r="J12" s="9" t="s">
        <v>12</v>
      </c>
      <c r="K12" s="8" t="s">
        <v>13</v>
      </c>
      <c r="L12" s="5" t="s">
        <v>3</v>
      </c>
      <c r="M12" s="5" t="s">
        <v>5</v>
      </c>
      <c r="N12" s="5" t="s">
        <v>3</v>
      </c>
      <c r="O12" s="5" t="s">
        <v>6</v>
      </c>
    </row>
    <row r="13" spans="1:15" x14ac:dyDescent="0.2">
      <c r="A13" s="1">
        <f t="shared" si="1"/>
        <v>13</v>
      </c>
    </row>
    <row r="14" spans="1:15" x14ac:dyDescent="0.2">
      <c r="A14" s="1">
        <f t="shared" si="1"/>
        <v>14</v>
      </c>
      <c r="B14" s="3" t="s">
        <v>167</v>
      </c>
      <c r="C14" t="s">
        <v>95</v>
      </c>
      <c r="D14" s="10">
        <v>5465071</v>
      </c>
      <c r="E14" s="10">
        <v>736580</v>
      </c>
      <c r="F14" s="10">
        <f>D14-E14</f>
        <v>4728491</v>
      </c>
      <c r="G14" s="10">
        <v>0</v>
      </c>
      <c r="H14" s="10">
        <f>ROUND(F14*$J$87,0)</f>
        <v>7093</v>
      </c>
      <c r="I14" s="10">
        <f>ROUND(F14*$J$91,0)</f>
        <v>8038</v>
      </c>
      <c r="J14" s="10">
        <v>15256</v>
      </c>
      <c r="K14" s="10">
        <f>ROUND(J14*12,0)</f>
        <v>183072</v>
      </c>
      <c r="L14" s="10">
        <f>D14</f>
        <v>5465071</v>
      </c>
      <c r="M14" s="10">
        <f>E14+K14</f>
        <v>919652</v>
      </c>
      <c r="N14" s="10">
        <f>L14-M14</f>
        <v>4545419</v>
      </c>
      <c r="O14" s="10">
        <v>0</v>
      </c>
    </row>
    <row r="15" spans="1:15" x14ac:dyDescent="0.2">
      <c r="A15" s="1">
        <f t="shared" si="1"/>
        <v>15</v>
      </c>
    </row>
    <row r="16" spans="1:15" x14ac:dyDescent="0.2">
      <c r="A16" s="1">
        <f t="shared" si="1"/>
        <v>16</v>
      </c>
      <c r="B16" s="3" t="s">
        <v>165</v>
      </c>
      <c r="C16" t="s">
        <v>93</v>
      </c>
      <c r="D16" s="10">
        <v>162151</v>
      </c>
      <c r="E16" s="10">
        <v>20949</v>
      </c>
      <c r="F16" s="10">
        <f>D16-E16</f>
        <v>141202</v>
      </c>
      <c r="G16" s="10">
        <v>0</v>
      </c>
      <c r="H16" s="48">
        <f>ROUND(F16*$J$87,0)</f>
        <v>212</v>
      </c>
      <c r="I16" s="10">
        <f>ROUND(F16*$J$91,0)</f>
        <v>240</v>
      </c>
      <c r="J16" s="10">
        <v>354</v>
      </c>
      <c r="K16" s="10">
        <f>ROUND(J16*12,0)</f>
        <v>4248</v>
      </c>
      <c r="L16" s="10">
        <f>D16</f>
        <v>162151</v>
      </c>
      <c r="M16" s="10">
        <f>E16+K16</f>
        <v>25197</v>
      </c>
      <c r="N16" s="10">
        <f>L16-M16</f>
        <v>136954</v>
      </c>
      <c r="O16" s="10">
        <v>0</v>
      </c>
    </row>
    <row r="17" spans="1:15" x14ac:dyDescent="0.2">
      <c r="A17" s="1">
        <f t="shared" si="1"/>
        <v>17</v>
      </c>
      <c r="B17" s="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2">
      <c r="A18" s="1">
        <f t="shared" si="1"/>
        <v>18</v>
      </c>
      <c r="B18" s="3" t="s">
        <v>166</v>
      </c>
      <c r="C18" t="s">
        <v>94</v>
      </c>
      <c r="D18" s="10">
        <v>224529</v>
      </c>
      <c r="E18" s="10">
        <v>48505</v>
      </c>
      <c r="F18" s="10">
        <f>D18-E18</f>
        <v>176024</v>
      </c>
      <c r="G18" s="10">
        <v>0</v>
      </c>
      <c r="H18" s="10">
        <f>ROUND(F18*$J$87,0)</f>
        <v>264</v>
      </c>
      <c r="I18" s="10">
        <f>ROUND(F18*$J$91,0)</f>
        <v>299</v>
      </c>
      <c r="J18" s="10">
        <v>500</v>
      </c>
      <c r="K18" s="10">
        <f>ROUND(J18*12,0)</f>
        <v>6000</v>
      </c>
      <c r="L18" s="10">
        <f>D18</f>
        <v>224529</v>
      </c>
      <c r="M18" s="10">
        <f>E18+K18</f>
        <v>54505</v>
      </c>
      <c r="N18" s="10">
        <f>L18-M18</f>
        <v>170024</v>
      </c>
      <c r="O18" s="10">
        <v>0</v>
      </c>
    </row>
    <row r="19" spans="1:15" x14ac:dyDescent="0.2">
      <c r="A19" s="1">
        <f t="shared" si="1"/>
        <v>19</v>
      </c>
    </row>
    <row r="20" spans="1:15" x14ac:dyDescent="0.2">
      <c r="A20" s="1">
        <f t="shared" si="1"/>
        <v>20</v>
      </c>
      <c r="B20" s="3" t="s">
        <v>168</v>
      </c>
      <c r="C20" t="s">
        <v>96</v>
      </c>
      <c r="D20" s="10">
        <v>4827367</v>
      </c>
      <c r="E20" s="10">
        <v>552987</v>
      </c>
      <c r="F20" s="10">
        <f>D20-E20</f>
        <v>4274380</v>
      </c>
      <c r="G20" s="10">
        <v>0</v>
      </c>
      <c r="H20" s="10">
        <f>ROUND(F20*$J$87,0)</f>
        <v>6412</v>
      </c>
      <c r="I20" s="10">
        <f>ROUND(F20*$J$91,0)</f>
        <v>7266</v>
      </c>
      <c r="J20" s="10">
        <v>14764</v>
      </c>
      <c r="K20" s="10">
        <f>ROUND(J20*12,0)</f>
        <v>177168</v>
      </c>
      <c r="L20" s="10">
        <f>D20</f>
        <v>4827367</v>
      </c>
      <c r="M20" s="10">
        <f>E20+K20</f>
        <v>730155</v>
      </c>
      <c r="N20" s="10">
        <f>L20-M20</f>
        <v>4097212</v>
      </c>
      <c r="O20" s="10">
        <v>0</v>
      </c>
    </row>
    <row r="21" spans="1:15" x14ac:dyDescent="0.2">
      <c r="A21" s="1">
        <f t="shared" si="1"/>
        <v>21</v>
      </c>
    </row>
    <row r="22" spans="1:15" x14ac:dyDescent="0.2">
      <c r="A22" s="1">
        <f t="shared" si="1"/>
        <v>22</v>
      </c>
      <c r="B22" s="3" t="s">
        <v>161</v>
      </c>
      <c r="C22" t="s">
        <v>79</v>
      </c>
      <c r="D22" s="10">
        <v>359709</v>
      </c>
      <c r="E22" s="10">
        <v>131604</v>
      </c>
      <c r="F22" s="10">
        <f>D22-E22</f>
        <v>228105</v>
      </c>
      <c r="G22" s="10">
        <v>0</v>
      </c>
      <c r="H22" s="10">
        <f>ROUND(F22*$J$90,0)</f>
        <v>1604</v>
      </c>
      <c r="I22" s="10">
        <f>ROUND(F22*$J$91,0)</f>
        <v>388</v>
      </c>
      <c r="J22" s="10">
        <v>1199</v>
      </c>
      <c r="K22" s="10">
        <f>ROUND(J22*12,0)</f>
        <v>14388</v>
      </c>
      <c r="L22" s="10">
        <f>D22</f>
        <v>359709</v>
      </c>
      <c r="M22" s="10">
        <f>E22+K22</f>
        <v>145992</v>
      </c>
      <c r="N22" s="10">
        <f>L22-M22</f>
        <v>213717</v>
      </c>
      <c r="O22" s="10">
        <v>0</v>
      </c>
    </row>
    <row r="23" spans="1:15" x14ac:dyDescent="0.2">
      <c r="A23" s="1">
        <f t="shared" si="1"/>
        <v>23</v>
      </c>
    </row>
    <row r="24" spans="1:15" x14ac:dyDescent="0.2">
      <c r="A24" s="1">
        <f t="shared" si="1"/>
        <v>24</v>
      </c>
      <c r="B24" s="3" t="s">
        <v>164</v>
      </c>
      <c r="C24" t="s">
        <v>88</v>
      </c>
      <c r="D24" s="10">
        <v>5083982</v>
      </c>
      <c r="E24" s="10">
        <v>344691</v>
      </c>
      <c r="F24" s="10">
        <f>D24-E24</f>
        <v>4739291</v>
      </c>
      <c r="G24" s="10">
        <v>0</v>
      </c>
      <c r="H24" s="10">
        <f>ROUND(F24*$J$88,0)</f>
        <v>53175</v>
      </c>
      <c r="I24" s="10">
        <v>0</v>
      </c>
      <c r="J24" s="10">
        <v>14362</v>
      </c>
      <c r="K24" s="10">
        <f>ROUND(J24*12,0)</f>
        <v>172344</v>
      </c>
      <c r="L24" s="10">
        <f>D24</f>
        <v>5083982</v>
      </c>
      <c r="M24" s="10">
        <f>E24+K24</f>
        <v>517035</v>
      </c>
      <c r="N24" s="10">
        <f>L24-M24</f>
        <v>4566947</v>
      </c>
      <c r="O24" s="10">
        <v>0</v>
      </c>
    </row>
    <row r="25" spans="1:15" x14ac:dyDescent="0.2">
      <c r="A25" s="1">
        <f t="shared" si="1"/>
        <v>25</v>
      </c>
    </row>
    <row r="26" spans="1:15" x14ac:dyDescent="0.2">
      <c r="A26" s="1">
        <f t="shared" si="1"/>
        <v>26</v>
      </c>
      <c r="B26" s="3" t="s">
        <v>162</v>
      </c>
      <c r="C26" t="s">
        <v>81</v>
      </c>
      <c r="D26" s="10">
        <v>325446</v>
      </c>
      <c r="E26" s="10">
        <v>67498</v>
      </c>
      <c r="F26" s="10">
        <f>D26-E26</f>
        <v>257948</v>
      </c>
      <c r="G26" s="10">
        <v>0</v>
      </c>
      <c r="H26" s="10">
        <f>ROUND(F26*$J$89,0)</f>
        <v>2227</v>
      </c>
      <c r="I26" s="10">
        <f>ROUND(F26*$J$91,0)</f>
        <v>439</v>
      </c>
      <c r="J26" s="10">
        <v>640</v>
      </c>
      <c r="K26" s="10">
        <f>ROUND(J26*12,0)</f>
        <v>7680</v>
      </c>
      <c r="L26" s="10">
        <f>D26</f>
        <v>325446</v>
      </c>
      <c r="M26" s="10">
        <f>E26+K26</f>
        <v>75178</v>
      </c>
      <c r="N26" s="10">
        <f>L26-M26</f>
        <v>250268</v>
      </c>
      <c r="O26" s="10">
        <v>0</v>
      </c>
    </row>
    <row r="27" spans="1:15" x14ac:dyDescent="0.2">
      <c r="A27" s="1">
        <f t="shared" si="1"/>
        <v>27</v>
      </c>
    </row>
    <row r="28" spans="1:15" x14ac:dyDescent="0.2">
      <c r="A28" s="1">
        <f t="shared" si="1"/>
        <v>28</v>
      </c>
      <c r="B28" s="3" t="s">
        <v>163</v>
      </c>
      <c r="C28" t="s">
        <v>87</v>
      </c>
      <c r="D28" s="10">
        <v>1285901</v>
      </c>
      <c r="E28" s="10">
        <v>0</v>
      </c>
      <c r="F28" s="10">
        <f>D28-E28</f>
        <v>1285901</v>
      </c>
      <c r="G28" s="10">
        <v>0</v>
      </c>
      <c r="H28" s="48">
        <f>ROUND(F28*$J$87,0)</f>
        <v>1929</v>
      </c>
      <c r="I28" s="10">
        <f>ROUND(F28*$J$91,0)</f>
        <v>2186</v>
      </c>
      <c r="J28" s="48">
        <f>ROUND((D28*0.0316)/12,0)</f>
        <v>3386</v>
      </c>
      <c r="K28" s="10">
        <f>ROUND(J28*12,0)</f>
        <v>40632</v>
      </c>
      <c r="L28" s="10">
        <f>D28</f>
        <v>1285901</v>
      </c>
      <c r="M28" s="10">
        <f>E28+K28</f>
        <v>40632</v>
      </c>
      <c r="N28" s="10">
        <f>L28-M28</f>
        <v>1245269</v>
      </c>
      <c r="O28" s="10">
        <v>0</v>
      </c>
    </row>
    <row r="29" spans="1:15" x14ac:dyDescent="0.2">
      <c r="A29" s="1">
        <f t="shared" si="1"/>
        <v>29</v>
      </c>
    </row>
    <row r="30" spans="1:15" x14ac:dyDescent="0.2">
      <c r="A30" s="1">
        <f t="shared" si="1"/>
        <v>30</v>
      </c>
      <c r="B30" s="3">
        <v>27</v>
      </c>
      <c r="C30" t="s">
        <v>80</v>
      </c>
      <c r="D30" s="10">
        <v>23276</v>
      </c>
      <c r="E30" s="10">
        <v>5710</v>
      </c>
      <c r="F30" s="10">
        <f>D30-E30</f>
        <v>17566</v>
      </c>
      <c r="G30" s="10">
        <v>0</v>
      </c>
      <c r="H30" s="10">
        <f>ROUND(F30*$J$90,0)</f>
        <v>123</v>
      </c>
      <c r="I30" s="10">
        <f>ROUND(F30*$J$91,0)</f>
        <v>30</v>
      </c>
      <c r="J30" s="10">
        <v>62</v>
      </c>
      <c r="K30" s="10">
        <f>ROUND(J30*12,0)</f>
        <v>744</v>
      </c>
      <c r="L30" s="10">
        <f>D30</f>
        <v>23276</v>
      </c>
      <c r="M30" s="10">
        <f>E30+K30</f>
        <v>6454</v>
      </c>
      <c r="N30" s="10">
        <f>L30-M30</f>
        <v>16822</v>
      </c>
      <c r="O30" s="10">
        <v>0</v>
      </c>
    </row>
    <row r="31" spans="1:15" x14ac:dyDescent="0.2">
      <c r="A31" s="1">
        <f t="shared" si="1"/>
        <v>31</v>
      </c>
    </row>
    <row r="32" spans="1:15" x14ac:dyDescent="0.2">
      <c r="A32" s="1">
        <f t="shared" si="1"/>
        <v>32</v>
      </c>
      <c r="B32" s="3">
        <v>28</v>
      </c>
      <c r="C32" t="s">
        <v>82</v>
      </c>
      <c r="D32" s="10">
        <v>249045</v>
      </c>
      <c r="E32" s="10">
        <v>57368</v>
      </c>
      <c r="F32" s="10">
        <f>D32-E32</f>
        <v>191677</v>
      </c>
      <c r="G32" s="10">
        <v>0</v>
      </c>
      <c r="H32" s="10">
        <f>ROUND(F32*$J$87,0)</f>
        <v>288</v>
      </c>
      <c r="I32" s="10">
        <f>ROUND(F32*$J$91,0)</f>
        <v>326</v>
      </c>
      <c r="J32" s="10">
        <v>655</v>
      </c>
      <c r="K32" s="10">
        <f>ROUND(J32*12,0)</f>
        <v>7860</v>
      </c>
      <c r="L32" s="10">
        <f>D32</f>
        <v>249045</v>
      </c>
      <c r="M32" s="10">
        <f>E32+K32</f>
        <v>65228</v>
      </c>
      <c r="N32" s="10">
        <f>L32-M32</f>
        <v>183817</v>
      </c>
      <c r="O32" s="10">
        <v>0</v>
      </c>
    </row>
    <row r="33" spans="1:15" x14ac:dyDescent="0.2">
      <c r="A33" s="1">
        <f t="shared" si="1"/>
        <v>33</v>
      </c>
      <c r="B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x14ac:dyDescent="0.2">
      <c r="A34" s="1">
        <f t="shared" si="1"/>
        <v>34</v>
      </c>
      <c r="B34" s="3">
        <v>29</v>
      </c>
      <c r="C34" t="s">
        <v>83</v>
      </c>
      <c r="D34" s="10">
        <v>2002438</v>
      </c>
      <c r="E34" s="10">
        <v>0</v>
      </c>
      <c r="F34" s="10">
        <f>D34-E34</f>
        <v>2002438</v>
      </c>
      <c r="G34" s="10">
        <v>0</v>
      </c>
      <c r="H34" s="48">
        <f>ROUND(F34*$J$87,0)</f>
        <v>3004</v>
      </c>
      <c r="I34" s="10">
        <f>ROUND(F34*$J$91,0)</f>
        <v>3404</v>
      </c>
      <c r="J34" s="48">
        <f>ROUND((D34*0.0316)/12,0)</f>
        <v>5273</v>
      </c>
      <c r="K34" s="10">
        <f>ROUND(J34*12,0)</f>
        <v>63276</v>
      </c>
      <c r="L34" s="10">
        <f>D34</f>
        <v>2002438</v>
      </c>
      <c r="M34" s="10">
        <f>E34+K34</f>
        <v>63276</v>
      </c>
      <c r="N34" s="10">
        <f>L34-M34</f>
        <v>1939162</v>
      </c>
      <c r="O34" s="10">
        <v>0</v>
      </c>
    </row>
    <row r="35" spans="1:15" x14ac:dyDescent="0.2">
      <c r="A35" s="1">
        <f t="shared" si="1"/>
        <v>35</v>
      </c>
      <c r="B35" s="3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2">
      <c r="A36" s="1">
        <f t="shared" si="1"/>
        <v>36</v>
      </c>
      <c r="B36" s="3">
        <v>30</v>
      </c>
      <c r="C36" t="s">
        <v>84</v>
      </c>
      <c r="D36" s="10">
        <v>342996</v>
      </c>
      <c r="E36" s="10">
        <v>24384</v>
      </c>
      <c r="F36" s="10">
        <f>D36-E36</f>
        <v>318612</v>
      </c>
      <c r="G36" s="10">
        <v>0</v>
      </c>
      <c r="H36" s="10">
        <f>ROUND(F36*$J$87,0)</f>
        <v>478</v>
      </c>
      <c r="I36" s="10">
        <f>ROUND(F36*$J$91,0)</f>
        <v>542</v>
      </c>
      <c r="J36" s="10">
        <v>903</v>
      </c>
      <c r="K36" s="10">
        <f>ROUND(J36*12,0)</f>
        <v>10836</v>
      </c>
      <c r="L36" s="10">
        <f>D36</f>
        <v>342996</v>
      </c>
      <c r="M36" s="10">
        <f>E36+K36</f>
        <v>35220</v>
      </c>
      <c r="N36" s="10">
        <f>L36-M36</f>
        <v>307776</v>
      </c>
      <c r="O36" s="10">
        <v>0</v>
      </c>
    </row>
    <row r="37" spans="1:15" x14ac:dyDescent="0.2">
      <c r="A37" s="1">
        <f t="shared" si="1"/>
        <v>37</v>
      </c>
      <c r="B37" s="3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">
      <c r="A38" s="1">
        <f t="shared" si="1"/>
        <v>38</v>
      </c>
      <c r="B38" s="3">
        <v>31</v>
      </c>
      <c r="C38" t="s">
        <v>85</v>
      </c>
      <c r="D38" s="10">
        <v>2646723</v>
      </c>
      <c r="E38" s="10">
        <v>352404</v>
      </c>
      <c r="F38" s="10">
        <f>D38-E38</f>
        <v>2294319</v>
      </c>
      <c r="G38" s="10">
        <v>0</v>
      </c>
      <c r="H38" s="10">
        <f>ROUND(F38*$J$87,0)</f>
        <v>3441</v>
      </c>
      <c r="I38" s="10">
        <f>ROUND(F38*$J$91,0)</f>
        <v>3900</v>
      </c>
      <c r="J38" s="10">
        <v>6925</v>
      </c>
      <c r="K38" s="10">
        <f>ROUND(J38*12,0)</f>
        <v>83100</v>
      </c>
      <c r="L38" s="10">
        <f>D38</f>
        <v>2646723</v>
      </c>
      <c r="M38" s="10">
        <f>E38+K38</f>
        <v>435504</v>
      </c>
      <c r="N38" s="10">
        <f>L38-M38</f>
        <v>2211219</v>
      </c>
      <c r="O38" s="10">
        <v>0</v>
      </c>
    </row>
    <row r="39" spans="1:15" x14ac:dyDescent="0.2">
      <c r="A39" s="1">
        <f t="shared" si="1"/>
        <v>39</v>
      </c>
      <c r="B39" s="3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">
      <c r="A40" s="1">
        <f t="shared" si="1"/>
        <v>40</v>
      </c>
      <c r="B40" s="3">
        <v>32</v>
      </c>
      <c r="C40" t="s">
        <v>86</v>
      </c>
      <c r="D40" s="10">
        <v>953827</v>
      </c>
      <c r="E40" s="10">
        <v>135255</v>
      </c>
      <c r="F40" s="10">
        <f>D40-E40</f>
        <v>818572</v>
      </c>
      <c r="G40" s="10">
        <v>0</v>
      </c>
      <c r="H40" s="10">
        <f>ROUND(F40*$J$87,0)</f>
        <v>1228</v>
      </c>
      <c r="I40" s="10">
        <f>ROUND(F40*$J$91,0)</f>
        <v>1392</v>
      </c>
      <c r="J40" s="10">
        <v>2528</v>
      </c>
      <c r="K40" s="10">
        <f>ROUND(J40*12,0)</f>
        <v>30336</v>
      </c>
      <c r="L40" s="10">
        <f>D40</f>
        <v>953827</v>
      </c>
      <c r="M40" s="10">
        <f>E40+K40</f>
        <v>165591</v>
      </c>
      <c r="N40" s="10">
        <f>L40-M40</f>
        <v>788236</v>
      </c>
      <c r="O40" s="10">
        <v>0</v>
      </c>
    </row>
    <row r="41" spans="1:15" x14ac:dyDescent="0.2">
      <c r="A41" s="1">
        <f t="shared" si="1"/>
        <v>41</v>
      </c>
    </row>
    <row r="42" spans="1:15" x14ac:dyDescent="0.2">
      <c r="A42" s="1">
        <f t="shared" si="1"/>
        <v>42</v>
      </c>
      <c r="B42" s="3">
        <v>33</v>
      </c>
      <c r="C42" t="s">
        <v>89</v>
      </c>
      <c r="D42" s="10">
        <v>342448</v>
      </c>
      <c r="E42" s="10">
        <v>0</v>
      </c>
      <c r="F42" s="10">
        <f>D42-E42</f>
        <v>342448</v>
      </c>
      <c r="G42" s="10">
        <v>0</v>
      </c>
      <c r="H42" s="48">
        <f>ROUND(F42*$J$87,0)</f>
        <v>514</v>
      </c>
      <c r="I42" s="10">
        <f>ROUND(F42*$J$91,0)</f>
        <v>582</v>
      </c>
      <c r="J42" s="48">
        <f>ROUND((D42*0.0314)/12,0)</f>
        <v>896</v>
      </c>
      <c r="K42" s="10">
        <f>ROUND(J42*12,0)</f>
        <v>10752</v>
      </c>
      <c r="L42" s="10">
        <f>D42</f>
        <v>342448</v>
      </c>
      <c r="M42" s="10">
        <f>E42+K42</f>
        <v>10752</v>
      </c>
      <c r="N42" s="10">
        <f>L42-M42</f>
        <v>331696</v>
      </c>
      <c r="O42" s="10">
        <v>0</v>
      </c>
    </row>
    <row r="43" spans="1:15" x14ac:dyDescent="0.2">
      <c r="A43" s="1">
        <f t="shared" si="1"/>
        <v>43</v>
      </c>
      <c r="B43" s="3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2">
      <c r="A44" s="1">
        <f t="shared" si="1"/>
        <v>44</v>
      </c>
      <c r="B44" s="3">
        <v>34</v>
      </c>
      <c r="C44" t="s">
        <v>90</v>
      </c>
      <c r="D44" s="10">
        <v>127547</v>
      </c>
      <c r="E44" s="10">
        <v>26407</v>
      </c>
      <c r="F44" s="10">
        <f>D44-E44</f>
        <v>101140</v>
      </c>
      <c r="G44" s="10">
        <v>0</v>
      </c>
      <c r="H44" s="10">
        <f>ROUND(F44*$J$87,0)</f>
        <v>152</v>
      </c>
      <c r="I44" s="10">
        <f>ROUND(F44*$J$91,0)</f>
        <v>172</v>
      </c>
      <c r="J44" s="10">
        <v>334</v>
      </c>
      <c r="K44" s="10">
        <f>ROUND(J44*12,0)</f>
        <v>4008</v>
      </c>
      <c r="L44" s="10">
        <f>D44</f>
        <v>127547</v>
      </c>
      <c r="M44" s="10">
        <f>E44+K44</f>
        <v>30415</v>
      </c>
      <c r="N44" s="10">
        <f>L44-M44</f>
        <v>97132</v>
      </c>
      <c r="O44" s="10">
        <v>0</v>
      </c>
    </row>
    <row r="45" spans="1:15" x14ac:dyDescent="0.2">
      <c r="A45" s="1">
        <f t="shared" si="1"/>
        <v>45</v>
      </c>
      <c r="B45" s="3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">
      <c r="A46" s="1">
        <f t="shared" si="1"/>
        <v>46</v>
      </c>
      <c r="B46" s="3">
        <v>34</v>
      </c>
      <c r="C46" t="s">
        <v>91</v>
      </c>
      <c r="D46" s="10">
        <v>99165</v>
      </c>
      <c r="E46" s="10">
        <v>17372</v>
      </c>
      <c r="F46" s="10">
        <f>D46-E46</f>
        <v>81793</v>
      </c>
      <c r="G46" s="10">
        <v>0</v>
      </c>
      <c r="H46" s="10">
        <f>ROUND(F46*$J$87,0)</f>
        <v>123</v>
      </c>
      <c r="I46" s="10">
        <f>ROUND(F46*$J$91,0)</f>
        <v>139</v>
      </c>
      <c r="J46" s="10">
        <v>303</v>
      </c>
      <c r="K46" s="10">
        <f>ROUND(J46*12,0)</f>
        <v>3636</v>
      </c>
      <c r="L46" s="10">
        <f>D46</f>
        <v>99165</v>
      </c>
      <c r="M46" s="10">
        <f>E46+K46</f>
        <v>21008</v>
      </c>
      <c r="N46" s="10">
        <f>L46-M46</f>
        <v>78157</v>
      </c>
      <c r="O46" s="10">
        <v>0</v>
      </c>
    </row>
    <row r="47" spans="1:15" x14ac:dyDescent="0.2">
      <c r="A47" s="1">
        <f t="shared" si="1"/>
        <v>47</v>
      </c>
      <c r="B47" s="3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x14ac:dyDescent="0.2">
      <c r="A48" s="1">
        <f t="shared" si="1"/>
        <v>48</v>
      </c>
      <c r="B48" s="3">
        <v>35</v>
      </c>
      <c r="C48" t="s">
        <v>92</v>
      </c>
      <c r="D48" s="10">
        <v>397833</v>
      </c>
      <c r="E48" s="10">
        <v>85664</v>
      </c>
      <c r="F48" s="10">
        <f>D48-E48</f>
        <v>312169</v>
      </c>
      <c r="G48" s="10">
        <v>0</v>
      </c>
      <c r="H48" s="10">
        <f>ROUND(F48*$J$87,0)</f>
        <v>468</v>
      </c>
      <c r="I48" s="10">
        <f>ROUND(F48*$J$91,0)</f>
        <v>531</v>
      </c>
      <c r="J48" s="10">
        <v>875</v>
      </c>
      <c r="K48" s="10">
        <f>ROUND(J48*12,0)</f>
        <v>10500</v>
      </c>
      <c r="L48" s="10">
        <f>D48</f>
        <v>397833</v>
      </c>
      <c r="M48" s="10">
        <f>E48+K48</f>
        <v>96164</v>
      </c>
      <c r="N48" s="10">
        <f>L48-M48</f>
        <v>301669</v>
      </c>
      <c r="O48" s="10">
        <v>0</v>
      </c>
    </row>
    <row r="49" spans="1:15" x14ac:dyDescent="0.2">
      <c r="A49" s="1">
        <f t="shared" si="1"/>
        <v>49</v>
      </c>
    </row>
    <row r="50" spans="1:15" x14ac:dyDescent="0.2">
      <c r="A50" s="1">
        <f t="shared" si="1"/>
        <v>50</v>
      </c>
      <c r="B50" s="3">
        <v>36</v>
      </c>
      <c r="C50" t="s">
        <v>97</v>
      </c>
      <c r="D50" s="10">
        <v>700000</v>
      </c>
      <c r="E50" s="10">
        <v>0</v>
      </c>
      <c r="F50" s="10">
        <f>D50-E50</f>
        <v>700000</v>
      </c>
      <c r="G50" s="10">
        <v>0</v>
      </c>
      <c r="H50" s="48">
        <f>ROUND(F50*$J$87,0)</f>
        <v>1050</v>
      </c>
      <c r="I50" s="10">
        <f>ROUND(F50*$J$91,0)</f>
        <v>1190</v>
      </c>
      <c r="J50" s="48">
        <f>ROUND((D50*0.0314)/12,0)</f>
        <v>1832</v>
      </c>
      <c r="K50" s="10">
        <f>ROUND(J50*12,0)</f>
        <v>21984</v>
      </c>
      <c r="L50" s="10">
        <f>D50</f>
        <v>700000</v>
      </c>
      <c r="M50" s="10">
        <f>E50+K50</f>
        <v>21984</v>
      </c>
      <c r="N50" s="10">
        <f>L50-M50</f>
        <v>678016</v>
      </c>
      <c r="O50" s="10">
        <v>0</v>
      </c>
    </row>
    <row r="51" spans="1:15" x14ac:dyDescent="0.2">
      <c r="A51" s="1">
        <f t="shared" si="1"/>
        <v>51</v>
      </c>
      <c r="B51" s="3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x14ac:dyDescent="0.2">
      <c r="A52" s="1">
        <f t="shared" si="1"/>
        <v>52</v>
      </c>
      <c r="B52" s="3">
        <v>37</v>
      </c>
      <c r="C52" t="s">
        <v>98</v>
      </c>
      <c r="D52" s="10">
        <v>269289</v>
      </c>
      <c r="E52" s="10">
        <v>0</v>
      </c>
      <c r="F52" s="10">
        <f>D52-E52</f>
        <v>269289</v>
      </c>
      <c r="G52" s="10">
        <v>0</v>
      </c>
      <c r="H52" s="48">
        <f>ROUND(F52*$J$87,0)</f>
        <v>404</v>
      </c>
      <c r="I52" s="10">
        <f>ROUND(F52*$J$91,0)</f>
        <v>458</v>
      </c>
      <c r="J52" s="48">
        <f>ROUND((D52*0.0314)/12,0)</f>
        <v>705</v>
      </c>
      <c r="K52" s="10">
        <f>ROUND(J52*12,0)</f>
        <v>8460</v>
      </c>
      <c r="L52" s="10">
        <f>D52</f>
        <v>269289</v>
      </c>
      <c r="M52" s="10">
        <f>E52+K52</f>
        <v>8460</v>
      </c>
      <c r="N52" s="10">
        <f>L52-M52</f>
        <v>260829</v>
      </c>
      <c r="O52" s="10">
        <v>0</v>
      </c>
    </row>
    <row r="53" spans="1:15" x14ac:dyDescent="0.2">
      <c r="A53" s="1">
        <f t="shared" si="1"/>
        <v>53</v>
      </c>
      <c r="B53" s="3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x14ac:dyDescent="0.2">
      <c r="A54" s="1">
        <f t="shared" si="1"/>
        <v>54</v>
      </c>
      <c r="B54" s="3">
        <v>38</v>
      </c>
      <c r="C54" t="s">
        <v>99</v>
      </c>
      <c r="D54" s="28">
        <v>2097196</v>
      </c>
      <c r="E54" s="28">
        <v>159969</v>
      </c>
      <c r="F54" s="10">
        <f>D54-E54</f>
        <v>1937227</v>
      </c>
      <c r="G54" s="28">
        <v>0</v>
      </c>
      <c r="H54" s="28">
        <f>ROUND(F54*$J$88,0)</f>
        <v>21736</v>
      </c>
      <c r="I54" s="28">
        <f>ROUND(F54*$J$91,0)</f>
        <v>3293</v>
      </c>
      <c r="J54" s="28">
        <v>5925</v>
      </c>
      <c r="K54" s="28">
        <f>ROUND(J54*12,0)</f>
        <v>71100</v>
      </c>
      <c r="L54" s="28">
        <f>D54</f>
        <v>2097196</v>
      </c>
      <c r="M54" s="28">
        <f>E54+K54</f>
        <v>231069</v>
      </c>
      <c r="N54" s="28">
        <f>L54-M54</f>
        <v>1866127</v>
      </c>
      <c r="O54" s="28">
        <v>0</v>
      </c>
    </row>
    <row r="55" spans="1:15" x14ac:dyDescent="0.2">
      <c r="A55" s="1">
        <f t="shared" si="1"/>
        <v>55</v>
      </c>
      <c r="B55" s="3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x14ac:dyDescent="0.2">
      <c r="A56" s="1">
        <f t="shared" si="1"/>
        <v>56</v>
      </c>
      <c r="B56" s="3">
        <v>39</v>
      </c>
      <c r="C56" t="s">
        <v>157</v>
      </c>
      <c r="D56" s="15">
        <v>10997198</v>
      </c>
      <c r="E56" s="15">
        <v>433118</v>
      </c>
      <c r="F56" s="15">
        <f>D56-E56</f>
        <v>10564080</v>
      </c>
      <c r="G56" s="15">
        <v>0</v>
      </c>
      <c r="H56" s="15">
        <f>ROUND(F56*$J$88,0)</f>
        <v>118529</v>
      </c>
      <c r="I56" s="15">
        <v>0</v>
      </c>
      <c r="J56" s="15">
        <f>ROUND((D56*0.0339)/12,0)</f>
        <v>31067</v>
      </c>
      <c r="K56" s="15">
        <f>ROUND(J56*12,0)</f>
        <v>372804</v>
      </c>
      <c r="L56" s="15">
        <f>D56</f>
        <v>10997198</v>
      </c>
      <c r="M56" s="15">
        <f>E56+K56</f>
        <v>805922</v>
      </c>
      <c r="N56" s="15">
        <f>L56-M56</f>
        <v>10191276</v>
      </c>
      <c r="O56" s="15">
        <v>0</v>
      </c>
    </row>
    <row r="57" spans="1:15" x14ac:dyDescent="0.2">
      <c r="A57" s="1">
        <f t="shared" si="1"/>
        <v>57</v>
      </c>
      <c r="B57" s="3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x14ac:dyDescent="0.2">
      <c r="A58" s="1">
        <f t="shared" si="1"/>
        <v>58</v>
      </c>
      <c r="B58" s="3"/>
      <c r="C58" t="s">
        <v>155</v>
      </c>
      <c r="D58" s="28">
        <f>SUM(D14:D56)</f>
        <v>38983137</v>
      </c>
      <c r="E58" s="28">
        <f>SUM(E14:E56)</f>
        <v>3200465</v>
      </c>
      <c r="F58" s="28">
        <f>D58-E58</f>
        <v>35782672</v>
      </c>
      <c r="G58" s="28">
        <f t="shared" ref="G58:N58" si="2">SUM(G14:G56)</f>
        <v>0</v>
      </c>
      <c r="H58" s="28">
        <f t="shared" si="2"/>
        <v>224454</v>
      </c>
      <c r="I58" s="28">
        <f t="shared" si="2"/>
        <v>34815</v>
      </c>
      <c r="J58" s="28">
        <f t="shared" si="2"/>
        <v>108744</v>
      </c>
      <c r="K58" s="28">
        <f t="shared" si="2"/>
        <v>1304928</v>
      </c>
      <c r="L58" s="28">
        <f t="shared" si="2"/>
        <v>38983137</v>
      </c>
      <c r="M58" s="28">
        <f t="shared" si="2"/>
        <v>4505393</v>
      </c>
      <c r="N58" s="28">
        <f t="shared" si="2"/>
        <v>34477744</v>
      </c>
      <c r="O58" s="28">
        <f>SUM(O22:O56)</f>
        <v>0</v>
      </c>
    </row>
    <row r="59" spans="1:15" x14ac:dyDescent="0.2">
      <c r="A59" s="1">
        <f t="shared" si="1"/>
        <v>59</v>
      </c>
      <c r="B59" s="3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x14ac:dyDescent="0.2">
      <c r="A60" s="1">
        <f t="shared" si="1"/>
        <v>60</v>
      </c>
      <c r="B60" s="3">
        <v>40</v>
      </c>
      <c r="C60" t="s">
        <v>156</v>
      </c>
      <c r="D60" s="15">
        <v>4979252</v>
      </c>
      <c r="E60" s="15">
        <v>56264</v>
      </c>
      <c r="F60" s="15">
        <f>D60-E60</f>
        <v>4922988</v>
      </c>
      <c r="G60" s="15">
        <v>0</v>
      </c>
      <c r="H60" s="15">
        <f>ROUND(F60*$J$88,0)</f>
        <v>55236</v>
      </c>
      <c r="I60" s="15">
        <v>0</v>
      </c>
      <c r="J60" s="15">
        <f>ROUND((D60*0.0339)/12,0)</f>
        <v>14066</v>
      </c>
      <c r="K60" s="15">
        <f>ROUND(J60*12,0)</f>
        <v>168792</v>
      </c>
      <c r="L60" s="15">
        <f>D60</f>
        <v>4979252</v>
      </c>
      <c r="M60" s="15">
        <f>E60+K60</f>
        <v>225056</v>
      </c>
      <c r="N60" s="15">
        <f>L60-M60</f>
        <v>4754196</v>
      </c>
      <c r="O60" s="15">
        <v>0</v>
      </c>
    </row>
    <row r="61" spans="1:15" x14ac:dyDescent="0.2">
      <c r="A61" s="1">
        <f t="shared" si="1"/>
        <v>61</v>
      </c>
      <c r="B61" s="3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ht="15" thickBot="1" x14ac:dyDescent="0.25">
      <c r="A62" s="1">
        <f t="shared" si="1"/>
        <v>62</v>
      </c>
      <c r="B62" s="3"/>
      <c r="C62" t="s">
        <v>100</v>
      </c>
      <c r="D62" s="16">
        <f>D58+D60</f>
        <v>43962389</v>
      </c>
      <c r="E62" s="16">
        <f t="shared" ref="E62:O62" si="3">E58+E60</f>
        <v>3256729</v>
      </c>
      <c r="F62" s="16">
        <f t="shared" si="3"/>
        <v>40705660</v>
      </c>
      <c r="G62" s="16">
        <f t="shared" si="3"/>
        <v>0</v>
      </c>
      <c r="H62" s="16">
        <f t="shared" si="3"/>
        <v>279690</v>
      </c>
      <c r="I62" s="16">
        <f t="shared" si="3"/>
        <v>34815</v>
      </c>
      <c r="J62" s="16">
        <f t="shared" si="3"/>
        <v>122810</v>
      </c>
      <c r="K62" s="16">
        <f t="shared" si="3"/>
        <v>1473720</v>
      </c>
      <c r="L62" s="16">
        <f t="shared" si="3"/>
        <v>43962389</v>
      </c>
      <c r="M62" s="16">
        <f t="shared" si="3"/>
        <v>4730449</v>
      </c>
      <c r="N62" s="16">
        <f t="shared" si="3"/>
        <v>39231940</v>
      </c>
      <c r="O62" s="16">
        <f t="shared" si="3"/>
        <v>0</v>
      </c>
    </row>
    <row r="63" spans="1:15" ht="15" thickTop="1" x14ac:dyDescent="0.2">
      <c r="A63" s="1">
        <f t="shared" si="1"/>
        <v>63</v>
      </c>
      <c r="B63" s="3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x14ac:dyDescent="0.2">
      <c r="A64" s="1">
        <f t="shared" si="1"/>
        <v>64</v>
      </c>
      <c r="B64" s="17" t="s">
        <v>40</v>
      </c>
      <c r="D64" s="10"/>
      <c r="E64" s="10"/>
      <c r="F64" s="10"/>
      <c r="G64" s="10"/>
      <c r="H64" s="32" t="s">
        <v>109</v>
      </c>
      <c r="I64" s="10"/>
      <c r="J64" s="10"/>
      <c r="K64" s="10"/>
      <c r="L64" s="10"/>
      <c r="M64" s="10"/>
      <c r="N64" s="10"/>
      <c r="O64" s="10"/>
    </row>
    <row r="65" spans="1:15" x14ac:dyDescent="0.2">
      <c r="A65" s="1">
        <f t="shared" si="1"/>
        <v>65</v>
      </c>
      <c r="B65" s="3"/>
      <c r="C65" t="s">
        <v>22</v>
      </c>
      <c r="D65" s="10">
        <f>L62</f>
        <v>43962389</v>
      </c>
      <c r="E65" s="10"/>
      <c r="F65" s="10"/>
      <c r="G65" s="10"/>
      <c r="H65" s="3" t="s">
        <v>167</v>
      </c>
      <c r="I65" t="s">
        <v>95</v>
      </c>
      <c r="J65" s="10"/>
      <c r="K65" s="10"/>
      <c r="L65" s="10"/>
      <c r="M65" s="10">
        <v>20000</v>
      </c>
      <c r="N65" s="10"/>
      <c r="O65" s="10"/>
    </row>
    <row r="66" spans="1:15" x14ac:dyDescent="0.2">
      <c r="A66" s="1">
        <f t="shared" si="1"/>
        <v>66</v>
      </c>
      <c r="B66" s="3"/>
      <c r="C66" t="s">
        <v>6</v>
      </c>
      <c r="D66" s="15">
        <f>O62</f>
        <v>0</v>
      </c>
      <c r="E66" s="10"/>
      <c r="F66" s="10"/>
      <c r="G66" s="10"/>
      <c r="H66" s="3" t="s">
        <v>165</v>
      </c>
      <c r="I66" t="s">
        <v>93</v>
      </c>
      <c r="J66" s="10"/>
      <c r="K66" s="10"/>
      <c r="L66" s="10"/>
      <c r="M66" s="10">
        <v>18000</v>
      </c>
      <c r="N66" s="10"/>
      <c r="O66" s="10"/>
    </row>
    <row r="67" spans="1:15" x14ac:dyDescent="0.2">
      <c r="A67" s="1">
        <f t="shared" si="1"/>
        <v>67</v>
      </c>
      <c r="B67" s="3"/>
      <c r="C67" t="s">
        <v>23</v>
      </c>
      <c r="D67" s="10">
        <f>D65+D66</f>
        <v>43962389</v>
      </c>
      <c r="E67" s="10"/>
      <c r="F67" s="10"/>
      <c r="G67" s="10"/>
      <c r="H67" s="3" t="s">
        <v>166</v>
      </c>
      <c r="I67" t="s">
        <v>94</v>
      </c>
      <c r="J67" s="10"/>
      <c r="K67" s="10"/>
      <c r="L67" s="10"/>
      <c r="M67" s="10">
        <v>25000</v>
      </c>
      <c r="N67" s="10"/>
      <c r="O67" s="10"/>
    </row>
    <row r="68" spans="1:15" x14ac:dyDescent="0.2">
      <c r="A68" s="1">
        <f t="shared" si="1"/>
        <v>68</v>
      </c>
      <c r="B68" s="3"/>
      <c r="C68" t="s">
        <v>24</v>
      </c>
      <c r="D68" s="10"/>
      <c r="E68" s="10"/>
      <c r="F68" s="10"/>
      <c r="G68" s="10"/>
      <c r="H68" s="3" t="s">
        <v>168</v>
      </c>
      <c r="I68" t="s">
        <v>96</v>
      </c>
      <c r="J68" s="10"/>
      <c r="K68" s="10"/>
      <c r="L68" s="10"/>
      <c r="M68" s="28">
        <v>20000</v>
      </c>
      <c r="N68" s="10"/>
      <c r="O68" s="10"/>
    </row>
    <row r="69" spans="1:15" x14ac:dyDescent="0.2">
      <c r="A69" s="1">
        <f t="shared" si="1"/>
        <v>69</v>
      </c>
      <c r="C69" t="s">
        <v>25</v>
      </c>
      <c r="D69" s="28">
        <f>ROUND(D75*0.125,0)</f>
        <v>94295</v>
      </c>
      <c r="E69" s="10" t="s">
        <v>108</v>
      </c>
      <c r="F69" s="10"/>
      <c r="G69" s="10"/>
      <c r="H69" s="3" t="s">
        <v>164</v>
      </c>
      <c r="I69" t="s">
        <v>88</v>
      </c>
      <c r="J69" s="10"/>
      <c r="K69" s="10"/>
      <c r="L69" s="10"/>
      <c r="M69" s="10">
        <v>217000</v>
      </c>
      <c r="N69" s="10"/>
      <c r="O69" s="10"/>
    </row>
    <row r="70" spans="1:15" x14ac:dyDescent="0.2">
      <c r="A70" s="1">
        <f t="shared" si="1"/>
        <v>70</v>
      </c>
      <c r="C70" t="s">
        <v>26</v>
      </c>
      <c r="D70" s="28"/>
      <c r="E70" s="10"/>
      <c r="F70" s="10"/>
      <c r="G70" s="10"/>
      <c r="H70" s="3" t="s">
        <v>162</v>
      </c>
      <c r="I70" t="s">
        <v>81</v>
      </c>
      <c r="J70" s="10"/>
      <c r="K70" s="10"/>
      <c r="L70" s="10"/>
      <c r="M70" s="10">
        <v>34500</v>
      </c>
      <c r="N70" s="10"/>
      <c r="O70" s="10"/>
    </row>
    <row r="71" spans="1:15" x14ac:dyDescent="0.2">
      <c r="A71" s="1">
        <f t="shared" si="1"/>
        <v>71</v>
      </c>
      <c r="C71" t="s">
        <v>27</v>
      </c>
      <c r="D71" s="15">
        <f>M62</f>
        <v>4730449</v>
      </c>
      <c r="E71" s="10"/>
      <c r="F71" s="10"/>
      <c r="G71" s="10"/>
      <c r="H71" s="3" t="s">
        <v>163</v>
      </c>
      <c r="I71" t="s">
        <v>87</v>
      </c>
      <c r="J71" s="10"/>
      <c r="K71" s="10"/>
      <c r="L71" s="10"/>
      <c r="M71" s="10">
        <v>102030</v>
      </c>
      <c r="N71" s="10"/>
      <c r="O71" s="10"/>
    </row>
    <row r="72" spans="1:15" ht="15" thickBot="1" x14ac:dyDescent="0.25">
      <c r="A72" s="1">
        <f t="shared" si="1"/>
        <v>72</v>
      </c>
      <c r="C72" t="s">
        <v>28</v>
      </c>
      <c r="D72" s="18">
        <f>D67+D69-D71</f>
        <v>39326235</v>
      </c>
      <c r="E72" s="10"/>
      <c r="F72" s="10"/>
      <c r="G72" s="10"/>
      <c r="H72" s="3">
        <v>27</v>
      </c>
      <c r="I72" t="s">
        <v>80</v>
      </c>
      <c r="J72" s="10"/>
      <c r="K72" s="10"/>
      <c r="L72" s="10"/>
      <c r="M72" s="10">
        <v>23550</v>
      </c>
      <c r="N72" s="10"/>
      <c r="O72" s="10"/>
    </row>
    <row r="73" spans="1:15" ht="15" thickTop="1" x14ac:dyDescent="0.2">
      <c r="A73" s="1">
        <f t="shared" si="1"/>
        <v>73</v>
      </c>
      <c r="D73" s="10"/>
      <c r="E73" s="10"/>
      <c r="F73" s="10"/>
      <c r="G73" s="10"/>
      <c r="H73" s="3">
        <v>28</v>
      </c>
      <c r="I73" t="s">
        <v>82</v>
      </c>
      <c r="J73" s="10"/>
      <c r="K73" s="10"/>
      <c r="L73" s="10"/>
      <c r="M73" s="10">
        <v>125150</v>
      </c>
      <c r="N73" s="10"/>
      <c r="O73" s="10"/>
    </row>
    <row r="74" spans="1:15" x14ac:dyDescent="0.2">
      <c r="A74" s="1">
        <f t="shared" ref="A74:A135" si="4">A73+1</f>
        <v>74</v>
      </c>
      <c r="B74" s="4" t="s">
        <v>41</v>
      </c>
      <c r="D74" s="10"/>
      <c r="E74" s="10"/>
      <c r="F74" s="10"/>
      <c r="G74" s="10"/>
      <c r="H74" s="3">
        <v>30</v>
      </c>
      <c r="I74" t="s">
        <v>84</v>
      </c>
      <c r="J74" s="10"/>
      <c r="K74" s="10"/>
      <c r="L74" s="10"/>
      <c r="M74" s="10">
        <v>5000</v>
      </c>
      <c r="N74" s="10"/>
      <c r="O74" s="10"/>
    </row>
    <row r="75" spans="1:15" x14ac:dyDescent="0.2">
      <c r="A75" s="1">
        <f t="shared" si="4"/>
        <v>75</v>
      </c>
      <c r="C75" t="s">
        <v>29</v>
      </c>
      <c r="D75" s="10">
        <f>M84</f>
        <v>754357</v>
      </c>
      <c r="E75" s="10"/>
      <c r="F75" s="10"/>
      <c r="G75" s="10"/>
      <c r="H75" s="3">
        <v>31</v>
      </c>
      <c r="I75" t="s">
        <v>85</v>
      </c>
      <c r="J75" s="10"/>
      <c r="K75" s="10"/>
      <c r="L75" s="10"/>
      <c r="M75" s="10">
        <v>15039</v>
      </c>
      <c r="N75" s="10"/>
      <c r="O75" s="10"/>
    </row>
    <row r="76" spans="1:15" x14ac:dyDescent="0.2">
      <c r="A76" s="1">
        <f t="shared" si="4"/>
        <v>76</v>
      </c>
      <c r="C76" t="s">
        <v>30</v>
      </c>
      <c r="D76" s="10">
        <f>K62</f>
        <v>1473720</v>
      </c>
      <c r="E76" s="10"/>
      <c r="F76" s="10"/>
      <c r="G76" s="10"/>
      <c r="H76" s="3">
        <v>33</v>
      </c>
      <c r="I76" t="s">
        <v>89</v>
      </c>
      <c r="J76" s="10"/>
      <c r="K76" s="10"/>
      <c r="L76" s="10"/>
      <c r="M76" s="10">
        <v>26000</v>
      </c>
      <c r="N76" s="10"/>
      <c r="O76" s="10"/>
    </row>
    <row r="77" spans="1:15" x14ac:dyDescent="0.2">
      <c r="A77" s="1">
        <f t="shared" si="4"/>
        <v>77</v>
      </c>
      <c r="C77" t="s">
        <v>31</v>
      </c>
      <c r="D77" s="10">
        <f>H62</f>
        <v>279690</v>
      </c>
      <c r="E77" s="10"/>
      <c r="F77" s="10"/>
      <c r="G77" s="10"/>
      <c r="H77" s="3">
        <v>34</v>
      </c>
      <c r="I77" t="s">
        <v>90</v>
      </c>
      <c r="J77" s="10"/>
      <c r="K77" s="10"/>
      <c r="L77" s="10"/>
      <c r="M77" s="10">
        <v>6000</v>
      </c>
      <c r="N77" s="10"/>
      <c r="O77" s="10"/>
    </row>
    <row r="78" spans="1:15" x14ac:dyDescent="0.2">
      <c r="A78" s="1">
        <f t="shared" si="4"/>
        <v>78</v>
      </c>
      <c r="C78" t="s">
        <v>32</v>
      </c>
      <c r="D78" s="15">
        <f>I62</f>
        <v>34815</v>
      </c>
      <c r="E78" s="10"/>
      <c r="F78" s="10"/>
      <c r="G78" s="10"/>
      <c r="H78" s="3">
        <v>34</v>
      </c>
      <c r="I78" t="s">
        <v>91</v>
      </c>
      <c r="J78" s="10"/>
      <c r="K78" s="10"/>
      <c r="L78" s="10"/>
      <c r="M78" s="10">
        <v>4000</v>
      </c>
      <c r="N78" s="10"/>
      <c r="O78" s="10"/>
    </row>
    <row r="79" spans="1:15" ht="15" thickBot="1" x14ac:dyDescent="0.25">
      <c r="A79" s="1">
        <f t="shared" si="4"/>
        <v>79</v>
      </c>
      <c r="C79" t="s">
        <v>33</v>
      </c>
      <c r="D79" s="18">
        <f>SUM(D75:D78)</f>
        <v>2542582</v>
      </c>
      <c r="E79" s="10"/>
      <c r="F79" s="10"/>
      <c r="G79" s="10"/>
      <c r="H79" s="3">
        <v>35</v>
      </c>
      <c r="I79" t="s">
        <v>92</v>
      </c>
      <c r="J79" s="10"/>
      <c r="K79" s="10"/>
      <c r="L79" s="10"/>
      <c r="M79" s="10">
        <v>25000</v>
      </c>
      <c r="N79" s="10"/>
      <c r="O79" s="10"/>
    </row>
    <row r="80" spans="1:15" ht="15" thickTop="1" x14ac:dyDescent="0.2">
      <c r="A80" s="1">
        <f t="shared" si="4"/>
        <v>80</v>
      </c>
      <c r="D80" s="10"/>
      <c r="E80" s="10"/>
      <c r="F80" s="10"/>
      <c r="G80" s="10"/>
      <c r="H80" s="55">
        <v>37</v>
      </c>
      <c r="I80" s="10" t="s">
        <v>98</v>
      </c>
      <c r="J80" s="10"/>
      <c r="K80" s="10"/>
      <c r="L80" s="10"/>
      <c r="M80" s="10">
        <v>26088</v>
      </c>
      <c r="N80" s="10"/>
      <c r="O80" s="10"/>
    </row>
    <row r="81" spans="1:15" x14ac:dyDescent="0.2">
      <c r="A81" s="1">
        <f t="shared" si="4"/>
        <v>81</v>
      </c>
      <c r="B81" s="4" t="s">
        <v>42</v>
      </c>
      <c r="D81" s="10"/>
      <c r="E81" s="10"/>
      <c r="F81" s="10"/>
      <c r="G81" s="10"/>
      <c r="H81" s="3">
        <v>38</v>
      </c>
      <c r="I81" t="s">
        <v>99</v>
      </c>
      <c r="M81" s="28">
        <v>35000</v>
      </c>
      <c r="N81" s="10"/>
      <c r="O81" s="10"/>
    </row>
    <row r="82" spans="1:15" x14ac:dyDescent="0.2">
      <c r="A82" s="1">
        <f t="shared" si="4"/>
        <v>82</v>
      </c>
      <c r="C82" t="s">
        <v>28</v>
      </c>
      <c r="D82" s="48">
        <f>D72</f>
        <v>39326235</v>
      </c>
      <c r="E82" s="49"/>
      <c r="F82" s="48"/>
      <c r="G82" s="48"/>
      <c r="H82" s="56">
        <v>39</v>
      </c>
      <c r="I82" s="48" t="s">
        <v>157</v>
      </c>
      <c r="J82" s="48"/>
      <c r="K82" s="48"/>
      <c r="L82" s="10"/>
      <c r="M82" s="15">
        <v>27000</v>
      </c>
      <c r="N82" s="10"/>
      <c r="O82" s="10"/>
    </row>
    <row r="83" spans="1:15" x14ac:dyDescent="0.2">
      <c r="A83" s="1">
        <f t="shared" si="4"/>
        <v>83</v>
      </c>
      <c r="C83" s="49" t="s">
        <v>186</v>
      </c>
      <c r="D83" s="64">
        <v>6.4869999999999997E-2</v>
      </c>
      <c r="E83" s="49"/>
      <c r="F83" s="48"/>
      <c r="G83" s="48"/>
      <c r="N83" s="10"/>
      <c r="O83" s="10"/>
    </row>
    <row r="84" spans="1:15" ht="15" thickBot="1" x14ac:dyDescent="0.25">
      <c r="A84" s="1">
        <f t="shared" si="4"/>
        <v>84</v>
      </c>
      <c r="C84" t="s">
        <v>34</v>
      </c>
      <c r="D84" s="48">
        <f>ROUND(D82*D83,0)</f>
        <v>2551093</v>
      </c>
      <c r="E84" s="49"/>
      <c r="F84" s="48"/>
      <c r="G84" s="48"/>
      <c r="H84" s="10" t="s">
        <v>110</v>
      </c>
      <c r="I84" s="10"/>
      <c r="J84" s="10"/>
      <c r="K84" s="10"/>
      <c r="L84" s="10"/>
      <c r="M84" s="16">
        <f>SUM(M65:M82)</f>
        <v>754357</v>
      </c>
      <c r="N84" s="10"/>
      <c r="O84" s="10"/>
    </row>
    <row r="85" spans="1:15" ht="15" thickTop="1" x14ac:dyDescent="0.2">
      <c r="A85" s="1">
        <f t="shared" si="4"/>
        <v>85</v>
      </c>
      <c r="C85" t="s">
        <v>35</v>
      </c>
      <c r="D85" s="50">
        <f>D79</f>
        <v>2542582</v>
      </c>
      <c r="E85" s="48"/>
      <c r="F85" s="49"/>
      <c r="G85" s="48"/>
      <c r="H85" s="48"/>
      <c r="I85" s="48"/>
      <c r="J85" s="48"/>
      <c r="K85" s="48"/>
      <c r="L85" s="10"/>
      <c r="M85" s="10"/>
      <c r="N85" s="10"/>
      <c r="O85" s="10"/>
    </row>
    <row r="86" spans="1:15" x14ac:dyDescent="0.2">
      <c r="A86" s="1">
        <f t="shared" si="4"/>
        <v>86</v>
      </c>
      <c r="C86" t="s">
        <v>37</v>
      </c>
      <c r="D86" s="48">
        <f>D84+D85</f>
        <v>5093675</v>
      </c>
      <c r="E86" s="48"/>
      <c r="F86" s="49"/>
      <c r="G86" s="48"/>
      <c r="N86" s="10"/>
      <c r="O86" s="10"/>
    </row>
    <row r="87" spans="1:15" x14ac:dyDescent="0.2">
      <c r="A87" s="1">
        <f t="shared" si="4"/>
        <v>87</v>
      </c>
      <c r="C87" t="s">
        <v>36</v>
      </c>
      <c r="D87" s="51">
        <v>0.9556</v>
      </c>
      <c r="E87" s="48"/>
      <c r="F87" s="49"/>
      <c r="G87" s="48"/>
      <c r="I87" s="11" t="s">
        <v>16</v>
      </c>
      <c r="J87" s="12">
        <v>1.5E-3</v>
      </c>
      <c r="K87" t="s">
        <v>18</v>
      </c>
      <c r="N87" s="10"/>
      <c r="O87" s="10"/>
    </row>
    <row r="88" spans="1:15" x14ac:dyDescent="0.2">
      <c r="A88" s="1">
        <f t="shared" si="4"/>
        <v>88</v>
      </c>
      <c r="C88" t="s">
        <v>106</v>
      </c>
      <c r="D88" s="48">
        <f>ROUND(D86*D87,0)</f>
        <v>4867516</v>
      </c>
      <c r="E88" s="48"/>
      <c r="F88" s="49"/>
      <c r="G88" s="48"/>
      <c r="J88" s="12">
        <v>1.1220000000000001E-2</v>
      </c>
      <c r="K88" t="s">
        <v>20</v>
      </c>
      <c r="N88" s="10"/>
      <c r="O88" s="10"/>
    </row>
    <row r="89" spans="1:15" x14ac:dyDescent="0.2">
      <c r="A89" s="1">
        <f t="shared" si="4"/>
        <v>89</v>
      </c>
      <c r="B89" s="3"/>
      <c r="C89" t="s">
        <v>104</v>
      </c>
      <c r="D89" s="48"/>
      <c r="E89" s="48"/>
      <c r="F89" s="48"/>
      <c r="G89" s="48"/>
      <c r="J89" s="13">
        <v>8.633E-3</v>
      </c>
      <c r="K89" t="s">
        <v>19</v>
      </c>
      <c r="N89" s="10"/>
      <c r="O89" s="10"/>
    </row>
    <row r="90" spans="1:15" x14ac:dyDescent="0.2">
      <c r="A90" s="1">
        <f t="shared" si="4"/>
        <v>90</v>
      </c>
      <c r="B90" s="3"/>
      <c r="C90" t="s">
        <v>105</v>
      </c>
      <c r="D90" s="50">
        <f>BESF!D36</f>
        <v>1249428</v>
      </c>
      <c r="E90" s="48"/>
      <c r="F90" s="48"/>
      <c r="G90" s="48"/>
      <c r="J90" s="14">
        <v>7.0299999999999998E-3</v>
      </c>
      <c r="K90" t="s">
        <v>21</v>
      </c>
      <c r="N90" s="10"/>
      <c r="O90" s="10"/>
    </row>
    <row r="91" spans="1:15" ht="15" thickBot="1" x14ac:dyDescent="0.25">
      <c r="A91" s="1">
        <f t="shared" si="4"/>
        <v>91</v>
      </c>
      <c r="B91" s="3"/>
      <c r="C91" s="40" t="s">
        <v>107</v>
      </c>
      <c r="D91" s="52">
        <f>D88-D90</f>
        <v>3618088</v>
      </c>
      <c r="E91" s="48"/>
      <c r="F91" s="48"/>
      <c r="G91" s="48"/>
      <c r="I91" s="11" t="s">
        <v>17</v>
      </c>
      <c r="J91" s="12">
        <v>1.6999999999999999E-3</v>
      </c>
      <c r="N91" s="10"/>
      <c r="O91" s="10"/>
    </row>
    <row r="92" spans="1:15" ht="15" thickTop="1" x14ac:dyDescent="0.2">
      <c r="A92" s="1">
        <f t="shared" si="4"/>
        <v>92</v>
      </c>
      <c r="B92" s="3"/>
      <c r="D92" s="10"/>
      <c r="E92" s="10"/>
      <c r="F92" s="10"/>
      <c r="G92" s="10"/>
      <c r="N92" s="10"/>
      <c r="O92" s="10"/>
    </row>
    <row r="93" spans="1:15" x14ac:dyDescent="0.2">
      <c r="A93" s="1">
        <f t="shared" si="4"/>
        <v>93</v>
      </c>
      <c r="B93" s="31" t="s">
        <v>102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x14ac:dyDescent="0.2">
      <c r="A94" s="1">
        <f t="shared" si="4"/>
        <v>94</v>
      </c>
      <c r="B94" s="3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x14ac:dyDescent="0.2">
      <c r="A95" s="1">
        <f t="shared" si="4"/>
        <v>95</v>
      </c>
      <c r="B95" s="4" t="s">
        <v>0</v>
      </c>
    </row>
    <row r="96" spans="1:15" x14ac:dyDescent="0.2">
      <c r="A96" s="1">
        <f t="shared" si="4"/>
        <v>96</v>
      </c>
      <c r="D96" s="66" t="s">
        <v>14</v>
      </c>
      <c r="E96" s="67"/>
      <c r="F96" s="67"/>
      <c r="G96" s="68"/>
      <c r="H96" s="66" t="s">
        <v>38</v>
      </c>
      <c r="I96" s="67"/>
      <c r="J96" s="67"/>
      <c r="K96" s="68"/>
      <c r="L96" s="66" t="s">
        <v>39</v>
      </c>
      <c r="M96" s="67"/>
      <c r="N96" s="67"/>
      <c r="O96" s="68"/>
    </row>
    <row r="97" spans="1:15" x14ac:dyDescent="0.2">
      <c r="A97" s="1">
        <f t="shared" si="4"/>
        <v>97</v>
      </c>
      <c r="B97" s="3"/>
      <c r="C97" s="3"/>
      <c r="D97" s="3" t="s">
        <v>2</v>
      </c>
      <c r="E97" s="3" t="s">
        <v>4</v>
      </c>
      <c r="F97" s="3" t="s">
        <v>7</v>
      </c>
      <c r="G97" s="3"/>
      <c r="H97" s="6" t="s">
        <v>8</v>
      </c>
      <c r="I97" s="3" t="s">
        <v>8</v>
      </c>
      <c r="J97" s="70" t="s">
        <v>11</v>
      </c>
      <c r="K97" s="71"/>
      <c r="L97" s="3" t="s">
        <v>2</v>
      </c>
      <c r="M97" s="3" t="s">
        <v>4</v>
      </c>
      <c r="N97" s="3" t="s">
        <v>7</v>
      </c>
      <c r="O97" s="3"/>
    </row>
    <row r="98" spans="1:15" ht="15" thickBot="1" x14ac:dyDescent="0.25">
      <c r="A98" s="1">
        <f t="shared" si="4"/>
        <v>98</v>
      </c>
      <c r="B98" s="5"/>
      <c r="C98" s="5" t="s">
        <v>1</v>
      </c>
      <c r="D98" s="5" t="s">
        <v>3</v>
      </c>
      <c r="E98" s="5" t="s">
        <v>5</v>
      </c>
      <c r="F98" s="5" t="s">
        <v>3</v>
      </c>
      <c r="G98" s="5" t="s">
        <v>6</v>
      </c>
      <c r="H98" s="7" t="s">
        <v>9</v>
      </c>
      <c r="I98" s="5" t="s">
        <v>10</v>
      </c>
      <c r="J98" s="9" t="s">
        <v>12</v>
      </c>
      <c r="K98" s="8" t="s">
        <v>13</v>
      </c>
      <c r="L98" s="5" t="s">
        <v>3</v>
      </c>
      <c r="M98" s="5" t="s">
        <v>5</v>
      </c>
      <c r="N98" s="5" t="s">
        <v>3</v>
      </c>
      <c r="O98" s="5" t="s">
        <v>6</v>
      </c>
    </row>
    <row r="99" spans="1:15" x14ac:dyDescent="0.2">
      <c r="A99" s="1">
        <f t="shared" si="4"/>
        <v>99</v>
      </c>
      <c r="B99" s="3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ht="15" thickBot="1" x14ac:dyDescent="0.25">
      <c r="A100" s="1">
        <f t="shared" si="4"/>
        <v>100</v>
      </c>
      <c r="B100" s="3">
        <v>40</v>
      </c>
      <c r="C100" t="s">
        <v>101</v>
      </c>
      <c r="D100" s="16">
        <v>0</v>
      </c>
      <c r="E100" s="16">
        <v>0</v>
      </c>
      <c r="F100" s="16">
        <v>0</v>
      </c>
      <c r="G100" s="16">
        <v>0</v>
      </c>
      <c r="H100" s="16">
        <f>ROUND(F100*$J$88,0)</f>
        <v>0</v>
      </c>
      <c r="I100" s="16">
        <v>0</v>
      </c>
      <c r="J100" s="16">
        <f>ROUND((L100*0.0339)/12,0)</f>
        <v>44437</v>
      </c>
      <c r="K100" s="16">
        <f>J100</f>
        <v>44437</v>
      </c>
      <c r="L100" s="16">
        <v>15730000</v>
      </c>
      <c r="M100" s="16">
        <f>E100+K100</f>
        <v>44437</v>
      </c>
      <c r="N100" s="16">
        <f>L100-M100</f>
        <v>15685563</v>
      </c>
      <c r="O100" s="16">
        <v>0</v>
      </c>
    </row>
    <row r="101" spans="1:15" ht="15" thickTop="1" x14ac:dyDescent="0.2">
      <c r="A101" s="1">
        <f t="shared" si="4"/>
        <v>101</v>
      </c>
      <c r="B101" s="3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x14ac:dyDescent="0.2">
      <c r="A102" s="1">
        <f t="shared" si="4"/>
        <v>102</v>
      </c>
      <c r="B102" s="17" t="s">
        <v>40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x14ac:dyDescent="0.2">
      <c r="A103" s="1">
        <f t="shared" si="4"/>
        <v>103</v>
      </c>
      <c r="B103" s="3"/>
      <c r="C103" t="s">
        <v>22</v>
      </c>
      <c r="D103" s="10">
        <f>L100</f>
        <v>15730000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x14ac:dyDescent="0.2">
      <c r="A104" s="1">
        <f t="shared" si="4"/>
        <v>104</v>
      </c>
      <c r="B104" s="3"/>
      <c r="C104" t="s">
        <v>6</v>
      </c>
      <c r="D104" s="15">
        <f>O100</f>
        <v>0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x14ac:dyDescent="0.2">
      <c r="A105" s="1">
        <f t="shared" si="4"/>
        <v>105</v>
      </c>
      <c r="B105" s="3"/>
      <c r="C105" t="s">
        <v>23</v>
      </c>
      <c r="D105" s="10">
        <f>D103+D104</f>
        <v>15730000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2">
      <c r="A106" s="1">
        <f t="shared" si="4"/>
        <v>106</v>
      </c>
      <c r="B106" s="3"/>
      <c r="C106" t="s">
        <v>24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2">
      <c r="A107" s="1">
        <f t="shared" si="4"/>
        <v>107</v>
      </c>
      <c r="C107" t="s">
        <v>25</v>
      </c>
      <c r="D107" s="10">
        <f>ROUND(D113*0.125,0)</f>
        <v>2521</v>
      </c>
      <c r="E107" s="10" t="s">
        <v>108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x14ac:dyDescent="0.2">
      <c r="A108" s="1">
        <f t="shared" si="4"/>
        <v>108</v>
      </c>
      <c r="C108" t="s">
        <v>26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x14ac:dyDescent="0.2">
      <c r="A109" s="1">
        <f t="shared" si="4"/>
        <v>109</v>
      </c>
      <c r="C109" t="s">
        <v>27</v>
      </c>
      <c r="D109" s="15">
        <f>M100</f>
        <v>44437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ht="15" thickBot="1" x14ac:dyDescent="0.25">
      <c r="A110" s="1">
        <f t="shared" si="4"/>
        <v>110</v>
      </c>
      <c r="C110" t="s">
        <v>28</v>
      </c>
      <c r="D110" s="18">
        <f>D105+D107-D109</f>
        <v>15688084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15" thickTop="1" x14ac:dyDescent="0.2">
      <c r="A111" s="1">
        <f t="shared" si="4"/>
        <v>111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x14ac:dyDescent="0.2">
      <c r="A112" s="1">
        <f t="shared" si="4"/>
        <v>112</v>
      </c>
      <c r="B112" s="4" t="s">
        <v>41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2">
      <c r="A113" s="1">
        <f t="shared" si="4"/>
        <v>113</v>
      </c>
      <c r="C113" t="s">
        <v>29</v>
      </c>
      <c r="D113" s="35">
        <f>ROUND(242000/12,0)</f>
        <v>20167</v>
      </c>
      <c r="E113" s="35" t="s">
        <v>152</v>
      </c>
      <c r="F113" s="35"/>
      <c r="G113" s="35"/>
      <c r="H113" s="10"/>
      <c r="I113" s="10"/>
      <c r="J113" s="10"/>
      <c r="K113" s="10"/>
      <c r="L113" s="10"/>
      <c r="M113" s="10"/>
      <c r="N113" s="10"/>
      <c r="O113" s="10"/>
    </row>
    <row r="114" spans="1:15" x14ac:dyDescent="0.2">
      <c r="A114" s="1">
        <f t="shared" si="4"/>
        <v>114</v>
      </c>
      <c r="C114" t="s">
        <v>30</v>
      </c>
      <c r="D114" s="35">
        <f>K100</f>
        <v>44437</v>
      </c>
      <c r="E114" s="35" t="s">
        <v>153</v>
      </c>
      <c r="F114" s="35"/>
      <c r="G114" s="35"/>
      <c r="H114" s="10"/>
      <c r="I114" s="10"/>
      <c r="J114" s="10"/>
      <c r="K114" s="10"/>
      <c r="L114" s="10"/>
      <c r="M114" s="10"/>
      <c r="N114" s="10"/>
      <c r="O114" s="10"/>
    </row>
    <row r="115" spans="1:15" x14ac:dyDescent="0.2">
      <c r="A115" s="1">
        <f t="shared" si="4"/>
        <v>115</v>
      </c>
      <c r="C115" t="s">
        <v>31</v>
      </c>
      <c r="D115" s="35">
        <f>H100</f>
        <v>0</v>
      </c>
      <c r="E115" s="35"/>
      <c r="F115" s="35"/>
      <c r="G115" s="35"/>
      <c r="H115" s="28"/>
      <c r="I115" s="28"/>
      <c r="J115" s="28"/>
      <c r="K115" s="28"/>
      <c r="L115" s="28"/>
      <c r="M115" s="10"/>
      <c r="N115" s="10"/>
      <c r="O115" s="10"/>
    </row>
    <row r="116" spans="1:15" x14ac:dyDescent="0.2">
      <c r="A116" s="1">
        <f t="shared" si="4"/>
        <v>116</v>
      </c>
      <c r="C116" t="s">
        <v>32</v>
      </c>
      <c r="D116" s="37">
        <f>I100</f>
        <v>0</v>
      </c>
      <c r="E116" s="35"/>
      <c r="F116" s="35"/>
      <c r="G116" s="35"/>
      <c r="H116" s="28"/>
      <c r="I116" s="28"/>
      <c r="J116" s="28"/>
      <c r="K116" s="28"/>
      <c r="L116" s="28"/>
      <c r="M116" s="10"/>
      <c r="N116" s="10"/>
      <c r="O116" s="10"/>
    </row>
    <row r="117" spans="1:15" ht="15" thickBot="1" x14ac:dyDescent="0.25">
      <c r="A117" s="1">
        <f t="shared" si="4"/>
        <v>117</v>
      </c>
      <c r="C117" t="s">
        <v>33</v>
      </c>
      <c r="D117" s="38">
        <f>SUM(D113:D116)</f>
        <v>64604</v>
      </c>
      <c r="E117" s="35"/>
      <c r="F117" s="35"/>
      <c r="G117" s="35"/>
      <c r="H117" s="28"/>
      <c r="I117" s="28"/>
      <c r="J117" s="28"/>
      <c r="K117" s="28"/>
      <c r="L117" s="28"/>
      <c r="M117" s="10"/>
      <c r="N117" s="10"/>
      <c r="O117" s="10"/>
    </row>
    <row r="118" spans="1:15" ht="15" thickTop="1" x14ac:dyDescent="0.2">
      <c r="A118" s="1">
        <f t="shared" si="4"/>
        <v>118</v>
      </c>
      <c r="D118" s="35"/>
      <c r="E118" s="35"/>
      <c r="F118" s="35"/>
      <c r="G118" s="35"/>
      <c r="H118" s="28"/>
      <c r="I118" s="28"/>
      <c r="J118" s="28"/>
      <c r="K118" s="28"/>
      <c r="L118" s="28"/>
      <c r="M118" s="10"/>
      <c r="N118" s="10"/>
      <c r="O118" s="10"/>
    </row>
    <row r="119" spans="1:15" x14ac:dyDescent="0.2">
      <c r="A119" s="1">
        <f t="shared" si="4"/>
        <v>119</v>
      </c>
      <c r="B119" s="4" t="s">
        <v>42</v>
      </c>
      <c r="D119" s="35"/>
      <c r="E119" s="35"/>
      <c r="F119" s="35"/>
      <c r="G119" s="35"/>
      <c r="H119" s="28"/>
      <c r="I119" s="28"/>
      <c r="J119" s="28"/>
      <c r="K119" s="28"/>
      <c r="L119" s="28"/>
      <c r="M119" s="10"/>
      <c r="N119" s="10"/>
      <c r="O119" s="10"/>
    </row>
    <row r="120" spans="1:15" x14ac:dyDescent="0.2">
      <c r="A120" s="1">
        <f t="shared" si="4"/>
        <v>120</v>
      </c>
      <c r="C120" t="s">
        <v>28</v>
      </c>
      <c r="D120" s="35">
        <f>D110</f>
        <v>15688084</v>
      </c>
      <c r="E120" s="34"/>
      <c r="F120" s="34"/>
      <c r="G120" s="34"/>
      <c r="H120" s="28"/>
      <c r="I120" s="29"/>
      <c r="J120" s="29"/>
      <c r="K120" s="29"/>
      <c r="L120" s="28"/>
    </row>
    <row r="121" spans="1:15" x14ac:dyDescent="0.2">
      <c r="A121" s="1">
        <f t="shared" si="4"/>
        <v>121</v>
      </c>
      <c r="C121" s="49" t="s">
        <v>186</v>
      </c>
      <c r="D121" s="65">
        <f>D83</f>
        <v>6.4869999999999997E-2</v>
      </c>
      <c r="E121" s="34"/>
      <c r="F121" s="34"/>
      <c r="G121" s="34"/>
      <c r="H121" s="29"/>
      <c r="I121" s="29"/>
      <c r="J121" s="29"/>
      <c r="K121" s="29"/>
      <c r="L121" s="29"/>
    </row>
    <row r="122" spans="1:15" x14ac:dyDescent="0.2">
      <c r="A122" s="1">
        <f t="shared" si="4"/>
        <v>122</v>
      </c>
      <c r="C122" t="s">
        <v>34</v>
      </c>
      <c r="D122" s="35">
        <f>ROUND(D120*D121,0)</f>
        <v>1017686</v>
      </c>
      <c r="E122" s="34"/>
      <c r="F122" s="34"/>
      <c r="G122" s="34"/>
    </row>
    <row r="123" spans="1:15" x14ac:dyDescent="0.2">
      <c r="A123" s="1">
        <f t="shared" si="4"/>
        <v>123</v>
      </c>
      <c r="C123" t="s">
        <v>35</v>
      </c>
      <c r="D123" s="37">
        <f>D117</f>
        <v>64604</v>
      </c>
      <c r="E123" s="34"/>
      <c r="F123" s="34"/>
      <c r="G123" s="34"/>
    </row>
    <row r="124" spans="1:15" x14ac:dyDescent="0.2">
      <c r="A124" s="1">
        <f t="shared" si="4"/>
        <v>124</v>
      </c>
      <c r="C124" t="s">
        <v>37</v>
      </c>
      <c r="D124" s="35">
        <f>D122+D123</f>
        <v>1082290</v>
      </c>
      <c r="E124" s="34"/>
      <c r="F124" s="34"/>
      <c r="G124" s="34"/>
    </row>
    <row r="125" spans="1:15" x14ac:dyDescent="0.2">
      <c r="A125" s="1">
        <f t="shared" si="4"/>
        <v>125</v>
      </c>
      <c r="C125" t="s">
        <v>36</v>
      </c>
      <c r="D125" s="39">
        <v>0.9556</v>
      </c>
      <c r="E125" s="34"/>
      <c r="F125" s="34"/>
      <c r="G125" s="34"/>
    </row>
    <row r="126" spans="1:15" ht="15" thickBot="1" x14ac:dyDescent="0.25">
      <c r="A126" s="1">
        <f t="shared" si="4"/>
        <v>126</v>
      </c>
      <c r="C126" s="40" t="s">
        <v>158</v>
      </c>
      <c r="D126" s="38">
        <f>ROUND(D124*D125,0)</f>
        <v>1034236</v>
      </c>
      <c r="E126" s="34"/>
      <c r="F126" s="34"/>
      <c r="G126" s="34"/>
    </row>
    <row r="127" spans="1:15" ht="15" thickTop="1" x14ac:dyDescent="0.2">
      <c r="A127" s="1">
        <f t="shared" si="4"/>
        <v>127</v>
      </c>
      <c r="B127" s="34"/>
      <c r="C127" s="34"/>
      <c r="D127" s="34"/>
      <c r="E127" s="34"/>
      <c r="F127" s="34"/>
      <c r="G127" s="34"/>
    </row>
    <row r="128" spans="1:15" x14ac:dyDescent="0.2">
      <c r="A128" s="1">
        <f t="shared" si="4"/>
        <v>128</v>
      </c>
      <c r="B128" s="54">
        <v>41</v>
      </c>
      <c r="C128" t="s">
        <v>103</v>
      </c>
      <c r="D128" s="34"/>
      <c r="E128" s="34"/>
      <c r="F128" s="34"/>
      <c r="G128" s="34"/>
    </row>
    <row r="129" spans="1:7" x14ac:dyDescent="0.2">
      <c r="A129" s="1">
        <f t="shared" si="4"/>
        <v>129</v>
      </c>
      <c r="B129" s="34"/>
      <c r="C129" s="34"/>
      <c r="D129" s="35"/>
      <c r="E129" s="34"/>
      <c r="F129" s="34"/>
      <c r="G129" s="34"/>
    </row>
    <row r="130" spans="1:7" x14ac:dyDescent="0.2">
      <c r="A130" s="1">
        <f t="shared" si="4"/>
        <v>130</v>
      </c>
      <c r="B130" s="4" t="s">
        <v>42</v>
      </c>
      <c r="C130" s="34"/>
      <c r="D130" s="35"/>
      <c r="E130" s="34"/>
      <c r="F130" s="34"/>
      <c r="G130" s="34"/>
    </row>
    <row r="131" spans="1:7" x14ac:dyDescent="0.2">
      <c r="A131" s="1">
        <f t="shared" si="4"/>
        <v>131</v>
      </c>
      <c r="B131" s="34"/>
      <c r="C131" s="34" t="s">
        <v>35</v>
      </c>
      <c r="D131" s="37">
        <v>204351</v>
      </c>
      <c r="E131" s="34"/>
      <c r="F131" s="34"/>
      <c r="G131" s="34"/>
    </row>
    <row r="132" spans="1:7" x14ac:dyDescent="0.2">
      <c r="A132" s="1">
        <f t="shared" si="4"/>
        <v>132</v>
      </c>
      <c r="B132" s="34"/>
      <c r="C132" t="s">
        <v>37</v>
      </c>
      <c r="D132" s="35">
        <f>D131</f>
        <v>204351</v>
      </c>
      <c r="E132" s="34"/>
      <c r="F132" s="34"/>
      <c r="G132" s="34"/>
    </row>
    <row r="133" spans="1:7" x14ac:dyDescent="0.2">
      <c r="A133" s="1">
        <f t="shared" si="4"/>
        <v>133</v>
      </c>
      <c r="B133" s="34"/>
      <c r="C133" t="s">
        <v>36</v>
      </c>
      <c r="D133" s="39">
        <v>0.9556</v>
      </c>
      <c r="E133" s="34"/>
      <c r="F133" s="34"/>
      <c r="G133" s="34"/>
    </row>
    <row r="134" spans="1:7" ht="15" thickBot="1" x14ac:dyDescent="0.25">
      <c r="A134" s="1">
        <f t="shared" si="4"/>
        <v>134</v>
      </c>
      <c r="B134" s="34"/>
      <c r="C134" s="40" t="s">
        <v>158</v>
      </c>
      <c r="D134" s="38">
        <f>ROUND(D132*D133,0)</f>
        <v>195278</v>
      </c>
      <c r="E134" s="34"/>
      <c r="F134" s="34"/>
      <c r="G134" s="34"/>
    </row>
    <row r="135" spans="1:7" ht="15" thickTop="1" x14ac:dyDescent="0.2">
      <c r="A135" s="1">
        <f t="shared" si="4"/>
        <v>135</v>
      </c>
      <c r="B135" s="34"/>
      <c r="C135" s="34"/>
      <c r="D135" s="35"/>
      <c r="E135" s="34"/>
      <c r="F135" s="34"/>
      <c r="G135" s="34"/>
    </row>
  </sheetData>
  <mergeCells count="10">
    <mergeCell ref="C3:N3"/>
    <mergeCell ref="C4:N4"/>
    <mergeCell ref="J97:K97"/>
    <mergeCell ref="D10:G10"/>
    <mergeCell ref="H10:K10"/>
    <mergeCell ref="L10:O10"/>
    <mergeCell ref="J11:K11"/>
    <mergeCell ref="D96:G96"/>
    <mergeCell ref="H96:K96"/>
    <mergeCell ref="L96:O9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zoomScale="80" zoomScaleNormal="80" workbookViewId="0">
      <selection activeCell="C122" sqref="C122"/>
    </sheetView>
  </sheetViews>
  <sheetFormatPr defaultColWidth="15.625" defaultRowHeight="14.25" x14ac:dyDescent="0.2"/>
  <cols>
    <col min="1" max="1" width="4.625" customWidth="1"/>
    <col min="3" max="3" width="56.625" customWidth="1"/>
  </cols>
  <sheetData>
    <row r="1" spans="1:15" ht="15" x14ac:dyDescent="0.25">
      <c r="A1" s="1">
        <v>1</v>
      </c>
      <c r="O1" s="57" t="s">
        <v>200</v>
      </c>
    </row>
    <row r="2" spans="1:15" ht="15" x14ac:dyDescent="0.25">
      <c r="A2" s="1">
        <f>A1+1</f>
        <v>2</v>
      </c>
      <c r="O2" s="57" t="s">
        <v>191</v>
      </c>
    </row>
    <row r="3" spans="1:15" ht="15" x14ac:dyDescent="0.25">
      <c r="A3" s="1">
        <f t="shared" ref="A3:A73" si="0">A2+1</f>
        <v>3</v>
      </c>
      <c r="C3" s="69" t="s">
        <v>189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" x14ac:dyDescent="0.25">
      <c r="A4" s="1">
        <f t="shared" si="0"/>
        <v>4</v>
      </c>
      <c r="C4" s="69" t="s">
        <v>196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5" x14ac:dyDescent="0.2">
      <c r="A5" s="1">
        <f t="shared" si="0"/>
        <v>5</v>
      </c>
    </row>
    <row r="6" spans="1:15" x14ac:dyDescent="0.2">
      <c r="A6" s="1">
        <f t="shared" si="0"/>
        <v>6</v>
      </c>
    </row>
    <row r="7" spans="1:15" x14ac:dyDescent="0.2">
      <c r="A7" s="1">
        <f t="shared" si="0"/>
        <v>7</v>
      </c>
      <c r="B7" s="30" t="s">
        <v>78</v>
      </c>
    </row>
    <row r="8" spans="1:15" x14ac:dyDescent="0.2">
      <c r="A8" s="1">
        <f t="shared" si="0"/>
        <v>8</v>
      </c>
      <c r="I8" s="14"/>
    </row>
    <row r="9" spans="1:15" x14ac:dyDescent="0.2">
      <c r="A9" s="1">
        <f t="shared" si="0"/>
        <v>9</v>
      </c>
      <c r="B9" s="4" t="s">
        <v>0</v>
      </c>
    </row>
    <row r="10" spans="1:15" x14ac:dyDescent="0.2">
      <c r="A10" s="1">
        <f t="shared" si="0"/>
        <v>10</v>
      </c>
      <c r="D10" s="66" t="s">
        <v>39</v>
      </c>
      <c r="E10" s="67"/>
      <c r="F10" s="67"/>
      <c r="G10" s="68"/>
      <c r="H10" s="66" t="s">
        <v>154</v>
      </c>
      <c r="I10" s="67"/>
      <c r="J10" s="67"/>
      <c r="K10" s="68"/>
      <c r="L10" s="66" t="s">
        <v>43</v>
      </c>
      <c r="M10" s="67"/>
      <c r="N10" s="67"/>
      <c r="O10" s="68"/>
    </row>
    <row r="11" spans="1:15" x14ac:dyDescent="0.2">
      <c r="A11" s="1">
        <f t="shared" si="0"/>
        <v>11</v>
      </c>
      <c r="B11" s="3" t="s">
        <v>159</v>
      </c>
      <c r="C11" s="3"/>
      <c r="D11" s="3" t="s">
        <v>2</v>
      </c>
      <c r="E11" s="3" t="s">
        <v>4</v>
      </c>
      <c r="F11" s="3" t="s">
        <v>7</v>
      </c>
      <c r="G11" s="3"/>
      <c r="H11" s="6" t="s">
        <v>8</v>
      </c>
      <c r="I11" s="3" t="s">
        <v>8</v>
      </c>
      <c r="J11" s="70" t="s">
        <v>11</v>
      </c>
      <c r="K11" s="71"/>
      <c r="L11" s="3" t="s">
        <v>2</v>
      </c>
      <c r="M11" s="3" t="s">
        <v>4</v>
      </c>
      <c r="N11" s="3" t="s">
        <v>7</v>
      </c>
      <c r="O11" s="3"/>
    </row>
    <row r="12" spans="1:15" ht="15" thickBot="1" x14ac:dyDescent="0.25">
      <c r="A12" s="1">
        <f t="shared" si="0"/>
        <v>12</v>
      </c>
      <c r="B12" s="5" t="s">
        <v>160</v>
      </c>
      <c r="C12" s="5" t="s">
        <v>1</v>
      </c>
      <c r="D12" s="5" t="s">
        <v>3</v>
      </c>
      <c r="E12" s="5" t="s">
        <v>5</v>
      </c>
      <c r="F12" s="5" t="s">
        <v>3</v>
      </c>
      <c r="G12" s="5" t="s">
        <v>6</v>
      </c>
      <c r="H12" s="7" t="s">
        <v>9</v>
      </c>
      <c r="I12" s="5" t="s">
        <v>10</v>
      </c>
      <c r="J12" s="9" t="s">
        <v>12</v>
      </c>
      <c r="K12" s="8" t="s">
        <v>13</v>
      </c>
      <c r="L12" s="5" t="s">
        <v>3</v>
      </c>
      <c r="M12" s="5" t="s">
        <v>5</v>
      </c>
      <c r="N12" s="5" t="s">
        <v>3</v>
      </c>
      <c r="O12" s="5" t="s">
        <v>6</v>
      </c>
    </row>
    <row r="13" spans="1:15" x14ac:dyDescent="0.2">
      <c r="A13" s="1">
        <f t="shared" si="0"/>
        <v>13</v>
      </c>
    </row>
    <row r="14" spans="1:15" x14ac:dyDescent="0.2">
      <c r="A14" s="1">
        <f t="shared" si="0"/>
        <v>14</v>
      </c>
      <c r="B14" s="3" t="s">
        <v>167</v>
      </c>
      <c r="C14" t="s">
        <v>95</v>
      </c>
      <c r="D14" s="10">
        <f>'Proposed - YE 2024'!L14</f>
        <v>5465071</v>
      </c>
      <c r="E14" s="10">
        <f>'Proposed - YE 2024'!M14</f>
        <v>919652</v>
      </c>
      <c r="F14" s="10">
        <f>'Proposed - YE 2024'!N14</f>
        <v>4545419</v>
      </c>
      <c r="G14" s="10">
        <f>'Proposed - YE 2024'!O14</f>
        <v>0</v>
      </c>
      <c r="H14" s="28">
        <f>ROUND(F14*$J$87,0)</f>
        <v>6818</v>
      </c>
      <c r="I14" s="28">
        <f>ROUND(F14*$J$91,0)</f>
        <v>7727</v>
      </c>
      <c r="J14" s="10">
        <f>'Proposed - YE 2024'!J14</f>
        <v>15256</v>
      </c>
      <c r="K14" s="10">
        <f>ROUND(J14*12,0)</f>
        <v>183072</v>
      </c>
      <c r="L14" s="10">
        <f>D14</f>
        <v>5465071</v>
      </c>
      <c r="M14" s="10">
        <f>E14+K14</f>
        <v>1102724</v>
      </c>
      <c r="N14" s="10">
        <f>L14-M14</f>
        <v>4362347</v>
      </c>
      <c r="O14" s="10">
        <v>0</v>
      </c>
    </row>
    <row r="15" spans="1:15" x14ac:dyDescent="0.2">
      <c r="A15" s="1">
        <f t="shared" si="0"/>
        <v>15</v>
      </c>
    </row>
    <row r="16" spans="1:15" x14ac:dyDescent="0.2">
      <c r="A16" s="1">
        <f t="shared" si="0"/>
        <v>16</v>
      </c>
      <c r="B16" s="3" t="s">
        <v>165</v>
      </c>
      <c r="C16" t="s">
        <v>93</v>
      </c>
      <c r="D16" s="10">
        <f>'Proposed - YE 2024'!L16</f>
        <v>162151</v>
      </c>
      <c r="E16" s="10">
        <f>'Proposed - YE 2024'!M16</f>
        <v>25197</v>
      </c>
      <c r="F16" s="10">
        <f>'Proposed - YE 2024'!N16</f>
        <v>136954</v>
      </c>
      <c r="G16" s="10">
        <f>'Proposed - YE 2024'!O16</f>
        <v>0</v>
      </c>
      <c r="H16" s="53">
        <f>ROUND(F16*$J$87,0)</f>
        <v>205</v>
      </c>
      <c r="I16" s="28">
        <f>ROUND(F16*$J$91,0)</f>
        <v>233</v>
      </c>
      <c r="J16" s="10">
        <f>'Proposed - YE 2024'!J16</f>
        <v>354</v>
      </c>
      <c r="K16" s="10">
        <f>ROUND(J16*12,0)</f>
        <v>4248</v>
      </c>
      <c r="L16" s="10">
        <f>D16+G16</f>
        <v>162151</v>
      </c>
      <c r="M16" s="10">
        <f>E16+K16</f>
        <v>29445</v>
      </c>
      <c r="N16" s="10">
        <f>L16-M16</f>
        <v>132706</v>
      </c>
      <c r="O16" s="10">
        <v>0</v>
      </c>
    </row>
    <row r="17" spans="1:15" x14ac:dyDescent="0.2">
      <c r="A17" s="1">
        <f t="shared" si="0"/>
        <v>17</v>
      </c>
      <c r="B17" s="3"/>
      <c r="D17" s="10"/>
      <c r="E17" s="10"/>
      <c r="F17" s="10"/>
      <c r="G17" s="10"/>
      <c r="H17" s="28"/>
      <c r="I17" s="28"/>
      <c r="J17" s="10"/>
      <c r="K17" s="10"/>
      <c r="L17" s="10"/>
      <c r="M17" s="10"/>
      <c r="N17" s="10"/>
      <c r="O17" s="10"/>
    </row>
    <row r="18" spans="1:15" x14ac:dyDescent="0.2">
      <c r="A18" s="1">
        <f t="shared" si="0"/>
        <v>18</v>
      </c>
      <c r="B18" s="3" t="s">
        <v>166</v>
      </c>
      <c r="C18" t="s">
        <v>94</v>
      </c>
      <c r="D18" s="10">
        <f>'Proposed - YE 2024'!L18</f>
        <v>224529</v>
      </c>
      <c r="E18" s="10">
        <f>'Proposed - YE 2024'!M18</f>
        <v>54505</v>
      </c>
      <c r="F18" s="10">
        <f>'Proposed - YE 2024'!N18</f>
        <v>170024</v>
      </c>
      <c r="G18" s="10">
        <f>'Proposed - YE 2024'!O18</f>
        <v>0</v>
      </c>
      <c r="H18" s="28">
        <f>ROUND(F18*$J$87,0)</f>
        <v>255</v>
      </c>
      <c r="I18" s="28">
        <f>ROUND(F18*$J$91,0)</f>
        <v>289</v>
      </c>
      <c r="J18" s="10">
        <f>'Proposed - YE 2024'!J18</f>
        <v>500</v>
      </c>
      <c r="K18" s="10">
        <f>ROUND(J18*12,0)</f>
        <v>6000</v>
      </c>
      <c r="L18" s="10">
        <f>D18</f>
        <v>224529</v>
      </c>
      <c r="M18" s="10">
        <f>E18+K18</f>
        <v>60505</v>
      </c>
      <c r="N18" s="10">
        <f>L18-M18</f>
        <v>164024</v>
      </c>
      <c r="O18" s="10">
        <v>0</v>
      </c>
    </row>
    <row r="19" spans="1:15" x14ac:dyDescent="0.2">
      <c r="A19" s="1">
        <f t="shared" si="0"/>
        <v>19</v>
      </c>
    </row>
    <row r="20" spans="1:15" x14ac:dyDescent="0.2">
      <c r="A20" s="1">
        <f t="shared" si="0"/>
        <v>20</v>
      </c>
      <c r="B20" s="3" t="s">
        <v>168</v>
      </c>
      <c r="C20" t="s">
        <v>96</v>
      </c>
      <c r="D20" s="10">
        <f>'Proposed - YE 2024'!L20</f>
        <v>4827367</v>
      </c>
      <c r="E20" s="10">
        <f>'Proposed - YE 2024'!M20</f>
        <v>730155</v>
      </c>
      <c r="F20" s="10">
        <f>'Proposed - YE 2024'!N20</f>
        <v>4097212</v>
      </c>
      <c r="G20" s="10">
        <f>'Proposed - YE 2024'!O20</f>
        <v>0</v>
      </c>
      <c r="H20" s="28">
        <f>ROUND(F20*$J$87,0)</f>
        <v>6146</v>
      </c>
      <c r="I20" s="28">
        <f>ROUND(F20*$J$91,0)</f>
        <v>6965</v>
      </c>
      <c r="J20" s="10">
        <f>'Proposed - YE 2024'!J20</f>
        <v>14764</v>
      </c>
      <c r="K20" s="10">
        <f>ROUND(J20*12,0)</f>
        <v>177168</v>
      </c>
      <c r="L20" s="10">
        <f>D20</f>
        <v>4827367</v>
      </c>
      <c r="M20" s="10">
        <f>E20+K20</f>
        <v>907323</v>
      </c>
      <c r="N20" s="10">
        <f>L20-M20</f>
        <v>3920044</v>
      </c>
      <c r="O20" s="10">
        <v>0</v>
      </c>
    </row>
    <row r="21" spans="1:15" x14ac:dyDescent="0.2">
      <c r="A21" s="1">
        <f t="shared" si="0"/>
        <v>21</v>
      </c>
    </row>
    <row r="22" spans="1:15" x14ac:dyDescent="0.2">
      <c r="A22" s="1">
        <f t="shared" si="0"/>
        <v>22</v>
      </c>
      <c r="B22" s="3" t="s">
        <v>161</v>
      </c>
      <c r="C22" t="s">
        <v>79</v>
      </c>
      <c r="D22" s="10">
        <f>'Proposed - YE 2024'!L22</f>
        <v>359709</v>
      </c>
      <c r="E22" s="10">
        <f>'Proposed - YE 2024'!M22</f>
        <v>145992</v>
      </c>
      <c r="F22" s="10">
        <f>'Proposed - YE 2024'!N22</f>
        <v>213717</v>
      </c>
      <c r="G22" s="10">
        <f>'Proposed - YE 2024'!O22</f>
        <v>0</v>
      </c>
      <c r="H22" s="28">
        <f>ROUND(F22*$J$90,0)</f>
        <v>1502</v>
      </c>
      <c r="I22" s="28">
        <f>ROUND(F22*$J$91,0)</f>
        <v>363</v>
      </c>
      <c r="J22" s="10">
        <f>'Proposed - YE 2024'!J22</f>
        <v>1199</v>
      </c>
      <c r="K22" s="10">
        <f>ROUND(J22*12,0)</f>
        <v>14388</v>
      </c>
      <c r="L22" s="10">
        <f>D22</f>
        <v>359709</v>
      </c>
      <c r="M22" s="10">
        <f>E22+K22</f>
        <v>160380</v>
      </c>
      <c r="N22" s="10">
        <f>L22-M22</f>
        <v>199329</v>
      </c>
      <c r="O22" s="10">
        <v>0</v>
      </c>
    </row>
    <row r="23" spans="1:15" x14ac:dyDescent="0.2">
      <c r="A23" s="1">
        <f t="shared" si="0"/>
        <v>23</v>
      </c>
    </row>
    <row r="24" spans="1:15" x14ac:dyDescent="0.2">
      <c r="A24" s="1">
        <f t="shared" si="0"/>
        <v>24</v>
      </c>
      <c r="B24" s="3" t="s">
        <v>164</v>
      </c>
      <c r="C24" t="s">
        <v>88</v>
      </c>
      <c r="D24" s="10">
        <f>'Proposed - YE 2024'!L24</f>
        <v>5083982</v>
      </c>
      <c r="E24" s="10">
        <f>'Proposed - YE 2024'!M24</f>
        <v>517035</v>
      </c>
      <c r="F24" s="10">
        <f>'Proposed - YE 2024'!N24</f>
        <v>4566947</v>
      </c>
      <c r="G24" s="10">
        <f>'Proposed - YE 2024'!O24</f>
        <v>0</v>
      </c>
      <c r="H24" s="28">
        <f>ROUND(F24*$J$88,0)</f>
        <v>51241</v>
      </c>
      <c r="I24" s="28">
        <v>0</v>
      </c>
      <c r="J24" s="10">
        <f>'Proposed - YE 2024'!J24</f>
        <v>14362</v>
      </c>
      <c r="K24" s="10">
        <f>ROUND(J24*12,0)</f>
        <v>172344</v>
      </c>
      <c r="L24" s="10">
        <f>D24</f>
        <v>5083982</v>
      </c>
      <c r="M24" s="10">
        <f>E24+K24</f>
        <v>689379</v>
      </c>
      <c r="N24" s="10">
        <f>L24-M24</f>
        <v>4394603</v>
      </c>
      <c r="O24" s="10">
        <v>0</v>
      </c>
    </row>
    <row r="25" spans="1:15" x14ac:dyDescent="0.2">
      <c r="A25" s="1">
        <f t="shared" si="0"/>
        <v>25</v>
      </c>
    </row>
    <row r="26" spans="1:15" x14ac:dyDescent="0.2">
      <c r="A26" s="1">
        <f t="shared" si="0"/>
        <v>26</v>
      </c>
      <c r="B26" s="3" t="s">
        <v>162</v>
      </c>
      <c r="C26" t="s">
        <v>81</v>
      </c>
      <c r="D26" s="10">
        <f>'Proposed - YE 2024'!L26</f>
        <v>325446</v>
      </c>
      <c r="E26" s="10">
        <f>'Proposed - YE 2024'!M26</f>
        <v>75178</v>
      </c>
      <c r="F26" s="10">
        <f>'Proposed - YE 2024'!N26</f>
        <v>250268</v>
      </c>
      <c r="G26" s="10">
        <f>'Proposed - YE 2024'!O26</f>
        <v>0</v>
      </c>
      <c r="H26" s="28">
        <f>ROUND(F26*$J$89,0)</f>
        <v>2161</v>
      </c>
      <c r="I26" s="28">
        <f>ROUND(F26*$J$91,0)</f>
        <v>425</v>
      </c>
      <c r="J26" s="10">
        <f>'Proposed - YE 2024'!J26</f>
        <v>640</v>
      </c>
      <c r="K26" s="10">
        <f>ROUND(J26*12,0)</f>
        <v>7680</v>
      </c>
      <c r="L26" s="10">
        <f>D26</f>
        <v>325446</v>
      </c>
      <c r="M26" s="10">
        <f>E26+K26</f>
        <v>82858</v>
      </c>
      <c r="N26" s="10">
        <f>L26-M26</f>
        <v>242588</v>
      </c>
      <c r="O26" s="10">
        <v>0</v>
      </c>
    </row>
    <row r="27" spans="1:15" x14ac:dyDescent="0.2">
      <c r="A27" s="1">
        <f t="shared" si="0"/>
        <v>27</v>
      </c>
    </row>
    <row r="28" spans="1:15" x14ac:dyDescent="0.2">
      <c r="A28" s="1">
        <f t="shared" si="0"/>
        <v>28</v>
      </c>
      <c r="B28" s="3" t="s">
        <v>163</v>
      </c>
      <c r="C28" t="s">
        <v>87</v>
      </c>
      <c r="D28" s="10">
        <f>'Proposed - YE 2024'!L28</f>
        <v>1285901</v>
      </c>
      <c r="E28" s="10">
        <f>'Proposed - YE 2024'!M28</f>
        <v>40632</v>
      </c>
      <c r="F28" s="10">
        <f>'Proposed - YE 2024'!N28</f>
        <v>1245269</v>
      </c>
      <c r="G28" s="10">
        <f>'Proposed - YE 2024'!O28</f>
        <v>0</v>
      </c>
      <c r="H28" s="53">
        <f>ROUND(F28*$J$87,0)</f>
        <v>1868</v>
      </c>
      <c r="I28" s="28">
        <f>ROUND(F28*$J$91,0)</f>
        <v>2117</v>
      </c>
      <c r="J28" s="48">
        <f>'Proposed - YE 2024'!J28</f>
        <v>3386</v>
      </c>
      <c r="K28" s="10">
        <f>ROUND(J28*12,0)</f>
        <v>40632</v>
      </c>
      <c r="L28" s="10">
        <f>D28</f>
        <v>1285901</v>
      </c>
      <c r="M28" s="10">
        <f>E28+K28</f>
        <v>81264</v>
      </c>
      <c r="N28" s="10">
        <f>L28-M28</f>
        <v>1204637</v>
      </c>
      <c r="O28" s="10">
        <v>0</v>
      </c>
    </row>
    <row r="29" spans="1:15" x14ac:dyDescent="0.2">
      <c r="A29" s="1">
        <f t="shared" si="0"/>
        <v>29</v>
      </c>
    </row>
    <row r="30" spans="1:15" x14ac:dyDescent="0.2">
      <c r="A30" s="1">
        <f t="shared" si="0"/>
        <v>30</v>
      </c>
      <c r="B30" s="3">
        <v>27</v>
      </c>
      <c r="C30" t="s">
        <v>80</v>
      </c>
      <c r="D30" s="10">
        <f>'Proposed - YE 2024'!L30</f>
        <v>23276</v>
      </c>
      <c r="E30" s="10">
        <f>'Proposed - YE 2024'!M30</f>
        <v>6454</v>
      </c>
      <c r="F30" s="10">
        <f>'Proposed - YE 2024'!N30</f>
        <v>16822</v>
      </c>
      <c r="G30" s="10">
        <f>'Proposed - YE 2024'!O30</f>
        <v>0</v>
      </c>
      <c r="H30" s="28">
        <f>ROUND(F30*$J$90,0)</f>
        <v>118</v>
      </c>
      <c r="I30" s="28">
        <f>ROUND(F30*$J$91,0)</f>
        <v>29</v>
      </c>
      <c r="J30" s="10">
        <f>'Proposed - YE 2024'!J30</f>
        <v>62</v>
      </c>
      <c r="K30" s="10">
        <f>ROUND(J30*12,0)</f>
        <v>744</v>
      </c>
      <c r="L30" s="10">
        <f>D30</f>
        <v>23276</v>
      </c>
      <c r="M30" s="10">
        <f>E30+K30</f>
        <v>7198</v>
      </c>
      <c r="N30" s="10">
        <f>L30-M30</f>
        <v>16078</v>
      </c>
      <c r="O30" s="10">
        <v>0</v>
      </c>
    </row>
    <row r="31" spans="1:15" x14ac:dyDescent="0.2">
      <c r="A31" s="1">
        <f t="shared" si="0"/>
        <v>31</v>
      </c>
    </row>
    <row r="32" spans="1:15" x14ac:dyDescent="0.2">
      <c r="A32" s="1">
        <f t="shared" si="0"/>
        <v>32</v>
      </c>
      <c r="B32" s="3">
        <v>28</v>
      </c>
      <c r="C32" t="s">
        <v>82</v>
      </c>
      <c r="D32" s="10">
        <f>'Proposed - YE 2024'!L32</f>
        <v>249045</v>
      </c>
      <c r="E32" s="10">
        <f>'Proposed - YE 2024'!M32</f>
        <v>65228</v>
      </c>
      <c r="F32" s="10">
        <f>'Proposed - YE 2024'!N32</f>
        <v>183817</v>
      </c>
      <c r="G32" s="10">
        <f>'Proposed - YE 2024'!O32</f>
        <v>0</v>
      </c>
      <c r="H32" s="28">
        <f>ROUND(F32*$J$87,0)</f>
        <v>276</v>
      </c>
      <c r="I32" s="28">
        <f>ROUND(F32*$J$91,0)</f>
        <v>312</v>
      </c>
      <c r="J32" s="10">
        <f>'Proposed - YE 2024'!J32</f>
        <v>655</v>
      </c>
      <c r="K32" s="10">
        <f>ROUND(J32*12,0)</f>
        <v>7860</v>
      </c>
      <c r="L32" s="10">
        <f>D32</f>
        <v>249045</v>
      </c>
      <c r="M32" s="10">
        <f>E32+K32</f>
        <v>73088</v>
      </c>
      <c r="N32" s="10">
        <f>L32-M32</f>
        <v>175957</v>
      </c>
      <c r="O32" s="10">
        <v>0</v>
      </c>
    </row>
    <row r="33" spans="1:15" x14ac:dyDescent="0.2">
      <c r="A33" s="1">
        <f t="shared" si="0"/>
        <v>33</v>
      </c>
      <c r="B33" s="3"/>
      <c r="D33" s="10"/>
      <c r="E33" s="10"/>
      <c r="F33" s="10"/>
      <c r="G33" s="10"/>
      <c r="H33" s="28"/>
      <c r="I33" s="28"/>
      <c r="J33" s="10"/>
      <c r="K33" s="10"/>
      <c r="L33" s="10"/>
      <c r="M33" s="10"/>
      <c r="N33" s="10"/>
      <c r="O33" s="10"/>
    </row>
    <row r="34" spans="1:15" x14ac:dyDescent="0.2">
      <c r="A34" s="1">
        <f t="shared" si="0"/>
        <v>34</v>
      </c>
      <c r="B34" s="3">
        <v>29</v>
      </c>
      <c r="C34" t="s">
        <v>83</v>
      </c>
      <c r="D34" s="10">
        <f>'Proposed - YE 2024'!L34</f>
        <v>2002438</v>
      </c>
      <c r="E34" s="10">
        <f>'Proposed - YE 2024'!M34</f>
        <v>63276</v>
      </c>
      <c r="F34" s="10">
        <f>'Proposed - YE 2024'!N34</f>
        <v>1939162</v>
      </c>
      <c r="G34" s="10">
        <f>'Proposed - YE 2024'!O34</f>
        <v>0</v>
      </c>
      <c r="H34" s="53">
        <f>ROUND(F34*$J$87,0)</f>
        <v>2909</v>
      </c>
      <c r="I34" s="28">
        <f>ROUND(F34*$J$91,0)</f>
        <v>3297</v>
      </c>
      <c r="J34" s="48">
        <f>'Proposed - YE 2024'!J34</f>
        <v>5273</v>
      </c>
      <c r="K34" s="10">
        <f>ROUND(J34*12,0)</f>
        <v>63276</v>
      </c>
      <c r="L34" s="10">
        <f>D34</f>
        <v>2002438</v>
      </c>
      <c r="M34" s="10">
        <f>E34+K34</f>
        <v>126552</v>
      </c>
      <c r="N34" s="10">
        <f>L34-M34</f>
        <v>1875886</v>
      </c>
      <c r="O34" s="10">
        <v>0</v>
      </c>
    </row>
    <row r="35" spans="1:15" x14ac:dyDescent="0.2">
      <c r="A35" s="1">
        <f t="shared" si="0"/>
        <v>35</v>
      </c>
      <c r="B35" s="3"/>
      <c r="D35" s="10"/>
      <c r="E35" s="10"/>
      <c r="F35" s="10"/>
      <c r="G35" s="10"/>
      <c r="H35" s="28"/>
      <c r="I35" s="28"/>
      <c r="J35" s="10"/>
      <c r="K35" s="10"/>
      <c r="L35" s="10"/>
      <c r="M35" s="10"/>
      <c r="N35" s="10"/>
      <c r="O35" s="10"/>
    </row>
    <row r="36" spans="1:15" x14ac:dyDescent="0.2">
      <c r="A36" s="1">
        <f t="shared" si="0"/>
        <v>36</v>
      </c>
      <c r="B36" s="3">
        <v>30</v>
      </c>
      <c r="C36" t="s">
        <v>84</v>
      </c>
      <c r="D36" s="10">
        <f>'Proposed - YE 2024'!L36</f>
        <v>342996</v>
      </c>
      <c r="E36" s="10">
        <f>'Proposed - YE 2024'!M36</f>
        <v>35220</v>
      </c>
      <c r="F36" s="10">
        <f>'Proposed - YE 2024'!N36</f>
        <v>307776</v>
      </c>
      <c r="G36" s="10">
        <f>'Proposed - YE 2024'!O36</f>
        <v>0</v>
      </c>
      <c r="H36" s="28">
        <f>ROUND(F36*$J$87,0)</f>
        <v>462</v>
      </c>
      <c r="I36" s="28">
        <f>ROUND(F36*$J$91,0)</f>
        <v>523</v>
      </c>
      <c r="J36" s="10">
        <f>'Proposed - YE 2024'!J36</f>
        <v>903</v>
      </c>
      <c r="K36" s="10">
        <f>ROUND(J36*12,0)</f>
        <v>10836</v>
      </c>
      <c r="L36" s="10">
        <f>D36</f>
        <v>342996</v>
      </c>
      <c r="M36" s="10">
        <f>E36+K36</f>
        <v>46056</v>
      </c>
      <c r="N36" s="10">
        <f>L36-M36</f>
        <v>296940</v>
      </c>
      <c r="O36" s="10">
        <v>0</v>
      </c>
    </row>
    <row r="37" spans="1:15" x14ac:dyDescent="0.2">
      <c r="A37" s="1">
        <f t="shared" si="0"/>
        <v>37</v>
      </c>
      <c r="B37" s="3"/>
      <c r="D37" s="10"/>
      <c r="E37" s="10"/>
      <c r="F37" s="10"/>
      <c r="G37" s="10"/>
      <c r="H37" s="28"/>
      <c r="I37" s="28"/>
      <c r="J37" s="10"/>
      <c r="K37" s="10"/>
      <c r="L37" s="10"/>
      <c r="M37" s="10"/>
      <c r="N37" s="10"/>
      <c r="O37" s="10"/>
    </row>
    <row r="38" spans="1:15" x14ac:dyDescent="0.2">
      <c r="A38" s="1">
        <f t="shared" si="0"/>
        <v>38</v>
      </c>
      <c r="B38" s="3">
        <v>31</v>
      </c>
      <c r="C38" t="s">
        <v>85</v>
      </c>
      <c r="D38" s="10">
        <f>'Proposed - YE 2024'!L38</f>
        <v>2646723</v>
      </c>
      <c r="E38" s="10">
        <f>'Proposed - YE 2024'!M38</f>
        <v>435504</v>
      </c>
      <c r="F38" s="10">
        <f>'Proposed - YE 2024'!N38</f>
        <v>2211219</v>
      </c>
      <c r="G38" s="10">
        <f>'Proposed - YE 2024'!O38</f>
        <v>0</v>
      </c>
      <c r="H38" s="28">
        <f>ROUND(F38*$J$87,0)</f>
        <v>3317</v>
      </c>
      <c r="I38" s="28">
        <f>ROUND(F38*$J$91,0)</f>
        <v>3759</v>
      </c>
      <c r="J38" s="10">
        <f>'Proposed - YE 2024'!J38</f>
        <v>6925</v>
      </c>
      <c r="K38" s="10">
        <f>ROUND(J38*12,0)</f>
        <v>83100</v>
      </c>
      <c r="L38" s="10">
        <f>D38</f>
        <v>2646723</v>
      </c>
      <c r="M38" s="10">
        <f>E38+K38</f>
        <v>518604</v>
      </c>
      <c r="N38" s="10">
        <f>L38-M38</f>
        <v>2128119</v>
      </c>
      <c r="O38" s="10">
        <v>0</v>
      </c>
    </row>
    <row r="39" spans="1:15" x14ac:dyDescent="0.2">
      <c r="A39" s="1">
        <f t="shared" si="0"/>
        <v>39</v>
      </c>
      <c r="B39" s="3"/>
      <c r="D39" s="10"/>
      <c r="E39" s="10"/>
      <c r="F39" s="10"/>
      <c r="G39" s="10"/>
      <c r="H39" s="28"/>
      <c r="I39" s="28"/>
      <c r="J39" s="10"/>
      <c r="K39" s="10"/>
      <c r="L39" s="10"/>
      <c r="M39" s="10"/>
      <c r="N39" s="10"/>
      <c r="O39" s="10"/>
    </row>
    <row r="40" spans="1:15" x14ac:dyDescent="0.2">
      <c r="A40" s="1">
        <f t="shared" si="0"/>
        <v>40</v>
      </c>
      <c r="B40" s="3">
        <v>32</v>
      </c>
      <c r="C40" t="s">
        <v>86</v>
      </c>
      <c r="D40" s="10">
        <f>'Proposed - YE 2024'!L40</f>
        <v>953827</v>
      </c>
      <c r="E40" s="10">
        <f>'Proposed - YE 2024'!M40</f>
        <v>165591</v>
      </c>
      <c r="F40" s="10">
        <f>'Proposed - YE 2024'!N40</f>
        <v>788236</v>
      </c>
      <c r="G40" s="10">
        <f>'Proposed - YE 2024'!O40</f>
        <v>0</v>
      </c>
      <c r="H40" s="28">
        <f>ROUND(F40*$J$87,0)</f>
        <v>1182</v>
      </c>
      <c r="I40" s="28">
        <f>ROUND(F40*$J$91,0)</f>
        <v>1340</v>
      </c>
      <c r="J40" s="10">
        <f>'Proposed - YE 2024'!J40</f>
        <v>2528</v>
      </c>
      <c r="K40" s="10">
        <f>ROUND(J40*12,0)</f>
        <v>30336</v>
      </c>
      <c r="L40" s="10">
        <f>D40</f>
        <v>953827</v>
      </c>
      <c r="M40" s="10">
        <f>E40+K40</f>
        <v>195927</v>
      </c>
      <c r="N40" s="10">
        <f>L40-M40</f>
        <v>757900</v>
      </c>
      <c r="O40" s="10">
        <v>0</v>
      </c>
    </row>
    <row r="41" spans="1:15" x14ac:dyDescent="0.2">
      <c r="A41" s="1">
        <f t="shared" si="0"/>
        <v>41</v>
      </c>
    </row>
    <row r="42" spans="1:15" x14ac:dyDescent="0.2">
      <c r="A42" s="1">
        <f t="shared" si="0"/>
        <v>42</v>
      </c>
      <c r="B42" s="3">
        <v>33</v>
      </c>
      <c r="C42" t="s">
        <v>89</v>
      </c>
      <c r="D42" s="10">
        <f>'Proposed - YE 2024'!L42</f>
        <v>342448</v>
      </c>
      <c r="E42" s="10">
        <f>'Proposed - YE 2024'!M42</f>
        <v>10752</v>
      </c>
      <c r="F42" s="10">
        <f>'Proposed - YE 2024'!N42</f>
        <v>331696</v>
      </c>
      <c r="G42" s="10">
        <f>'Proposed - YE 2024'!O42</f>
        <v>0</v>
      </c>
      <c r="H42" s="53">
        <f>ROUND(F42*$J$87,0)</f>
        <v>498</v>
      </c>
      <c r="I42" s="28">
        <f>ROUND(F42*$J$91,0)</f>
        <v>564</v>
      </c>
      <c r="J42" s="48">
        <f>'Proposed - YE 2024'!J42</f>
        <v>896</v>
      </c>
      <c r="K42" s="10">
        <f>ROUND(J42*12,0)</f>
        <v>10752</v>
      </c>
      <c r="L42" s="10">
        <f>D42</f>
        <v>342448</v>
      </c>
      <c r="M42" s="10">
        <f>E42+K42</f>
        <v>21504</v>
      </c>
      <c r="N42" s="10">
        <f>L42-M42</f>
        <v>320944</v>
      </c>
      <c r="O42" s="10">
        <v>0</v>
      </c>
    </row>
    <row r="43" spans="1:15" x14ac:dyDescent="0.2">
      <c r="A43" s="1">
        <f t="shared" si="0"/>
        <v>43</v>
      </c>
      <c r="B43" s="3"/>
      <c r="D43" s="10"/>
      <c r="E43" s="10"/>
      <c r="F43" s="10"/>
      <c r="G43" s="10"/>
      <c r="H43" s="28"/>
      <c r="I43" s="28"/>
      <c r="J43" s="10"/>
      <c r="K43" s="10"/>
      <c r="L43" s="10"/>
      <c r="M43" s="10"/>
      <c r="N43" s="10"/>
      <c r="O43" s="10"/>
    </row>
    <row r="44" spans="1:15" x14ac:dyDescent="0.2">
      <c r="A44" s="1">
        <f t="shared" si="0"/>
        <v>44</v>
      </c>
      <c r="B44" s="3">
        <v>34</v>
      </c>
      <c r="C44" t="s">
        <v>90</v>
      </c>
      <c r="D44" s="10">
        <f>'Proposed - YE 2024'!L44</f>
        <v>127547</v>
      </c>
      <c r="E44" s="10">
        <f>'Proposed - YE 2024'!M44</f>
        <v>30415</v>
      </c>
      <c r="F44" s="10">
        <f>'Proposed - YE 2024'!N44</f>
        <v>97132</v>
      </c>
      <c r="G44" s="10">
        <f>'Proposed - YE 2024'!O44</f>
        <v>0</v>
      </c>
      <c r="H44" s="28">
        <f>ROUND(F44*$J$87,0)</f>
        <v>146</v>
      </c>
      <c r="I44" s="28">
        <f>ROUND(F44*$J$91,0)</f>
        <v>165</v>
      </c>
      <c r="J44" s="10">
        <f>'Proposed - YE 2024'!J44</f>
        <v>334</v>
      </c>
      <c r="K44" s="10">
        <f>ROUND(J44*12,0)</f>
        <v>4008</v>
      </c>
      <c r="L44" s="10">
        <f>D44</f>
        <v>127547</v>
      </c>
      <c r="M44" s="10">
        <f>E44+K44</f>
        <v>34423</v>
      </c>
      <c r="N44" s="10">
        <f>L44-M44</f>
        <v>93124</v>
      </c>
      <c r="O44" s="10">
        <v>0</v>
      </c>
    </row>
    <row r="45" spans="1:15" x14ac:dyDescent="0.2">
      <c r="A45" s="1">
        <f t="shared" si="0"/>
        <v>45</v>
      </c>
      <c r="B45" s="3"/>
      <c r="D45" s="10"/>
      <c r="E45" s="10"/>
      <c r="F45" s="10"/>
      <c r="G45" s="10"/>
      <c r="H45" s="28"/>
      <c r="I45" s="28"/>
      <c r="J45" s="10"/>
      <c r="K45" s="10"/>
      <c r="L45" s="10"/>
      <c r="M45" s="10"/>
      <c r="N45" s="10"/>
      <c r="O45" s="10"/>
    </row>
    <row r="46" spans="1:15" x14ac:dyDescent="0.2">
      <c r="A46" s="1">
        <f t="shared" si="0"/>
        <v>46</v>
      </c>
      <c r="B46" s="3">
        <v>34</v>
      </c>
      <c r="C46" t="s">
        <v>91</v>
      </c>
      <c r="D46" s="10">
        <f>'Proposed - YE 2024'!L46</f>
        <v>99165</v>
      </c>
      <c r="E46" s="10">
        <f>'Proposed - YE 2024'!M46</f>
        <v>21008</v>
      </c>
      <c r="F46" s="10">
        <f>'Proposed - YE 2024'!N46</f>
        <v>78157</v>
      </c>
      <c r="G46" s="10">
        <f>'Proposed - YE 2024'!O46</f>
        <v>0</v>
      </c>
      <c r="H46" s="28">
        <f>ROUND(F46*$J$87,0)</f>
        <v>117</v>
      </c>
      <c r="I46" s="28">
        <f>ROUND(F46*$J$91,0)</f>
        <v>133</v>
      </c>
      <c r="J46" s="10">
        <f>'Proposed - YE 2024'!J46</f>
        <v>303</v>
      </c>
      <c r="K46" s="10">
        <f>ROUND(J46*12,0)</f>
        <v>3636</v>
      </c>
      <c r="L46" s="10">
        <f>D46</f>
        <v>99165</v>
      </c>
      <c r="M46" s="10">
        <f>E46+K46</f>
        <v>24644</v>
      </c>
      <c r="N46" s="10">
        <f>L46-M46</f>
        <v>74521</v>
      </c>
      <c r="O46" s="10">
        <v>0</v>
      </c>
    </row>
    <row r="47" spans="1:15" x14ac:dyDescent="0.2">
      <c r="A47" s="1">
        <f t="shared" si="0"/>
        <v>47</v>
      </c>
      <c r="B47" s="3"/>
      <c r="D47" s="10"/>
      <c r="E47" s="10"/>
      <c r="F47" s="10"/>
      <c r="G47" s="10"/>
      <c r="H47" s="28"/>
      <c r="I47" s="28"/>
      <c r="J47" s="10"/>
      <c r="K47" s="10"/>
      <c r="L47" s="10"/>
      <c r="M47" s="10"/>
      <c r="N47" s="10"/>
      <c r="O47" s="10"/>
    </row>
    <row r="48" spans="1:15" x14ac:dyDescent="0.2">
      <c r="A48" s="1">
        <f t="shared" si="0"/>
        <v>48</v>
      </c>
      <c r="B48" s="3">
        <v>35</v>
      </c>
      <c r="C48" t="s">
        <v>92</v>
      </c>
      <c r="D48" s="10">
        <f>'Proposed - YE 2024'!L48</f>
        <v>397833</v>
      </c>
      <c r="E48" s="10">
        <f>'Proposed - YE 2024'!M48</f>
        <v>96164</v>
      </c>
      <c r="F48" s="10">
        <f>'Proposed - YE 2024'!N48</f>
        <v>301669</v>
      </c>
      <c r="G48" s="10">
        <f>'Proposed - YE 2024'!O48</f>
        <v>0</v>
      </c>
      <c r="H48" s="28">
        <f>ROUND(F48*$J$87,0)</f>
        <v>453</v>
      </c>
      <c r="I48" s="28">
        <f>ROUND(F48*$J$91,0)</f>
        <v>513</v>
      </c>
      <c r="J48" s="10">
        <f>'Proposed - YE 2024'!J48</f>
        <v>875</v>
      </c>
      <c r="K48" s="10">
        <f>ROUND(J48*12,0)</f>
        <v>10500</v>
      </c>
      <c r="L48" s="10">
        <f>D48</f>
        <v>397833</v>
      </c>
      <c r="M48" s="10">
        <f>E48+K48</f>
        <v>106664</v>
      </c>
      <c r="N48" s="10">
        <f>L48-M48</f>
        <v>291169</v>
      </c>
      <c r="O48" s="10">
        <v>0</v>
      </c>
    </row>
    <row r="49" spans="1:15" x14ac:dyDescent="0.2">
      <c r="A49" s="1">
        <f t="shared" si="0"/>
        <v>49</v>
      </c>
    </row>
    <row r="50" spans="1:15" x14ac:dyDescent="0.2">
      <c r="A50" s="1">
        <f t="shared" si="0"/>
        <v>50</v>
      </c>
      <c r="B50" s="3">
        <v>36</v>
      </c>
      <c r="C50" t="s">
        <v>97</v>
      </c>
      <c r="D50" s="10">
        <f>'Proposed - YE 2024'!L50</f>
        <v>700000</v>
      </c>
      <c r="E50" s="10">
        <f>'Proposed - YE 2024'!M50</f>
        <v>21984</v>
      </c>
      <c r="F50" s="10">
        <f>'Proposed - YE 2024'!N50</f>
        <v>678016</v>
      </c>
      <c r="G50" s="10">
        <f>'Proposed - YE 2024'!O50</f>
        <v>0</v>
      </c>
      <c r="H50" s="53">
        <f>ROUND(F50*$J$87,0)</f>
        <v>1017</v>
      </c>
      <c r="I50" s="28">
        <f>ROUND(F50*$J$91,0)</f>
        <v>1153</v>
      </c>
      <c r="J50" s="48">
        <f>'Proposed - YE 2024'!J50</f>
        <v>1832</v>
      </c>
      <c r="K50" s="10">
        <f>ROUND(J50*12,0)</f>
        <v>21984</v>
      </c>
      <c r="L50" s="10">
        <f>D50</f>
        <v>700000</v>
      </c>
      <c r="M50" s="10">
        <f>E50+K50</f>
        <v>43968</v>
      </c>
      <c r="N50" s="10">
        <f>L50-M50</f>
        <v>656032</v>
      </c>
      <c r="O50" s="10">
        <v>0</v>
      </c>
    </row>
    <row r="51" spans="1:15" x14ac:dyDescent="0.2">
      <c r="A51" s="1">
        <f t="shared" si="0"/>
        <v>51</v>
      </c>
      <c r="B51" s="3"/>
      <c r="D51" s="10"/>
      <c r="E51" s="10"/>
      <c r="F51" s="10"/>
      <c r="G51" s="10"/>
      <c r="H51" s="28"/>
      <c r="I51" s="28"/>
      <c r="J51" s="10"/>
      <c r="K51" s="10"/>
      <c r="L51" s="10"/>
      <c r="M51" s="10"/>
      <c r="N51" s="10"/>
      <c r="O51" s="10"/>
    </row>
    <row r="52" spans="1:15" x14ac:dyDescent="0.2">
      <c r="A52" s="1">
        <f t="shared" si="0"/>
        <v>52</v>
      </c>
      <c r="B52" s="3">
        <v>37</v>
      </c>
      <c r="C52" t="s">
        <v>98</v>
      </c>
      <c r="D52" s="10">
        <f>'Proposed - YE 2024'!L52</f>
        <v>269289</v>
      </c>
      <c r="E52" s="10">
        <f>'Proposed - YE 2024'!M52</f>
        <v>8460</v>
      </c>
      <c r="F52" s="10">
        <f>'Proposed - YE 2024'!N52</f>
        <v>260829</v>
      </c>
      <c r="G52" s="10">
        <f>'Proposed - YE 2024'!O52</f>
        <v>0</v>
      </c>
      <c r="H52" s="53">
        <f>ROUND(F52*$J$87,0)</f>
        <v>391</v>
      </c>
      <c r="I52" s="28">
        <f>ROUND(F52*$J$91,0)</f>
        <v>443</v>
      </c>
      <c r="J52" s="48">
        <f>'Proposed - YE 2024'!J52</f>
        <v>705</v>
      </c>
      <c r="K52" s="10">
        <f>ROUND(J52*12,0)</f>
        <v>8460</v>
      </c>
      <c r="L52" s="10">
        <f>D52</f>
        <v>269289</v>
      </c>
      <c r="M52" s="10">
        <f>E52+K52</f>
        <v>16920</v>
      </c>
      <c r="N52" s="10">
        <f>L52-M52</f>
        <v>252369</v>
      </c>
      <c r="O52" s="10">
        <v>0</v>
      </c>
    </row>
    <row r="53" spans="1:15" x14ac:dyDescent="0.2">
      <c r="A53" s="1">
        <f t="shared" si="0"/>
        <v>53</v>
      </c>
      <c r="B53" s="3"/>
      <c r="D53" s="10"/>
      <c r="E53" s="10"/>
      <c r="F53" s="10"/>
      <c r="G53" s="10"/>
      <c r="H53" s="28"/>
      <c r="I53" s="28"/>
      <c r="J53" s="10"/>
      <c r="K53" s="10"/>
      <c r="L53" s="10"/>
      <c r="M53" s="10"/>
      <c r="N53" s="10"/>
      <c r="O53" s="10"/>
    </row>
    <row r="54" spans="1:15" x14ac:dyDescent="0.2">
      <c r="A54" s="1">
        <f t="shared" si="0"/>
        <v>54</v>
      </c>
      <c r="B54" s="3">
        <v>38</v>
      </c>
      <c r="C54" t="s">
        <v>99</v>
      </c>
      <c r="D54" s="28">
        <f>'Proposed - YE 2024'!L54</f>
        <v>2097196</v>
      </c>
      <c r="E54" s="28">
        <f>'Proposed - YE 2024'!M54</f>
        <v>231069</v>
      </c>
      <c r="F54" s="28">
        <f>'Proposed - YE 2024'!N54</f>
        <v>1866127</v>
      </c>
      <c r="G54" s="28">
        <f>'Proposed - YE 2024'!O54</f>
        <v>0</v>
      </c>
      <c r="H54" s="28">
        <f>ROUND(F54*$J$88,0)</f>
        <v>20938</v>
      </c>
      <c r="I54" s="28">
        <f>ROUND(F54*$J$91,0)</f>
        <v>3172</v>
      </c>
      <c r="J54" s="28">
        <f>'Proposed - YE 2024'!J54</f>
        <v>5925</v>
      </c>
      <c r="K54" s="28">
        <f>ROUND(J54*12,0)</f>
        <v>71100</v>
      </c>
      <c r="L54" s="28">
        <f>D54</f>
        <v>2097196</v>
      </c>
      <c r="M54" s="28">
        <f>E54+K54</f>
        <v>302169</v>
      </c>
      <c r="N54" s="28">
        <f>L54-M54</f>
        <v>1795027</v>
      </c>
      <c r="O54" s="28">
        <v>0</v>
      </c>
    </row>
    <row r="55" spans="1:15" x14ac:dyDescent="0.2">
      <c r="A55" s="1">
        <f t="shared" si="0"/>
        <v>55</v>
      </c>
      <c r="B55" s="3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x14ac:dyDescent="0.2">
      <c r="A56" s="1">
        <f t="shared" si="0"/>
        <v>56</v>
      </c>
      <c r="B56" s="3">
        <v>39</v>
      </c>
      <c r="C56" t="s">
        <v>157</v>
      </c>
      <c r="D56" s="15">
        <f>'Proposed - YE 2024'!L56</f>
        <v>10997198</v>
      </c>
      <c r="E56" s="15">
        <f>'Proposed - YE 2024'!M56</f>
        <v>805922</v>
      </c>
      <c r="F56" s="15">
        <f>'Proposed - YE 2024'!N56</f>
        <v>10191276</v>
      </c>
      <c r="G56" s="15">
        <f>'Proposed - YE 2024'!O56</f>
        <v>0</v>
      </c>
      <c r="H56" s="15">
        <f>ROUND(F56*$J$88,0)</f>
        <v>114346</v>
      </c>
      <c r="I56" s="15">
        <v>0</v>
      </c>
      <c r="J56" s="15">
        <f>'Proposed - YE 2024'!J56</f>
        <v>31067</v>
      </c>
      <c r="K56" s="15">
        <f>ROUND(J56*12,0)</f>
        <v>372804</v>
      </c>
      <c r="L56" s="15">
        <f>D56</f>
        <v>10997198</v>
      </c>
      <c r="M56" s="15">
        <f>E56+K56</f>
        <v>1178726</v>
      </c>
      <c r="N56" s="15">
        <f>L56-M56</f>
        <v>9818472</v>
      </c>
      <c r="O56" s="15">
        <v>0</v>
      </c>
    </row>
    <row r="57" spans="1:15" x14ac:dyDescent="0.2">
      <c r="A57" s="1">
        <f t="shared" si="0"/>
        <v>57</v>
      </c>
      <c r="B57" s="3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x14ac:dyDescent="0.2">
      <c r="A58" s="1">
        <f t="shared" si="0"/>
        <v>58</v>
      </c>
      <c r="B58" s="3"/>
      <c r="C58" t="s">
        <v>155</v>
      </c>
      <c r="D58" s="28">
        <f>SUM(D14:D56)</f>
        <v>38983137</v>
      </c>
      <c r="E58" s="28">
        <f>SUM(E14:E56)</f>
        <v>4505393</v>
      </c>
      <c r="F58" s="28">
        <f>D58-E58</f>
        <v>34477744</v>
      </c>
      <c r="G58" s="28">
        <f t="shared" ref="G58:O58" si="1">SUM(G14:G56)</f>
        <v>0</v>
      </c>
      <c r="H58" s="28">
        <f t="shared" si="1"/>
        <v>216366</v>
      </c>
      <c r="I58" s="28">
        <f t="shared" si="1"/>
        <v>33522</v>
      </c>
      <c r="J58" s="28">
        <f t="shared" si="1"/>
        <v>108744</v>
      </c>
      <c r="K58" s="28">
        <f t="shared" si="1"/>
        <v>1304928</v>
      </c>
      <c r="L58" s="28">
        <f t="shared" si="1"/>
        <v>38983137</v>
      </c>
      <c r="M58" s="28">
        <f t="shared" si="1"/>
        <v>5810321</v>
      </c>
      <c r="N58" s="28">
        <f t="shared" si="1"/>
        <v>33172816</v>
      </c>
      <c r="O58" s="28">
        <f t="shared" si="1"/>
        <v>0</v>
      </c>
    </row>
    <row r="59" spans="1:15" x14ac:dyDescent="0.2">
      <c r="A59" s="1">
        <f t="shared" si="0"/>
        <v>59</v>
      </c>
      <c r="B59" s="3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x14ac:dyDescent="0.2">
      <c r="A60" s="1">
        <f t="shared" si="0"/>
        <v>60</v>
      </c>
      <c r="B60" s="3">
        <v>40</v>
      </c>
      <c r="C60" t="s">
        <v>156</v>
      </c>
      <c r="D60" s="15">
        <f>'Proposed - YE 2024'!L60</f>
        <v>4979252</v>
      </c>
      <c r="E60" s="15">
        <f>'Proposed - YE 2024'!M60</f>
        <v>225056</v>
      </c>
      <c r="F60" s="15">
        <f>'Proposed - YE 2024'!N60</f>
        <v>4754196</v>
      </c>
      <c r="G60" s="15">
        <f>'Proposed - YE 2024'!O60</f>
        <v>0</v>
      </c>
      <c r="H60" s="15">
        <f>ROUND(F60*$J$88,0)</f>
        <v>53342</v>
      </c>
      <c r="I60" s="15">
        <v>0</v>
      </c>
      <c r="J60" s="15">
        <f>'Proposed - YE 2024'!J60</f>
        <v>14066</v>
      </c>
      <c r="K60" s="15">
        <f>ROUND(J60*12,0)</f>
        <v>168792</v>
      </c>
      <c r="L60" s="15">
        <f>D60</f>
        <v>4979252</v>
      </c>
      <c r="M60" s="15">
        <f>E60+K60</f>
        <v>393848</v>
      </c>
      <c r="N60" s="15">
        <f>L60-M60</f>
        <v>4585404</v>
      </c>
      <c r="O60" s="15">
        <v>0</v>
      </c>
    </row>
    <row r="61" spans="1:15" x14ac:dyDescent="0.2">
      <c r="A61" s="1">
        <f t="shared" si="0"/>
        <v>61</v>
      </c>
      <c r="B61" s="3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 ht="15" thickBot="1" x14ac:dyDescent="0.25">
      <c r="A62" s="1">
        <f t="shared" si="0"/>
        <v>62</v>
      </c>
      <c r="B62" s="3"/>
      <c r="C62" t="s">
        <v>100</v>
      </c>
      <c r="D62" s="16">
        <f>D58+D60</f>
        <v>43962389</v>
      </c>
      <c r="E62" s="16">
        <f t="shared" ref="E62:O62" si="2">E58+E60</f>
        <v>4730449</v>
      </c>
      <c r="F62" s="16">
        <f t="shared" si="2"/>
        <v>39231940</v>
      </c>
      <c r="G62" s="16">
        <f t="shared" si="2"/>
        <v>0</v>
      </c>
      <c r="H62" s="16">
        <f t="shared" si="2"/>
        <v>269708</v>
      </c>
      <c r="I62" s="16">
        <f t="shared" si="2"/>
        <v>33522</v>
      </c>
      <c r="J62" s="16">
        <f t="shared" si="2"/>
        <v>122810</v>
      </c>
      <c r="K62" s="16">
        <f t="shared" si="2"/>
        <v>1473720</v>
      </c>
      <c r="L62" s="16">
        <f t="shared" si="2"/>
        <v>43962389</v>
      </c>
      <c r="M62" s="16">
        <f t="shared" si="2"/>
        <v>6204169</v>
      </c>
      <c r="N62" s="16">
        <f t="shared" si="2"/>
        <v>37758220</v>
      </c>
      <c r="O62" s="16">
        <f t="shared" si="2"/>
        <v>0</v>
      </c>
    </row>
    <row r="63" spans="1:15" ht="15" thickTop="1" x14ac:dyDescent="0.2">
      <c r="A63" s="1">
        <f t="shared" si="0"/>
        <v>63</v>
      </c>
      <c r="B63" s="3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x14ac:dyDescent="0.2">
      <c r="A64" s="1">
        <f t="shared" si="0"/>
        <v>64</v>
      </c>
      <c r="B64" s="17" t="s">
        <v>46</v>
      </c>
      <c r="D64" s="10"/>
      <c r="E64" s="10"/>
      <c r="F64" s="10"/>
      <c r="G64" s="10"/>
      <c r="H64" s="32" t="s">
        <v>109</v>
      </c>
      <c r="I64" s="10"/>
      <c r="J64" s="10"/>
      <c r="K64" s="10"/>
      <c r="L64" s="10"/>
      <c r="M64" s="10"/>
      <c r="N64" s="10"/>
      <c r="O64" s="10"/>
    </row>
    <row r="65" spans="1:15" x14ac:dyDescent="0.2">
      <c r="A65" s="1">
        <f t="shared" si="0"/>
        <v>65</v>
      </c>
      <c r="B65" s="3"/>
      <c r="C65" t="s">
        <v>22</v>
      </c>
      <c r="D65" s="10">
        <f>L62</f>
        <v>43962389</v>
      </c>
      <c r="E65" s="10"/>
      <c r="F65" s="10"/>
      <c r="G65" s="10"/>
      <c r="H65" s="3" t="s">
        <v>167</v>
      </c>
      <c r="I65" t="s">
        <v>95</v>
      </c>
      <c r="J65" s="10"/>
      <c r="K65" s="10"/>
      <c r="L65" s="10"/>
      <c r="M65" s="10">
        <v>20000</v>
      </c>
      <c r="N65" s="10"/>
      <c r="O65" s="10"/>
    </row>
    <row r="66" spans="1:15" x14ac:dyDescent="0.2">
      <c r="A66" s="1">
        <f t="shared" si="0"/>
        <v>66</v>
      </c>
      <c r="B66" s="3"/>
      <c r="C66" t="s">
        <v>6</v>
      </c>
      <c r="D66" s="15">
        <f>O62</f>
        <v>0</v>
      </c>
      <c r="E66" s="10"/>
      <c r="F66" s="10"/>
      <c r="G66" s="10"/>
      <c r="H66" s="3" t="s">
        <v>165</v>
      </c>
      <c r="I66" t="s">
        <v>93</v>
      </c>
      <c r="J66" s="10"/>
      <c r="K66" s="10"/>
      <c r="L66" s="10"/>
      <c r="M66" s="10">
        <v>18000</v>
      </c>
      <c r="N66" s="10"/>
      <c r="O66" s="10"/>
    </row>
    <row r="67" spans="1:15" x14ac:dyDescent="0.2">
      <c r="A67" s="1">
        <f t="shared" si="0"/>
        <v>67</v>
      </c>
      <c r="B67" s="3"/>
      <c r="C67" t="s">
        <v>23</v>
      </c>
      <c r="D67" s="10">
        <f>D65+D66</f>
        <v>43962389</v>
      </c>
      <c r="E67" s="10"/>
      <c r="F67" s="10"/>
      <c r="G67" s="10"/>
      <c r="H67" s="3" t="s">
        <v>166</v>
      </c>
      <c r="I67" t="s">
        <v>94</v>
      </c>
      <c r="J67" s="10"/>
      <c r="K67" s="10"/>
      <c r="L67" s="10"/>
      <c r="M67" s="10">
        <v>25000</v>
      </c>
      <c r="N67" s="10"/>
      <c r="O67" s="10"/>
    </row>
    <row r="68" spans="1:15" x14ac:dyDescent="0.2">
      <c r="A68" s="1">
        <f t="shared" si="0"/>
        <v>68</v>
      </c>
      <c r="B68" s="3"/>
      <c r="C68" t="s">
        <v>24</v>
      </c>
      <c r="D68" s="10"/>
      <c r="E68" s="10"/>
      <c r="F68" s="10"/>
      <c r="G68" s="10"/>
      <c r="H68" s="3" t="s">
        <v>168</v>
      </c>
      <c r="I68" t="s">
        <v>96</v>
      </c>
      <c r="J68" s="10"/>
      <c r="K68" s="10"/>
      <c r="L68" s="10"/>
      <c r="M68" s="28">
        <v>20000</v>
      </c>
      <c r="N68" s="10"/>
      <c r="O68" s="10"/>
    </row>
    <row r="69" spans="1:15" x14ac:dyDescent="0.2">
      <c r="A69" s="1">
        <f t="shared" si="0"/>
        <v>69</v>
      </c>
      <c r="C69" t="s">
        <v>25</v>
      </c>
      <c r="D69" s="28">
        <f>ROUND(D75*0.125,0)</f>
        <v>94295</v>
      </c>
      <c r="E69" s="10" t="s">
        <v>108</v>
      </c>
      <c r="F69" s="10"/>
      <c r="G69" s="10"/>
      <c r="H69" s="3" t="s">
        <v>164</v>
      </c>
      <c r="I69" t="s">
        <v>88</v>
      </c>
      <c r="J69" s="10"/>
      <c r="K69" s="10"/>
      <c r="L69" s="10"/>
      <c r="M69" s="10">
        <v>217000</v>
      </c>
      <c r="N69" s="10"/>
      <c r="O69" s="10"/>
    </row>
    <row r="70" spans="1:15" x14ac:dyDescent="0.2">
      <c r="A70" s="1">
        <f t="shared" si="0"/>
        <v>70</v>
      </c>
      <c r="C70" t="s">
        <v>26</v>
      </c>
      <c r="D70" s="28"/>
      <c r="E70" s="10"/>
      <c r="F70" s="10"/>
      <c r="G70" s="10"/>
      <c r="H70" s="3" t="s">
        <v>162</v>
      </c>
      <c r="I70" t="s">
        <v>81</v>
      </c>
      <c r="J70" s="10"/>
      <c r="K70" s="10"/>
      <c r="L70" s="10"/>
      <c r="M70" s="10">
        <v>34500</v>
      </c>
      <c r="N70" s="10"/>
      <c r="O70" s="10"/>
    </row>
    <row r="71" spans="1:15" x14ac:dyDescent="0.2">
      <c r="A71" s="1">
        <f t="shared" si="0"/>
        <v>71</v>
      </c>
      <c r="C71" t="s">
        <v>27</v>
      </c>
      <c r="D71" s="15">
        <f>M62</f>
        <v>6204169</v>
      </c>
      <c r="E71" s="10"/>
      <c r="F71" s="10"/>
      <c r="G71" s="10"/>
      <c r="H71" s="3" t="s">
        <v>163</v>
      </c>
      <c r="I71" t="s">
        <v>87</v>
      </c>
      <c r="J71" s="10"/>
      <c r="K71" s="10"/>
      <c r="L71" s="10"/>
      <c r="M71" s="10">
        <v>102030</v>
      </c>
      <c r="N71" s="10"/>
      <c r="O71" s="10"/>
    </row>
    <row r="72" spans="1:15" ht="15" thickBot="1" x14ac:dyDescent="0.25">
      <c r="A72" s="1">
        <f t="shared" si="0"/>
        <v>72</v>
      </c>
      <c r="C72" t="s">
        <v>28</v>
      </c>
      <c r="D72" s="18">
        <f>D67+D69-D71</f>
        <v>37852515</v>
      </c>
      <c r="E72" s="10"/>
      <c r="F72" s="10"/>
      <c r="G72" s="10"/>
      <c r="H72" s="3">
        <v>27</v>
      </c>
      <c r="I72" t="s">
        <v>80</v>
      </c>
      <c r="J72" s="10"/>
      <c r="K72" s="10"/>
      <c r="L72" s="10"/>
      <c r="M72" s="10">
        <v>23550</v>
      </c>
      <c r="N72" s="10"/>
      <c r="O72" s="10"/>
    </row>
    <row r="73" spans="1:15" ht="15" thickTop="1" x14ac:dyDescent="0.2">
      <c r="A73" s="1">
        <f t="shared" si="0"/>
        <v>73</v>
      </c>
      <c r="D73" s="10"/>
      <c r="E73" s="10"/>
      <c r="F73" s="10"/>
      <c r="G73" s="10"/>
      <c r="H73" s="3">
        <v>28</v>
      </c>
      <c r="I73" t="s">
        <v>82</v>
      </c>
      <c r="J73" s="10"/>
      <c r="K73" s="10"/>
      <c r="L73" s="10"/>
      <c r="M73" s="10">
        <v>125150</v>
      </c>
      <c r="N73" s="10"/>
      <c r="O73" s="10"/>
    </row>
    <row r="74" spans="1:15" x14ac:dyDescent="0.2">
      <c r="A74" s="1">
        <f t="shared" ref="A74:A135" si="3">A73+1</f>
        <v>74</v>
      </c>
      <c r="B74" s="4" t="s">
        <v>47</v>
      </c>
      <c r="D74" s="10"/>
      <c r="E74" s="10"/>
      <c r="F74" s="10"/>
      <c r="G74" s="10"/>
      <c r="H74" s="3">
        <v>30</v>
      </c>
      <c r="I74" t="s">
        <v>84</v>
      </c>
      <c r="J74" s="10"/>
      <c r="K74" s="10"/>
      <c r="L74" s="10"/>
      <c r="M74" s="10">
        <v>5000</v>
      </c>
      <c r="N74" s="10"/>
      <c r="O74" s="10"/>
    </row>
    <row r="75" spans="1:15" x14ac:dyDescent="0.2">
      <c r="A75" s="1">
        <f t="shared" si="3"/>
        <v>75</v>
      </c>
      <c r="C75" t="s">
        <v>29</v>
      </c>
      <c r="D75" s="10">
        <f>M84</f>
        <v>754357</v>
      </c>
      <c r="E75" s="10"/>
      <c r="F75" s="10"/>
      <c r="G75" s="10"/>
      <c r="H75" s="3">
        <v>31</v>
      </c>
      <c r="I75" t="s">
        <v>85</v>
      </c>
      <c r="J75" s="10"/>
      <c r="K75" s="10"/>
      <c r="L75" s="10"/>
      <c r="M75" s="10">
        <v>15039</v>
      </c>
      <c r="N75" s="10"/>
      <c r="O75" s="10"/>
    </row>
    <row r="76" spans="1:15" x14ac:dyDescent="0.2">
      <c r="A76" s="1">
        <f t="shared" si="3"/>
        <v>76</v>
      </c>
      <c r="C76" t="s">
        <v>30</v>
      </c>
      <c r="D76" s="10">
        <f>K62</f>
        <v>1473720</v>
      </c>
      <c r="E76" s="10"/>
      <c r="F76" s="10"/>
      <c r="G76" s="10"/>
      <c r="H76" s="3">
        <v>33</v>
      </c>
      <c r="I76" t="s">
        <v>89</v>
      </c>
      <c r="J76" s="10"/>
      <c r="K76" s="10"/>
      <c r="L76" s="10"/>
      <c r="M76" s="10">
        <v>26000</v>
      </c>
      <c r="N76" s="10"/>
      <c r="O76" s="10"/>
    </row>
    <row r="77" spans="1:15" x14ac:dyDescent="0.2">
      <c r="A77" s="1">
        <f t="shared" si="3"/>
        <v>77</v>
      </c>
      <c r="C77" t="s">
        <v>31</v>
      </c>
      <c r="D77" s="10">
        <f>H62</f>
        <v>269708</v>
      </c>
      <c r="E77" s="10"/>
      <c r="F77" s="10"/>
      <c r="G77" s="10"/>
      <c r="H77" s="3">
        <v>34</v>
      </c>
      <c r="I77" t="s">
        <v>90</v>
      </c>
      <c r="J77" s="10"/>
      <c r="K77" s="10"/>
      <c r="L77" s="10"/>
      <c r="M77" s="10">
        <v>6000</v>
      </c>
      <c r="N77" s="10"/>
      <c r="O77" s="10"/>
    </row>
    <row r="78" spans="1:15" x14ac:dyDescent="0.2">
      <c r="A78" s="1">
        <f t="shared" si="3"/>
        <v>78</v>
      </c>
      <c r="C78" t="s">
        <v>32</v>
      </c>
      <c r="D78" s="15">
        <f>I62</f>
        <v>33522</v>
      </c>
      <c r="E78" s="10"/>
      <c r="F78" s="10"/>
      <c r="G78" s="10"/>
      <c r="H78" s="3">
        <v>34</v>
      </c>
      <c r="I78" t="s">
        <v>91</v>
      </c>
      <c r="J78" s="10"/>
      <c r="K78" s="10"/>
      <c r="L78" s="10"/>
      <c r="M78" s="10">
        <v>4000</v>
      </c>
      <c r="N78" s="10"/>
      <c r="O78" s="10"/>
    </row>
    <row r="79" spans="1:15" ht="15" thickBot="1" x14ac:dyDescent="0.25">
      <c r="A79" s="1">
        <f t="shared" si="3"/>
        <v>79</v>
      </c>
      <c r="C79" t="s">
        <v>33</v>
      </c>
      <c r="D79" s="18">
        <f>SUM(D75:D78)</f>
        <v>2531307</v>
      </c>
      <c r="E79" s="10"/>
      <c r="F79" s="10"/>
      <c r="G79" s="10"/>
      <c r="H79" s="3">
        <v>35</v>
      </c>
      <c r="I79" t="s">
        <v>92</v>
      </c>
      <c r="J79" s="10"/>
      <c r="K79" s="10"/>
      <c r="L79" s="10"/>
      <c r="M79" s="10">
        <v>25000</v>
      </c>
      <c r="N79" s="10"/>
      <c r="O79" s="10"/>
    </row>
    <row r="80" spans="1:15" ht="15" thickTop="1" x14ac:dyDescent="0.2">
      <c r="A80" s="1">
        <f t="shared" si="3"/>
        <v>80</v>
      </c>
      <c r="D80" s="10"/>
      <c r="E80" s="10"/>
      <c r="F80" s="10"/>
      <c r="G80" s="10"/>
      <c r="H80" s="55">
        <v>37</v>
      </c>
      <c r="I80" s="10" t="s">
        <v>98</v>
      </c>
      <c r="J80" s="10"/>
      <c r="K80" s="10"/>
      <c r="L80" s="10"/>
      <c r="M80" s="10">
        <v>26088</v>
      </c>
      <c r="N80" s="10"/>
      <c r="O80" s="10"/>
    </row>
    <row r="81" spans="1:15" x14ac:dyDescent="0.2">
      <c r="A81" s="1">
        <f t="shared" si="3"/>
        <v>81</v>
      </c>
      <c r="B81" s="4" t="s">
        <v>48</v>
      </c>
      <c r="D81" s="10"/>
      <c r="E81" s="10"/>
      <c r="F81" s="10"/>
      <c r="G81" s="10"/>
      <c r="H81" s="55">
        <v>38</v>
      </c>
      <c r="I81" t="s">
        <v>99</v>
      </c>
      <c r="M81" s="28">
        <v>35000</v>
      </c>
      <c r="N81" s="10"/>
      <c r="O81" s="10"/>
    </row>
    <row r="82" spans="1:15" x14ac:dyDescent="0.2">
      <c r="A82" s="1">
        <f t="shared" si="3"/>
        <v>82</v>
      </c>
      <c r="C82" t="s">
        <v>28</v>
      </c>
      <c r="D82" s="48">
        <f>D72</f>
        <v>37852515</v>
      </c>
      <c r="E82" s="49"/>
      <c r="F82" s="48"/>
      <c r="G82" s="48"/>
      <c r="H82" s="56">
        <v>39</v>
      </c>
      <c r="I82" s="48" t="s">
        <v>157</v>
      </c>
      <c r="J82" s="48"/>
      <c r="K82" s="48"/>
      <c r="L82" s="10"/>
      <c r="M82" s="15">
        <v>27000</v>
      </c>
      <c r="N82" s="10"/>
      <c r="O82" s="10"/>
    </row>
    <row r="83" spans="1:15" x14ac:dyDescent="0.2">
      <c r="A83" s="1">
        <f t="shared" si="3"/>
        <v>83</v>
      </c>
      <c r="C83" s="49" t="s">
        <v>186</v>
      </c>
      <c r="D83" s="64">
        <f>'Proposed - YE 2024'!D83</f>
        <v>6.4869999999999997E-2</v>
      </c>
      <c r="E83" s="49"/>
      <c r="F83" s="48"/>
      <c r="G83" s="48"/>
      <c r="N83" s="10"/>
      <c r="O83" s="10"/>
    </row>
    <row r="84" spans="1:15" ht="15" thickBot="1" x14ac:dyDescent="0.25">
      <c r="A84" s="1">
        <f t="shared" si="3"/>
        <v>84</v>
      </c>
      <c r="C84" t="s">
        <v>34</v>
      </c>
      <c r="D84" s="48">
        <f>ROUND(D82*D83,0)</f>
        <v>2455493</v>
      </c>
      <c r="E84" s="49"/>
      <c r="F84" s="48"/>
      <c r="G84" s="48"/>
      <c r="H84" s="10" t="s">
        <v>110</v>
      </c>
      <c r="I84" s="10"/>
      <c r="J84" s="10"/>
      <c r="K84" s="10"/>
      <c r="L84" s="10"/>
      <c r="M84" s="16">
        <f>SUM(M65:M82)</f>
        <v>754357</v>
      </c>
      <c r="N84" s="10"/>
      <c r="O84" s="10"/>
    </row>
    <row r="85" spans="1:15" ht="15" thickTop="1" x14ac:dyDescent="0.2">
      <c r="A85" s="1">
        <f t="shared" si="3"/>
        <v>85</v>
      </c>
      <c r="C85" t="s">
        <v>35</v>
      </c>
      <c r="D85" s="50">
        <f>D79</f>
        <v>2531307</v>
      </c>
      <c r="E85" s="48"/>
      <c r="F85" s="49"/>
      <c r="G85" s="48"/>
      <c r="H85" s="48"/>
      <c r="I85" s="48"/>
      <c r="J85" s="48"/>
      <c r="K85" s="48"/>
      <c r="L85" s="10"/>
      <c r="M85" s="10"/>
      <c r="N85" s="10"/>
      <c r="O85" s="10"/>
    </row>
    <row r="86" spans="1:15" x14ac:dyDescent="0.2">
      <c r="A86" s="1">
        <f t="shared" si="3"/>
        <v>86</v>
      </c>
      <c r="C86" t="s">
        <v>37</v>
      </c>
      <c r="D86" s="48">
        <f>D84+D85</f>
        <v>4986800</v>
      </c>
      <c r="E86" s="48"/>
      <c r="F86" s="49"/>
      <c r="G86" s="48"/>
      <c r="N86" s="10"/>
      <c r="O86" s="10"/>
    </row>
    <row r="87" spans="1:15" x14ac:dyDescent="0.2">
      <c r="A87" s="1">
        <f t="shared" si="3"/>
        <v>87</v>
      </c>
      <c r="C87" t="s">
        <v>36</v>
      </c>
      <c r="D87" s="51">
        <v>0.9556</v>
      </c>
      <c r="E87" s="48"/>
      <c r="F87" s="49"/>
      <c r="G87" s="48"/>
      <c r="I87" s="11" t="s">
        <v>16</v>
      </c>
      <c r="J87" s="12">
        <v>1.5E-3</v>
      </c>
      <c r="K87" t="s">
        <v>18</v>
      </c>
      <c r="N87" s="10"/>
      <c r="O87" s="10"/>
    </row>
    <row r="88" spans="1:15" x14ac:dyDescent="0.2">
      <c r="A88" s="1">
        <f t="shared" si="3"/>
        <v>88</v>
      </c>
      <c r="C88" t="s">
        <v>106</v>
      </c>
      <c r="D88" s="48">
        <f>ROUND(D86*D87,0)</f>
        <v>4765386</v>
      </c>
      <c r="E88" s="48"/>
      <c r="F88" s="49"/>
      <c r="G88" s="48"/>
      <c r="J88" s="12">
        <v>1.1220000000000001E-2</v>
      </c>
      <c r="K88" t="s">
        <v>20</v>
      </c>
      <c r="N88" s="10"/>
      <c r="O88" s="10"/>
    </row>
    <row r="89" spans="1:15" x14ac:dyDescent="0.2">
      <c r="A89" s="1">
        <f t="shared" si="3"/>
        <v>89</v>
      </c>
      <c r="B89" s="3"/>
      <c r="C89" t="s">
        <v>104</v>
      </c>
      <c r="D89" s="48"/>
      <c r="E89" s="48"/>
      <c r="F89" s="48"/>
      <c r="G89" s="48"/>
      <c r="J89" s="13">
        <v>8.633E-3</v>
      </c>
      <c r="K89" t="s">
        <v>19</v>
      </c>
      <c r="N89" s="10"/>
      <c r="O89" s="10"/>
    </row>
    <row r="90" spans="1:15" x14ac:dyDescent="0.2">
      <c r="A90" s="1">
        <f t="shared" si="3"/>
        <v>90</v>
      </c>
      <c r="B90" s="3"/>
      <c r="C90" t="s">
        <v>105</v>
      </c>
      <c r="D90" s="50">
        <f>BESF!D36</f>
        <v>1249428</v>
      </c>
      <c r="E90" s="48"/>
      <c r="F90" s="48"/>
      <c r="G90" s="48"/>
      <c r="J90" s="14">
        <v>7.0299999999999998E-3</v>
      </c>
      <c r="K90" t="s">
        <v>21</v>
      </c>
      <c r="N90" s="10"/>
      <c r="O90" s="10"/>
    </row>
    <row r="91" spans="1:15" ht="15" thickBot="1" x14ac:dyDescent="0.25">
      <c r="A91" s="1">
        <f t="shared" si="3"/>
        <v>91</v>
      </c>
      <c r="B91" s="3"/>
      <c r="C91" s="40" t="s">
        <v>107</v>
      </c>
      <c r="D91" s="52">
        <f>D88-D90</f>
        <v>3515958</v>
      </c>
      <c r="E91" s="48"/>
      <c r="F91" s="48"/>
      <c r="G91" s="48"/>
      <c r="I91" s="11" t="s">
        <v>17</v>
      </c>
      <c r="J91" s="12">
        <v>1.6999999999999999E-3</v>
      </c>
      <c r="N91" s="10"/>
      <c r="O91" s="10"/>
    </row>
    <row r="92" spans="1:15" ht="15" thickTop="1" x14ac:dyDescent="0.2">
      <c r="A92" s="1">
        <f t="shared" si="3"/>
        <v>92</v>
      </c>
      <c r="B92" s="3"/>
      <c r="D92" s="10"/>
      <c r="E92" s="10"/>
      <c r="F92" s="10"/>
      <c r="G92" s="10"/>
      <c r="N92" s="10"/>
      <c r="O92" s="10"/>
    </row>
    <row r="93" spans="1:15" x14ac:dyDescent="0.2">
      <c r="A93" s="1">
        <f t="shared" si="3"/>
        <v>93</v>
      </c>
      <c r="B93" s="31" t="s">
        <v>102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x14ac:dyDescent="0.2">
      <c r="A94" s="1">
        <f t="shared" si="3"/>
        <v>94</v>
      </c>
      <c r="B94" s="3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x14ac:dyDescent="0.2">
      <c r="A95" s="1">
        <f t="shared" si="3"/>
        <v>95</v>
      </c>
      <c r="B95" s="4" t="s">
        <v>0</v>
      </c>
    </row>
    <row r="96" spans="1:15" x14ac:dyDescent="0.2">
      <c r="A96" s="1">
        <f t="shared" si="3"/>
        <v>96</v>
      </c>
      <c r="D96" s="66" t="s">
        <v>39</v>
      </c>
      <c r="E96" s="67"/>
      <c r="F96" s="67"/>
      <c r="G96" s="68"/>
      <c r="H96" s="66" t="s">
        <v>154</v>
      </c>
      <c r="I96" s="67"/>
      <c r="J96" s="67"/>
      <c r="K96" s="68"/>
      <c r="L96" s="66" t="s">
        <v>43</v>
      </c>
      <c r="M96" s="67"/>
      <c r="N96" s="67"/>
      <c r="O96" s="68"/>
    </row>
    <row r="97" spans="1:15" x14ac:dyDescent="0.2">
      <c r="A97" s="1">
        <f t="shared" si="3"/>
        <v>97</v>
      </c>
      <c r="B97" s="3"/>
      <c r="C97" s="3"/>
      <c r="D97" s="3" t="s">
        <v>2</v>
      </c>
      <c r="E97" s="3" t="s">
        <v>4</v>
      </c>
      <c r="F97" s="3" t="s">
        <v>7</v>
      </c>
      <c r="G97" s="3"/>
      <c r="H97" s="6" t="s">
        <v>8</v>
      </c>
      <c r="I97" s="3" t="s">
        <v>8</v>
      </c>
      <c r="J97" s="70" t="s">
        <v>11</v>
      </c>
      <c r="K97" s="71"/>
      <c r="L97" s="3" t="s">
        <v>2</v>
      </c>
      <c r="M97" s="3" t="s">
        <v>4</v>
      </c>
      <c r="N97" s="3" t="s">
        <v>7</v>
      </c>
      <c r="O97" s="3"/>
    </row>
    <row r="98" spans="1:15" ht="15" thickBot="1" x14ac:dyDescent="0.25">
      <c r="A98" s="1">
        <f t="shared" si="3"/>
        <v>98</v>
      </c>
      <c r="B98" s="5"/>
      <c r="C98" s="5" t="s">
        <v>1</v>
      </c>
      <c r="D98" s="5" t="s">
        <v>3</v>
      </c>
      <c r="E98" s="5" t="s">
        <v>5</v>
      </c>
      <c r="F98" s="5" t="s">
        <v>3</v>
      </c>
      <c r="G98" s="5" t="s">
        <v>6</v>
      </c>
      <c r="H98" s="7" t="s">
        <v>9</v>
      </c>
      <c r="I98" s="5" t="s">
        <v>10</v>
      </c>
      <c r="J98" s="9" t="s">
        <v>12</v>
      </c>
      <c r="K98" s="8" t="s">
        <v>13</v>
      </c>
      <c r="L98" s="5" t="s">
        <v>3</v>
      </c>
      <c r="M98" s="5" t="s">
        <v>5</v>
      </c>
      <c r="N98" s="5" t="s">
        <v>3</v>
      </c>
      <c r="O98" s="5" t="s">
        <v>6</v>
      </c>
    </row>
    <row r="99" spans="1:15" x14ac:dyDescent="0.2">
      <c r="A99" s="1">
        <f t="shared" si="3"/>
        <v>99</v>
      </c>
      <c r="B99" s="3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ht="15" thickBot="1" x14ac:dyDescent="0.25">
      <c r="A100" s="1">
        <f t="shared" si="3"/>
        <v>100</v>
      </c>
      <c r="B100" s="3">
        <v>40</v>
      </c>
      <c r="C100" t="s">
        <v>101</v>
      </c>
      <c r="D100" s="16">
        <f>'Proposed - YE 2024'!L100</f>
        <v>15730000</v>
      </c>
      <c r="E100" s="16">
        <f>'Proposed - YE 2024'!M100</f>
        <v>44437</v>
      </c>
      <c r="F100" s="16">
        <f>'Proposed - YE 2024'!N100</f>
        <v>15685563</v>
      </c>
      <c r="G100" s="16">
        <f>'Proposed - YE 2024'!O100</f>
        <v>0</v>
      </c>
      <c r="H100" s="16">
        <f>ROUND(F100*$J$88,0)</f>
        <v>175992</v>
      </c>
      <c r="I100" s="16">
        <v>0</v>
      </c>
      <c r="J100" s="16">
        <f>'Proposed - YE 2024'!J100</f>
        <v>44437</v>
      </c>
      <c r="K100" s="16">
        <f>ROUND(J100*12,0)</f>
        <v>533244</v>
      </c>
      <c r="L100" s="16">
        <f>D100</f>
        <v>15730000</v>
      </c>
      <c r="M100" s="16">
        <f>E100+K100</f>
        <v>577681</v>
      </c>
      <c r="N100" s="16">
        <f>L100-M100</f>
        <v>15152319</v>
      </c>
      <c r="O100" s="16">
        <v>0</v>
      </c>
    </row>
    <row r="101" spans="1:15" ht="15" thickTop="1" x14ac:dyDescent="0.2">
      <c r="A101" s="1">
        <f t="shared" si="3"/>
        <v>101</v>
      </c>
      <c r="B101" s="3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x14ac:dyDescent="0.2">
      <c r="A102" s="1">
        <f t="shared" si="3"/>
        <v>102</v>
      </c>
      <c r="B102" s="17" t="s">
        <v>46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x14ac:dyDescent="0.2">
      <c r="A103" s="1">
        <f t="shared" si="3"/>
        <v>103</v>
      </c>
      <c r="B103" s="3"/>
      <c r="C103" t="s">
        <v>22</v>
      </c>
      <c r="D103" s="10">
        <f>L100</f>
        <v>15730000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x14ac:dyDescent="0.2">
      <c r="A104" s="1">
        <f t="shared" si="3"/>
        <v>104</v>
      </c>
      <c r="B104" s="3"/>
      <c r="C104" t="s">
        <v>6</v>
      </c>
      <c r="D104" s="15">
        <f>O100</f>
        <v>0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x14ac:dyDescent="0.2">
      <c r="A105" s="1">
        <f t="shared" si="3"/>
        <v>105</v>
      </c>
      <c r="B105" s="3"/>
      <c r="C105" t="s">
        <v>23</v>
      </c>
      <c r="D105" s="10">
        <f>D103+D104</f>
        <v>15730000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2">
      <c r="A106" s="1">
        <f t="shared" si="3"/>
        <v>106</v>
      </c>
      <c r="B106" s="3"/>
      <c r="C106" t="s">
        <v>24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2">
      <c r="A107" s="1">
        <f t="shared" si="3"/>
        <v>107</v>
      </c>
      <c r="C107" t="s">
        <v>25</v>
      </c>
      <c r="D107" s="10">
        <f>ROUND(D113*0.125,0)</f>
        <v>30250</v>
      </c>
      <c r="E107" s="10" t="s">
        <v>108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x14ac:dyDescent="0.2">
      <c r="A108" s="1">
        <f t="shared" si="3"/>
        <v>108</v>
      </c>
      <c r="C108" t="s">
        <v>26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x14ac:dyDescent="0.2">
      <c r="A109" s="1">
        <f t="shared" si="3"/>
        <v>109</v>
      </c>
      <c r="C109" t="s">
        <v>27</v>
      </c>
      <c r="D109" s="15">
        <f>M100</f>
        <v>577681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ht="15" thickBot="1" x14ac:dyDescent="0.25">
      <c r="A110" s="1">
        <f t="shared" si="3"/>
        <v>110</v>
      </c>
      <c r="C110" t="s">
        <v>28</v>
      </c>
      <c r="D110" s="18">
        <f>D105+D107-D109</f>
        <v>15182569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15" thickTop="1" x14ac:dyDescent="0.2">
      <c r="A111" s="1">
        <f t="shared" si="3"/>
        <v>111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x14ac:dyDescent="0.2">
      <c r="A112" s="1">
        <f t="shared" si="3"/>
        <v>112</v>
      </c>
      <c r="B112" s="4" t="s">
        <v>47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2">
      <c r="A113" s="1">
        <f t="shared" si="3"/>
        <v>113</v>
      </c>
      <c r="C113" t="s">
        <v>29</v>
      </c>
      <c r="D113" s="35">
        <v>242000</v>
      </c>
      <c r="E113" s="35"/>
      <c r="F113" s="35"/>
      <c r="G113" s="35"/>
      <c r="H113" s="10"/>
      <c r="I113" s="10"/>
      <c r="J113" s="10"/>
      <c r="K113" s="10"/>
      <c r="L113" s="10"/>
      <c r="M113" s="10"/>
      <c r="N113" s="10"/>
      <c r="O113" s="10"/>
    </row>
    <row r="114" spans="1:15" x14ac:dyDescent="0.2">
      <c r="A114" s="1">
        <f t="shared" si="3"/>
        <v>114</v>
      </c>
      <c r="C114" t="s">
        <v>30</v>
      </c>
      <c r="D114" s="35">
        <f>K100</f>
        <v>533244</v>
      </c>
      <c r="E114" s="35"/>
      <c r="F114" s="35"/>
      <c r="G114" s="35"/>
      <c r="H114" s="10"/>
      <c r="I114" s="10"/>
      <c r="J114" s="10"/>
      <c r="K114" s="10"/>
      <c r="L114" s="10"/>
      <c r="M114" s="10"/>
      <c r="N114" s="10"/>
      <c r="O114" s="10"/>
    </row>
    <row r="115" spans="1:15" x14ac:dyDescent="0.2">
      <c r="A115" s="1">
        <f t="shared" si="3"/>
        <v>115</v>
      </c>
      <c r="C115" t="s">
        <v>31</v>
      </c>
      <c r="D115" s="35">
        <f>H100</f>
        <v>175992</v>
      </c>
      <c r="E115" s="35"/>
      <c r="F115" s="35"/>
      <c r="G115" s="35"/>
      <c r="H115" s="28"/>
      <c r="I115" s="28"/>
      <c r="J115" s="28"/>
      <c r="K115" s="28"/>
      <c r="L115" s="28"/>
      <c r="M115" s="10"/>
      <c r="N115" s="10"/>
      <c r="O115" s="10"/>
    </row>
    <row r="116" spans="1:15" x14ac:dyDescent="0.2">
      <c r="A116" s="1">
        <f t="shared" si="3"/>
        <v>116</v>
      </c>
      <c r="C116" t="s">
        <v>32</v>
      </c>
      <c r="D116" s="37">
        <f>I100</f>
        <v>0</v>
      </c>
      <c r="E116" s="35"/>
      <c r="F116" s="35"/>
      <c r="G116" s="35"/>
      <c r="H116" s="28"/>
      <c r="I116" s="28"/>
      <c r="J116" s="28"/>
      <c r="K116" s="28"/>
      <c r="L116" s="28"/>
      <c r="M116" s="10"/>
      <c r="N116" s="10"/>
      <c r="O116" s="10"/>
    </row>
    <row r="117" spans="1:15" ht="15" thickBot="1" x14ac:dyDescent="0.25">
      <c r="A117" s="1">
        <f t="shared" si="3"/>
        <v>117</v>
      </c>
      <c r="C117" t="s">
        <v>33</v>
      </c>
      <c r="D117" s="38">
        <f>SUM(D113:D116)</f>
        <v>951236</v>
      </c>
      <c r="E117" s="35"/>
      <c r="F117" s="35"/>
      <c r="G117" s="35"/>
      <c r="H117" s="28"/>
      <c r="I117" s="28"/>
      <c r="J117" s="28"/>
      <c r="K117" s="28"/>
      <c r="L117" s="28"/>
      <c r="M117" s="10"/>
      <c r="N117" s="10"/>
      <c r="O117" s="10"/>
    </row>
    <row r="118" spans="1:15" ht="15" thickTop="1" x14ac:dyDescent="0.2">
      <c r="A118" s="1">
        <f t="shared" si="3"/>
        <v>118</v>
      </c>
      <c r="D118" s="35"/>
      <c r="E118" s="35"/>
      <c r="F118" s="35"/>
      <c r="G118" s="35"/>
      <c r="H118" s="28"/>
      <c r="I118" s="28"/>
      <c r="J118" s="28"/>
      <c r="K118" s="28"/>
      <c r="L118" s="28"/>
      <c r="M118" s="10"/>
      <c r="N118" s="10"/>
      <c r="O118" s="10"/>
    </row>
    <row r="119" spans="1:15" x14ac:dyDescent="0.2">
      <c r="A119" s="1">
        <f t="shared" si="3"/>
        <v>119</v>
      </c>
      <c r="B119" s="4" t="s">
        <v>48</v>
      </c>
      <c r="D119" s="35"/>
      <c r="E119" s="35"/>
      <c r="F119" s="35"/>
      <c r="G119" s="35"/>
      <c r="H119" s="28"/>
      <c r="I119" s="28"/>
      <c r="J119" s="28"/>
      <c r="K119" s="28"/>
      <c r="L119" s="28"/>
      <c r="M119" s="10"/>
      <c r="N119" s="10"/>
      <c r="O119" s="10"/>
    </row>
    <row r="120" spans="1:15" x14ac:dyDescent="0.2">
      <c r="A120" s="1">
        <f t="shared" si="3"/>
        <v>120</v>
      </c>
      <c r="C120" t="s">
        <v>28</v>
      </c>
      <c r="D120" s="35">
        <f>D110</f>
        <v>15182569</v>
      </c>
      <c r="E120" s="34"/>
      <c r="F120" s="34"/>
      <c r="G120" s="34"/>
      <c r="H120" s="28"/>
      <c r="I120" s="29"/>
      <c r="J120" s="29"/>
      <c r="K120" s="29"/>
      <c r="L120" s="28"/>
    </row>
    <row r="121" spans="1:15" x14ac:dyDescent="0.2">
      <c r="A121" s="1">
        <f t="shared" si="3"/>
        <v>121</v>
      </c>
      <c r="C121" s="49" t="s">
        <v>186</v>
      </c>
      <c r="D121" s="65">
        <f>D83</f>
        <v>6.4869999999999997E-2</v>
      </c>
      <c r="E121" s="34"/>
      <c r="F121" s="34"/>
      <c r="G121" s="34"/>
      <c r="H121" s="29"/>
      <c r="I121" s="29"/>
      <c r="J121" s="29"/>
      <c r="K121" s="29"/>
      <c r="L121" s="29"/>
    </row>
    <row r="122" spans="1:15" x14ac:dyDescent="0.2">
      <c r="A122" s="1">
        <f t="shared" si="3"/>
        <v>122</v>
      </c>
      <c r="C122" t="s">
        <v>34</v>
      </c>
      <c r="D122" s="35">
        <f>ROUND(D120*D121,0)</f>
        <v>984893</v>
      </c>
      <c r="E122" s="34"/>
      <c r="F122" s="34"/>
      <c r="G122" s="34"/>
    </row>
    <row r="123" spans="1:15" x14ac:dyDescent="0.2">
      <c r="A123" s="1">
        <f t="shared" si="3"/>
        <v>123</v>
      </c>
      <c r="C123" t="s">
        <v>35</v>
      </c>
      <c r="D123" s="37">
        <f>D117</f>
        <v>951236</v>
      </c>
      <c r="E123" s="34"/>
      <c r="F123" s="34"/>
      <c r="G123" s="34"/>
    </row>
    <row r="124" spans="1:15" x14ac:dyDescent="0.2">
      <c r="A124" s="1">
        <f t="shared" si="3"/>
        <v>124</v>
      </c>
      <c r="C124" t="s">
        <v>37</v>
      </c>
      <c r="D124" s="35">
        <f>D122+D123</f>
        <v>1936129</v>
      </c>
      <c r="E124" s="34"/>
      <c r="F124" s="34"/>
      <c r="G124" s="34"/>
    </row>
    <row r="125" spans="1:15" x14ac:dyDescent="0.2">
      <c r="A125" s="1">
        <f t="shared" si="3"/>
        <v>125</v>
      </c>
      <c r="C125" t="s">
        <v>36</v>
      </c>
      <c r="D125" s="39">
        <v>0.9556</v>
      </c>
      <c r="E125" s="34"/>
      <c r="F125" s="34"/>
      <c r="G125" s="34"/>
    </row>
    <row r="126" spans="1:15" ht="15" thickBot="1" x14ac:dyDescent="0.25">
      <c r="A126" s="1">
        <f t="shared" si="3"/>
        <v>126</v>
      </c>
      <c r="C126" s="40" t="s">
        <v>158</v>
      </c>
      <c r="D126" s="38">
        <f>ROUND(D124*D125,0)</f>
        <v>1850165</v>
      </c>
      <c r="E126" s="34"/>
      <c r="F126" s="34"/>
      <c r="G126" s="34"/>
    </row>
    <row r="127" spans="1:15" ht="15" thickTop="1" x14ac:dyDescent="0.2">
      <c r="A127" s="1">
        <f t="shared" si="3"/>
        <v>127</v>
      </c>
      <c r="B127" s="34"/>
      <c r="C127" s="34"/>
      <c r="D127" s="34"/>
      <c r="E127" s="34"/>
      <c r="F127" s="34"/>
      <c r="G127" s="34"/>
    </row>
    <row r="128" spans="1:15" x14ac:dyDescent="0.2">
      <c r="A128" s="1">
        <f t="shared" si="3"/>
        <v>128</v>
      </c>
      <c r="B128" s="54">
        <v>41</v>
      </c>
      <c r="C128" t="s">
        <v>103</v>
      </c>
      <c r="D128" s="34"/>
      <c r="E128" s="34"/>
      <c r="F128" s="34"/>
      <c r="G128" s="34"/>
    </row>
    <row r="129" spans="1:7" x14ac:dyDescent="0.2">
      <c r="A129" s="1">
        <f t="shared" si="3"/>
        <v>129</v>
      </c>
      <c r="B129" s="34"/>
      <c r="C129" s="34"/>
      <c r="D129" s="35"/>
      <c r="E129" s="34"/>
      <c r="F129" s="34"/>
      <c r="G129" s="34"/>
    </row>
    <row r="130" spans="1:7" x14ac:dyDescent="0.2">
      <c r="A130" s="1">
        <f t="shared" si="3"/>
        <v>130</v>
      </c>
      <c r="B130" s="4" t="s">
        <v>48</v>
      </c>
      <c r="C130" s="34"/>
      <c r="D130" s="35"/>
      <c r="E130" s="34"/>
      <c r="F130" s="34"/>
      <c r="G130" s="34"/>
    </row>
    <row r="131" spans="1:7" x14ac:dyDescent="0.2">
      <c r="A131" s="1">
        <f t="shared" si="3"/>
        <v>131</v>
      </c>
      <c r="B131" s="34"/>
      <c r="C131" s="34" t="s">
        <v>35</v>
      </c>
      <c r="D131" s="37">
        <v>17016360</v>
      </c>
      <c r="E131" s="34"/>
      <c r="F131" s="34"/>
      <c r="G131" s="34"/>
    </row>
    <row r="132" spans="1:7" x14ac:dyDescent="0.2">
      <c r="A132" s="1">
        <f t="shared" si="3"/>
        <v>132</v>
      </c>
      <c r="B132" s="34"/>
      <c r="C132" t="s">
        <v>37</v>
      </c>
      <c r="D132" s="35">
        <f>D131</f>
        <v>17016360</v>
      </c>
      <c r="E132" s="34"/>
      <c r="F132" s="34"/>
      <c r="G132" s="34"/>
    </row>
    <row r="133" spans="1:7" x14ac:dyDescent="0.2">
      <c r="A133" s="1">
        <f t="shared" si="3"/>
        <v>133</v>
      </c>
      <c r="B133" s="34"/>
      <c r="C133" t="s">
        <v>36</v>
      </c>
      <c r="D133" s="39">
        <v>0.9556</v>
      </c>
      <c r="E133" s="34"/>
      <c r="F133" s="34"/>
      <c r="G133" s="34"/>
    </row>
    <row r="134" spans="1:7" ht="15" thickBot="1" x14ac:dyDescent="0.25">
      <c r="A134" s="1">
        <f t="shared" si="3"/>
        <v>134</v>
      </c>
      <c r="B134" s="34"/>
      <c r="C134" s="40" t="s">
        <v>158</v>
      </c>
      <c r="D134" s="38">
        <f>ROUND(D132*D133,0)</f>
        <v>16260834</v>
      </c>
      <c r="E134" s="34"/>
      <c r="F134" s="34"/>
      <c r="G134" s="34"/>
    </row>
    <row r="135" spans="1:7" ht="15" thickTop="1" x14ac:dyDescent="0.2">
      <c r="A135" s="1">
        <f t="shared" si="3"/>
        <v>135</v>
      </c>
      <c r="B135" s="34"/>
      <c r="C135" s="34"/>
      <c r="D135" s="35"/>
      <c r="E135" s="34"/>
      <c r="F135" s="34"/>
      <c r="G135" s="34"/>
    </row>
  </sheetData>
  <mergeCells count="10">
    <mergeCell ref="C3:N3"/>
    <mergeCell ref="C4:N4"/>
    <mergeCell ref="J97:K97"/>
    <mergeCell ref="D10:G10"/>
    <mergeCell ref="H10:K10"/>
    <mergeCell ref="L10:O10"/>
    <mergeCell ref="J11:K11"/>
    <mergeCell ref="D96:G96"/>
    <mergeCell ref="H96:K96"/>
    <mergeCell ref="L96:O9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zoomScale="80" zoomScaleNormal="80" workbookViewId="0">
      <selection activeCell="C93" sqref="C93"/>
    </sheetView>
  </sheetViews>
  <sheetFormatPr defaultColWidth="15.625" defaultRowHeight="14.25" x14ac:dyDescent="0.2"/>
  <cols>
    <col min="1" max="1" width="4.625" customWidth="1"/>
    <col min="3" max="3" width="56.625" customWidth="1"/>
  </cols>
  <sheetData>
    <row r="1" spans="1:15" ht="15" x14ac:dyDescent="0.25">
      <c r="A1" s="1">
        <v>1</v>
      </c>
      <c r="O1" s="57" t="s">
        <v>200</v>
      </c>
    </row>
    <row r="2" spans="1:15" ht="15" x14ac:dyDescent="0.25">
      <c r="A2" s="1">
        <f>A1+1</f>
        <v>2</v>
      </c>
      <c r="O2" s="57" t="s">
        <v>192</v>
      </c>
    </row>
    <row r="3" spans="1:15" ht="15" x14ac:dyDescent="0.25">
      <c r="A3" s="1">
        <f t="shared" ref="A3:A73" si="0">A2+1</f>
        <v>3</v>
      </c>
      <c r="C3" s="69" t="s">
        <v>189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" x14ac:dyDescent="0.25">
      <c r="A4" s="1">
        <f t="shared" si="0"/>
        <v>4</v>
      </c>
      <c r="C4" s="69" t="s">
        <v>195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5" x14ac:dyDescent="0.2">
      <c r="A5" s="1">
        <f t="shared" si="0"/>
        <v>5</v>
      </c>
    </row>
    <row r="6" spans="1:15" x14ac:dyDescent="0.2">
      <c r="A6" s="1">
        <f t="shared" si="0"/>
        <v>6</v>
      </c>
    </row>
    <row r="7" spans="1:15" x14ac:dyDescent="0.2">
      <c r="A7" s="1">
        <f t="shared" si="0"/>
        <v>7</v>
      </c>
      <c r="B7" s="30" t="s">
        <v>78</v>
      </c>
    </row>
    <row r="8" spans="1:15" x14ac:dyDescent="0.2">
      <c r="A8" s="1">
        <f t="shared" si="0"/>
        <v>8</v>
      </c>
      <c r="I8" s="14"/>
    </row>
    <row r="9" spans="1:15" x14ac:dyDescent="0.2">
      <c r="A9" s="1">
        <f t="shared" si="0"/>
        <v>9</v>
      </c>
      <c r="B9" s="4" t="s">
        <v>0</v>
      </c>
    </row>
    <row r="10" spans="1:15" x14ac:dyDescent="0.2">
      <c r="A10" s="1">
        <f t="shared" si="0"/>
        <v>10</v>
      </c>
      <c r="D10" s="66" t="s">
        <v>43</v>
      </c>
      <c r="E10" s="67"/>
      <c r="F10" s="67"/>
      <c r="G10" s="68"/>
      <c r="H10" s="66" t="s">
        <v>44</v>
      </c>
      <c r="I10" s="67"/>
      <c r="J10" s="67"/>
      <c r="K10" s="68"/>
      <c r="L10" s="66" t="s">
        <v>45</v>
      </c>
      <c r="M10" s="67"/>
      <c r="N10" s="67"/>
      <c r="O10" s="68"/>
    </row>
    <row r="11" spans="1:15" x14ac:dyDescent="0.2">
      <c r="A11" s="1">
        <f t="shared" si="0"/>
        <v>11</v>
      </c>
      <c r="B11" s="3" t="s">
        <v>159</v>
      </c>
      <c r="C11" s="3"/>
      <c r="D11" s="3" t="s">
        <v>2</v>
      </c>
      <c r="E11" s="3" t="s">
        <v>4</v>
      </c>
      <c r="F11" s="3" t="s">
        <v>7</v>
      </c>
      <c r="G11" s="3"/>
      <c r="H11" s="6" t="s">
        <v>8</v>
      </c>
      <c r="I11" s="3" t="s">
        <v>8</v>
      </c>
      <c r="J11" s="70" t="s">
        <v>11</v>
      </c>
      <c r="K11" s="71"/>
      <c r="L11" s="3" t="s">
        <v>2</v>
      </c>
      <c r="M11" s="3" t="s">
        <v>4</v>
      </c>
      <c r="N11" s="3" t="s">
        <v>7</v>
      </c>
      <c r="O11" s="3"/>
    </row>
    <row r="12" spans="1:15" ht="15" thickBot="1" x14ac:dyDescent="0.25">
      <c r="A12" s="1">
        <f t="shared" si="0"/>
        <v>12</v>
      </c>
      <c r="B12" s="5" t="s">
        <v>160</v>
      </c>
      <c r="C12" s="5" t="s">
        <v>1</v>
      </c>
      <c r="D12" s="5" t="s">
        <v>3</v>
      </c>
      <c r="E12" s="5" t="s">
        <v>5</v>
      </c>
      <c r="F12" s="5" t="s">
        <v>3</v>
      </c>
      <c r="G12" s="5" t="s">
        <v>6</v>
      </c>
      <c r="H12" s="7" t="s">
        <v>9</v>
      </c>
      <c r="I12" s="5" t="s">
        <v>10</v>
      </c>
      <c r="J12" s="9" t="s">
        <v>12</v>
      </c>
      <c r="K12" s="8" t="s">
        <v>13</v>
      </c>
      <c r="L12" s="5" t="s">
        <v>3</v>
      </c>
      <c r="M12" s="5" t="s">
        <v>5</v>
      </c>
      <c r="N12" s="5" t="s">
        <v>3</v>
      </c>
      <c r="O12" s="5" t="s">
        <v>6</v>
      </c>
    </row>
    <row r="13" spans="1:15" x14ac:dyDescent="0.2">
      <c r="A13" s="1">
        <f t="shared" si="0"/>
        <v>13</v>
      </c>
    </row>
    <row r="14" spans="1:15" x14ac:dyDescent="0.2">
      <c r="A14" s="1">
        <f t="shared" si="0"/>
        <v>14</v>
      </c>
      <c r="B14" s="3" t="s">
        <v>167</v>
      </c>
      <c r="C14" t="s">
        <v>95</v>
      </c>
      <c r="D14" s="10">
        <f>'Proposed - YE 2025'!L14</f>
        <v>5465071</v>
      </c>
      <c r="E14" s="10">
        <f>'Proposed - YE 2025'!M14</f>
        <v>1102724</v>
      </c>
      <c r="F14" s="10">
        <f>'Proposed - YE 2025'!N14</f>
        <v>4362347</v>
      </c>
      <c r="G14" s="10">
        <f>'Proposed - YE 2025'!O14</f>
        <v>0</v>
      </c>
      <c r="H14" s="28">
        <f>ROUND(F14*$J$87,0)</f>
        <v>6544</v>
      </c>
      <c r="I14" s="28">
        <f>ROUND(F14*$J$91,0)</f>
        <v>7416</v>
      </c>
      <c r="J14" s="10">
        <f>'Proposed - YE 2024'!J14</f>
        <v>15256</v>
      </c>
      <c r="K14" s="10">
        <f>ROUND(J14*12,0)</f>
        <v>183072</v>
      </c>
      <c r="L14" s="10">
        <f>D14</f>
        <v>5465071</v>
      </c>
      <c r="M14" s="10">
        <f>E14+K14</f>
        <v>1285796</v>
      </c>
      <c r="N14" s="10">
        <f>L14-M14</f>
        <v>4179275</v>
      </c>
      <c r="O14" s="10">
        <v>0</v>
      </c>
    </row>
    <row r="15" spans="1:15" x14ac:dyDescent="0.2">
      <c r="A15" s="1">
        <f t="shared" si="0"/>
        <v>15</v>
      </c>
    </row>
    <row r="16" spans="1:15" x14ac:dyDescent="0.2">
      <c r="A16" s="1">
        <f t="shared" si="0"/>
        <v>16</v>
      </c>
      <c r="B16" s="3" t="s">
        <v>165</v>
      </c>
      <c r="C16" t="s">
        <v>93</v>
      </c>
      <c r="D16" s="10">
        <f>'Proposed - YE 2025'!L16</f>
        <v>162151</v>
      </c>
      <c r="E16" s="10">
        <f>'Proposed - YE 2025'!M16</f>
        <v>29445</v>
      </c>
      <c r="F16" s="10">
        <f>'Proposed - YE 2025'!N16</f>
        <v>132706</v>
      </c>
      <c r="G16" s="10">
        <f>'Proposed - YE 2025'!O16</f>
        <v>0</v>
      </c>
      <c r="H16" s="53">
        <f>ROUND(F16*$J$87,0)</f>
        <v>199</v>
      </c>
      <c r="I16" s="28">
        <f>ROUND(F16*$J$91,0)</f>
        <v>226</v>
      </c>
      <c r="J16" s="10">
        <f>'Proposed - YE 2024'!J16</f>
        <v>354</v>
      </c>
      <c r="K16" s="10">
        <f>ROUND(J16*12,0)</f>
        <v>4248</v>
      </c>
      <c r="L16" s="10">
        <f>D16+G16</f>
        <v>162151</v>
      </c>
      <c r="M16" s="10">
        <f>E16+K16</f>
        <v>33693</v>
      </c>
      <c r="N16" s="10">
        <f>L16-M16</f>
        <v>128458</v>
      </c>
      <c r="O16" s="10">
        <v>0</v>
      </c>
    </row>
    <row r="17" spans="1:15" x14ac:dyDescent="0.2">
      <c r="A17" s="1">
        <f t="shared" si="0"/>
        <v>17</v>
      </c>
      <c r="B17" s="3"/>
      <c r="D17" s="10"/>
      <c r="E17" s="10"/>
      <c r="F17" s="10"/>
      <c r="G17" s="10"/>
      <c r="H17" s="28"/>
      <c r="I17" s="28"/>
      <c r="J17" s="10"/>
      <c r="K17" s="10"/>
      <c r="L17" s="10"/>
      <c r="M17" s="10"/>
      <c r="N17" s="10"/>
      <c r="O17" s="10"/>
    </row>
    <row r="18" spans="1:15" x14ac:dyDescent="0.2">
      <c r="A18" s="1">
        <f t="shared" si="0"/>
        <v>18</v>
      </c>
      <c r="B18" s="3" t="s">
        <v>166</v>
      </c>
      <c r="C18" t="s">
        <v>94</v>
      </c>
      <c r="D18" s="10">
        <f>'Proposed - YE 2025'!L18</f>
        <v>224529</v>
      </c>
      <c r="E18" s="10">
        <f>'Proposed - YE 2025'!M18</f>
        <v>60505</v>
      </c>
      <c r="F18" s="10">
        <f>'Proposed - YE 2025'!N18</f>
        <v>164024</v>
      </c>
      <c r="G18" s="10">
        <f>'Proposed - YE 2025'!O18</f>
        <v>0</v>
      </c>
      <c r="H18" s="28">
        <f>ROUND(F18*$J$87,0)</f>
        <v>246</v>
      </c>
      <c r="I18" s="28">
        <f>ROUND(F18*$J$91,0)</f>
        <v>279</v>
      </c>
      <c r="J18" s="10">
        <f>'Proposed - YE 2024'!J18</f>
        <v>500</v>
      </c>
      <c r="K18" s="10">
        <f>ROUND(J18*12,0)</f>
        <v>6000</v>
      </c>
      <c r="L18" s="10">
        <f>D18</f>
        <v>224529</v>
      </c>
      <c r="M18" s="10">
        <f>E18+K18</f>
        <v>66505</v>
      </c>
      <c r="N18" s="10">
        <f>L18-M18</f>
        <v>158024</v>
      </c>
      <c r="O18" s="10">
        <v>0</v>
      </c>
    </row>
    <row r="19" spans="1:15" x14ac:dyDescent="0.2">
      <c r="A19" s="1">
        <f t="shared" si="0"/>
        <v>19</v>
      </c>
    </row>
    <row r="20" spans="1:15" x14ac:dyDescent="0.2">
      <c r="A20" s="1">
        <f t="shared" si="0"/>
        <v>20</v>
      </c>
      <c r="B20" s="3" t="s">
        <v>168</v>
      </c>
      <c r="C20" t="s">
        <v>96</v>
      </c>
      <c r="D20" s="10">
        <f>'Proposed - YE 2025'!L20</f>
        <v>4827367</v>
      </c>
      <c r="E20" s="10">
        <f>'Proposed - YE 2025'!M20</f>
        <v>907323</v>
      </c>
      <c r="F20" s="10">
        <f>'Proposed - YE 2025'!N20</f>
        <v>3920044</v>
      </c>
      <c r="G20" s="10">
        <f>'Proposed - YE 2025'!O20</f>
        <v>0</v>
      </c>
      <c r="H20" s="28">
        <f>ROUND(F20*$J$87,0)</f>
        <v>5880</v>
      </c>
      <c r="I20" s="28">
        <f>ROUND(F20*$J$91,0)</f>
        <v>6664</v>
      </c>
      <c r="J20" s="10">
        <f>'Proposed - YE 2024'!J20</f>
        <v>14764</v>
      </c>
      <c r="K20" s="10">
        <f>ROUND(J20*12,0)</f>
        <v>177168</v>
      </c>
      <c r="L20" s="10">
        <f>D20</f>
        <v>4827367</v>
      </c>
      <c r="M20" s="10">
        <f>E20+K20</f>
        <v>1084491</v>
      </c>
      <c r="N20" s="10">
        <f>L20-M20</f>
        <v>3742876</v>
      </c>
      <c r="O20" s="10">
        <v>0</v>
      </c>
    </row>
    <row r="21" spans="1:15" x14ac:dyDescent="0.2">
      <c r="A21" s="1">
        <f t="shared" si="0"/>
        <v>21</v>
      </c>
    </row>
    <row r="22" spans="1:15" x14ac:dyDescent="0.2">
      <c r="A22" s="1">
        <f t="shared" si="0"/>
        <v>22</v>
      </c>
      <c r="B22" s="3" t="s">
        <v>161</v>
      </c>
      <c r="C22" t="s">
        <v>79</v>
      </c>
      <c r="D22" s="10">
        <f>'Proposed - YE 2025'!L22</f>
        <v>359709</v>
      </c>
      <c r="E22" s="10">
        <f>'Proposed - YE 2025'!M22</f>
        <v>160380</v>
      </c>
      <c r="F22" s="10">
        <f>'Proposed - YE 2025'!N22</f>
        <v>199329</v>
      </c>
      <c r="G22" s="10">
        <f>'Proposed - YE 2025'!O22</f>
        <v>0</v>
      </c>
      <c r="H22" s="28">
        <f>ROUND(F22*$J$90,0)</f>
        <v>1401</v>
      </c>
      <c r="I22" s="28">
        <f>ROUND(F22*$J$91,0)</f>
        <v>339</v>
      </c>
      <c r="J22" s="10">
        <f>'Proposed - YE 2024'!J22</f>
        <v>1199</v>
      </c>
      <c r="K22" s="10">
        <f>ROUND(J22*12,0)</f>
        <v>14388</v>
      </c>
      <c r="L22" s="10">
        <f>D22</f>
        <v>359709</v>
      </c>
      <c r="M22" s="10">
        <f>E22+K22</f>
        <v>174768</v>
      </c>
      <c r="N22" s="10">
        <f>L22-M22</f>
        <v>184941</v>
      </c>
      <c r="O22" s="10">
        <v>0</v>
      </c>
    </row>
    <row r="23" spans="1:15" x14ac:dyDescent="0.2">
      <c r="A23" s="1">
        <f t="shared" si="0"/>
        <v>23</v>
      </c>
    </row>
    <row r="24" spans="1:15" x14ac:dyDescent="0.2">
      <c r="A24" s="1">
        <f t="shared" si="0"/>
        <v>24</v>
      </c>
      <c r="B24" s="3" t="s">
        <v>164</v>
      </c>
      <c r="C24" t="s">
        <v>88</v>
      </c>
      <c r="D24" s="10">
        <f>'Proposed - YE 2025'!L24</f>
        <v>5083982</v>
      </c>
      <c r="E24" s="10">
        <f>'Proposed - YE 2025'!M24</f>
        <v>689379</v>
      </c>
      <c r="F24" s="10">
        <f>'Proposed - YE 2025'!N24</f>
        <v>4394603</v>
      </c>
      <c r="G24" s="10">
        <f>'Proposed - YE 2025'!O24</f>
        <v>0</v>
      </c>
      <c r="H24" s="28">
        <f>ROUND(F24*$J$88,0)</f>
        <v>49307</v>
      </c>
      <c r="I24" s="28">
        <v>0</v>
      </c>
      <c r="J24" s="10">
        <f>'Proposed - YE 2024'!J24</f>
        <v>14362</v>
      </c>
      <c r="K24" s="10">
        <f>ROUND(J24*12,0)</f>
        <v>172344</v>
      </c>
      <c r="L24" s="10">
        <f>D24</f>
        <v>5083982</v>
      </c>
      <c r="M24" s="10">
        <f>E24+K24</f>
        <v>861723</v>
      </c>
      <c r="N24" s="10">
        <f>L24-M24</f>
        <v>4222259</v>
      </c>
      <c r="O24" s="10">
        <v>0</v>
      </c>
    </row>
    <row r="25" spans="1:15" x14ac:dyDescent="0.2">
      <c r="A25" s="1">
        <f t="shared" si="0"/>
        <v>25</v>
      </c>
    </row>
    <row r="26" spans="1:15" x14ac:dyDescent="0.2">
      <c r="A26" s="1">
        <f t="shared" si="0"/>
        <v>26</v>
      </c>
      <c r="B26" s="3" t="s">
        <v>162</v>
      </c>
      <c r="C26" t="s">
        <v>81</v>
      </c>
      <c r="D26" s="10">
        <f>'Proposed - YE 2025'!L26</f>
        <v>325446</v>
      </c>
      <c r="E26" s="10">
        <f>'Proposed - YE 2025'!M26</f>
        <v>82858</v>
      </c>
      <c r="F26" s="10">
        <f>'Proposed - YE 2025'!N26</f>
        <v>242588</v>
      </c>
      <c r="G26" s="10">
        <f>'Proposed - YE 2025'!O26</f>
        <v>0</v>
      </c>
      <c r="H26" s="28">
        <f>ROUND(F26*$J$89,0)</f>
        <v>2094</v>
      </c>
      <c r="I26" s="28">
        <f>ROUND(F26*$J$91,0)</f>
        <v>412</v>
      </c>
      <c r="J26" s="10">
        <f>'Proposed - YE 2024'!J26</f>
        <v>640</v>
      </c>
      <c r="K26" s="10">
        <f>ROUND(J26*12,0)</f>
        <v>7680</v>
      </c>
      <c r="L26" s="10">
        <f>D26</f>
        <v>325446</v>
      </c>
      <c r="M26" s="10">
        <f>E26+K26</f>
        <v>90538</v>
      </c>
      <c r="N26" s="10">
        <f>L26-M26</f>
        <v>234908</v>
      </c>
      <c r="O26" s="10">
        <v>0</v>
      </c>
    </row>
    <row r="27" spans="1:15" x14ac:dyDescent="0.2">
      <c r="A27" s="1">
        <f t="shared" si="0"/>
        <v>27</v>
      </c>
    </row>
    <row r="28" spans="1:15" x14ac:dyDescent="0.2">
      <c r="A28" s="1">
        <f t="shared" si="0"/>
        <v>28</v>
      </c>
      <c r="B28" s="3" t="s">
        <v>163</v>
      </c>
      <c r="C28" t="s">
        <v>87</v>
      </c>
      <c r="D28" s="10">
        <f>'Proposed - YE 2025'!L28</f>
        <v>1285901</v>
      </c>
      <c r="E28" s="10">
        <f>'Proposed - YE 2025'!M28</f>
        <v>81264</v>
      </c>
      <c r="F28" s="10">
        <f>'Proposed - YE 2025'!N28</f>
        <v>1204637</v>
      </c>
      <c r="G28" s="10">
        <f>'Proposed - YE 2025'!O28</f>
        <v>0</v>
      </c>
      <c r="H28" s="53">
        <f>ROUND(F28*$J$87,0)</f>
        <v>1807</v>
      </c>
      <c r="I28" s="28">
        <f>ROUND(F28*$J$91,0)</f>
        <v>2048</v>
      </c>
      <c r="J28" s="48">
        <f>'Proposed - YE 2024'!J28</f>
        <v>3386</v>
      </c>
      <c r="K28" s="10">
        <f>ROUND(J28*12,0)</f>
        <v>40632</v>
      </c>
      <c r="L28" s="10">
        <f>D28</f>
        <v>1285901</v>
      </c>
      <c r="M28" s="10">
        <f>E28+K28</f>
        <v>121896</v>
      </c>
      <c r="N28" s="10">
        <f>L28-M28</f>
        <v>1164005</v>
      </c>
      <c r="O28" s="10">
        <v>0</v>
      </c>
    </row>
    <row r="29" spans="1:15" x14ac:dyDescent="0.2">
      <c r="A29" s="1">
        <f t="shared" si="0"/>
        <v>29</v>
      </c>
    </row>
    <row r="30" spans="1:15" x14ac:dyDescent="0.2">
      <c r="A30" s="1">
        <f t="shared" si="0"/>
        <v>30</v>
      </c>
      <c r="B30" s="3">
        <v>27</v>
      </c>
      <c r="C30" t="s">
        <v>80</v>
      </c>
      <c r="D30" s="10">
        <f>'Proposed - YE 2025'!L30</f>
        <v>23276</v>
      </c>
      <c r="E30" s="10">
        <f>'Proposed - YE 2025'!M30</f>
        <v>7198</v>
      </c>
      <c r="F30" s="10">
        <f>'Proposed - YE 2025'!N30</f>
        <v>16078</v>
      </c>
      <c r="G30" s="10">
        <f>'Proposed - YE 2025'!O30</f>
        <v>0</v>
      </c>
      <c r="H30" s="28">
        <f>ROUND(F30*$J$90,0)</f>
        <v>113</v>
      </c>
      <c r="I30" s="28">
        <f>ROUND(F30*$J$91,0)</f>
        <v>27</v>
      </c>
      <c r="J30" s="10">
        <f>'Proposed - YE 2024'!J30</f>
        <v>62</v>
      </c>
      <c r="K30" s="10">
        <f>ROUND(J30*12,0)</f>
        <v>744</v>
      </c>
      <c r="L30" s="10">
        <f>D30</f>
        <v>23276</v>
      </c>
      <c r="M30" s="10">
        <f>E30+K30</f>
        <v>7942</v>
      </c>
      <c r="N30" s="10">
        <f>L30-M30</f>
        <v>15334</v>
      </c>
      <c r="O30" s="10">
        <v>0</v>
      </c>
    </row>
    <row r="31" spans="1:15" x14ac:dyDescent="0.2">
      <c r="A31" s="1">
        <f t="shared" si="0"/>
        <v>31</v>
      </c>
    </row>
    <row r="32" spans="1:15" x14ac:dyDescent="0.2">
      <c r="A32" s="1">
        <f t="shared" si="0"/>
        <v>32</v>
      </c>
      <c r="B32" s="3">
        <v>28</v>
      </c>
      <c r="C32" t="s">
        <v>82</v>
      </c>
      <c r="D32" s="10">
        <f>'Proposed - YE 2025'!L32</f>
        <v>249045</v>
      </c>
      <c r="E32" s="10">
        <f>'Proposed - YE 2025'!M32</f>
        <v>73088</v>
      </c>
      <c r="F32" s="10">
        <f>'Proposed - YE 2025'!N32</f>
        <v>175957</v>
      </c>
      <c r="G32" s="10">
        <f>'Proposed - YE 2025'!O32</f>
        <v>0</v>
      </c>
      <c r="H32" s="28">
        <f>ROUND(F32*$J$87,0)</f>
        <v>264</v>
      </c>
      <c r="I32" s="28">
        <f>ROUND(F32*$J$91,0)</f>
        <v>299</v>
      </c>
      <c r="J32" s="10">
        <f>'Proposed - YE 2024'!J32</f>
        <v>655</v>
      </c>
      <c r="K32" s="10">
        <f>ROUND(J32*12,0)</f>
        <v>7860</v>
      </c>
      <c r="L32" s="10">
        <f>D32</f>
        <v>249045</v>
      </c>
      <c r="M32" s="10">
        <f>E32+K32</f>
        <v>80948</v>
      </c>
      <c r="N32" s="10">
        <f>L32-M32</f>
        <v>168097</v>
      </c>
      <c r="O32" s="10">
        <v>0</v>
      </c>
    </row>
    <row r="33" spans="1:15" x14ac:dyDescent="0.2">
      <c r="A33" s="1">
        <f t="shared" si="0"/>
        <v>33</v>
      </c>
      <c r="B33" s="3"/>
      <c r="D33" s="10"/>
      <c r="E33" s="10"/>
      <c r="F33" s="10"/>
      <c r="G33" s="10"/>
      <c r="H33" s="28"/>
      <c r="I33" s="28"/>
      <c r="J33" s="10"/>
      <c r="K33" s="10"/>
      <c r="L33" s="10"/>
      <c r="M33" s="10"/>
      <c r="N33" s="10"/>
      <c r="O33" s="10"/>
    </row>
    <row r="34" spans="1:15" x14ac:dyDescent="0.2">
      <c r="A34" s="1">
        <f t="shared" si="0"/>
        <v>34</v>
      </c>
      <c r="B34" s="3">
        <v>29</v>
      </c>
      <c r="C34" t="s">
        <v>83</v>
      </c>
      <c r="D34" s="10">
        <f>'Proposed - YE 2025'!L34</f>
        <v>2002438</v>
      </c>
      <c r="E34" s="10">
        <f>'Proposed - YE 2025'!M34</f>
        <v>126552</v>
      </c>
      <c r="F34" s="10">
        <f>'Proposed - YE 2025'!N34</f>
        <v>1875886</v>
      </c>
      <c r="G34" s="10">
        <f>'Proposed - YE 2025'!O34</f>
        <v>0</v>
      </c>
      <c r="H34" s="53">
        <f>ROUND(F34*$J$87,0)</f>
        <v>2814</v>
      </c>
      <c r="I34" s="28">
        <f>ROUND(F34*$J$91,0)</f>
        <v>3189</v>
      </c>
      <c r="J34" s="48">
        <f>'Proposed - YE 2024'!J34</f>
        <v>5273</v>
      </c>
      <c r="K34" s="10">
        <f>ROUND(J34*12,0)</f>
        <v>63276</v>
      </c>
      <c r="L34" s="10">
        <f>D34</f>
        <v>2002438</v>
      </c>
      <c r="M34" s="10">
        <f>E34+K34</f>
        <v>189828</v>
      </c>
      <c r="N34" s="10">
        <f>L34-M34</f>
        <v>1812610</v>
      </c>
      <c r="O34" s="10">
        <v>0</v>
      </c>
    </row>
    <row r="35" spans="1:15" x14ac:dyDescent="0.2">
      <c r="A35" s="1">
        <f t="shared" si="0"/>
        <v>35</v>
      </c>
      <c r="B35" s="3"/>
      <c r="D35" s="10"/>
      <c r="E35" s="10"/>
      <c r="F35" s="10"/>
      <c r="G35" s="10"/>
      <c r="H35" s="28"/>
      <c r="I35" s="28"/>
      <c r="J35" s="10"/>
      <c r="K35" s="10"/>
      <c r="L35" s="10"/>
      <c r="M35" s="10"/>
      <c r="N35" s="10"/>
      <c r="O35" s="10"/>
    </row>
    <row r="36" spans="1:15" x14ac:dyDescent="0.2">
      <c r="A36" s="1">
        <f t="shared" si="0"/>
        <v>36</v>
      </c>
      <c r="B36" s="3">
        <v>30</v>
      </c>
      <c r="C36" t="s">
        <v>84</v>
      </c>
      <c r="D36" s="10">
        <f>'Proposed - YE 2025'!L36</f>
        <v>342996</v>
      </c>
      <c r="E36" s="10">
        <f>'Proposed - YE 2025'!M36</f>
        <v>46056</v>
      </c>
      <c r="F36" s="10">
        <f>'Proposed - YE 2025'!N36</f>
        <v>296940</v>
      </c>
      <c r="G36" s="10">
        <f>'Proposed - YE 2025'!O36</f>
        <v>0</v>
      </c>
      <c r="H36" s="28">
        <f>ROUND(F36*$J$87,0)</f>
        <v>445</v>
      </c>
      <c r="I36" s="28">
        <f>ROUND(F36*$J$91,0)</f>
        <v>505</v>
      </c>
      <c r="J36" s="10">
        <f>'Proposed - YE 2024'!J36</f>
        <v>903</v>
      </c>
      <c r="K36" s="10">
        <f>ROUND(J36*12,0)</f>
        <v>10836</v>
      </c>
      <c r="L36" s="10">
        <f>D36</f>
        <v>342996</v>
      </c>
      <c r="M36" s="10">
        <f>E36+K36</f>
        <v>56892</v>
      </c>
      <c r="N36" s="10">
        <f>L36-M36</f>
        <v>286104</v>
      </c>
      <c r="O36" s="10">
        <v>0</v>
      </c>
    </row>
    <row r="37" spans="1:15" x14ac:dyDescent="0.2">
      <c r="A37" s="1">
        <f t="shared" si="0"/>
        <v>37</v>
      </c>
      <c r="B37" s="3"/>
      <c r="D37" s="10"/>
      <c r="E37" s="10"/>
      <c r="F37" s="10"/>
      <c r="G37" s="10"/>
      <c r="H37" s="28"/>
      <c r="I37" s="28"/>
      <c r="J37" s="10"/>
      <c r="K37" s="10"/>
      <c r="L37" s="10"/>
      <c r="M37" s="10"/>
      <c r="N37" s="10"/>
      <c r="O37" s="10"/>
    </row>
    <row r="38" spans="1:15" x14ac:dyDescent="0.2">
      <c r="A38" s="1">
        <f t="shared" si="0"/>
        <v>38</v>
      </c>
      <c r="B38" s="3">
        <v>31</v>
      </c>
      <c r="C38" t="s">
        <v>85</v>
      </c>
      <c r="D38" s="10">
        <f>'Proposed - YE 2025'!L38</f>
        <v>2646723</v>
      </c>
      <c r="E38" s="10">
        <f>'Proposed - YE 2025'!M38</f>
        <v>518604</v>
      </c>
      <c r="F38" s="10">
        <f>'Proposed - YE 2025'!N38</f>
        <v>2128119</v>
      </c>
      <c r="G38" s="10">
        <f>'Proposed - YE 2025'!O38</f>
        <v>0</v>
      </c>
      <c r="H38" s="28">
        <f>ROUND(F38*$J$87,0)</f>
        <v>3192</v>
      </c>
      <c r="I38" s="28">
        <f>ROUND(F38*$J$91,0)</f>
        <v>3618</v>
      </c>
      <c r="J38" s="10">
        <f>'Proposed - YE 2024'!J38</f>
        <v>6925</v>
      </c>
      <c r="K38" s="10">
        <f>ROUND(J38*12,0)</f>
        <v>83100</v>
      </c>
      <c r="L38" s="10">
        <f>D38</f>
        <v>2646723</v>
      </c>
      <c r="M38" s="10">
        <f>E38+K38</f>
        <v>601704</v>
      </c>
      <c r="N38" s="10">
        <f>L38-M38</f>
        <v>2045019</v>
      </c>
      <c r="O38" s="10">
        <v>0</v>
      </c>
    </row>
    <row r="39" spans="1:15" x14ac:dyDescent="0.2">
      <c r="A39" s="1">
        <f t="shared" si="0"/>
        <v>39</v>
      </c>
      <c r="B39" s="3"/>
      <c r="D39" s="10"/>
      <c r="E39" s="10"/>
      <c r="F39" s="10"/>
      <c r="G39" s="10"/>
      <c r="H39" s="28"/>
      <c r="I39" s="28"/>
      <c r="J39" s="10"/>
      <c r="K39" s="10"/>
      <c r="L39" s="10"/>
      <c r="M39" s="10"/>
      <c r="N39" s="10"/>
      <c r="O39" s="10"/>
    </row>
    <row r="40" spans="1:15" x14ac:dyDescent="0.2">
      <c r="A40" s="1">
        <f t="shared" si="0"/>
        <v>40</v>
      </c>
      <c r="B40" s="3">
        <v>32</v>
      </c>
      <c r="C40" t="s">
        <v>86</v>
      </c>
      <c r="D40" s="10">
        <f>'Proposed - YE 2025'!L40</f>
        <v>953827</v>
      </c>
      <c r="E40" s="10">
        <f>'Proposed - YE 2025'!M40</f>
        <v>195927</v>
      </c>
      <c r="F40" s="10">
        <f>'Proposed - YE 2025'!N40</f>
        <v>757900</v>
      </c>
      <c r="G40" s="10">
        <f>'Proposed - YE 2025'!O40</f>
        <v>0</v>
      </c>
      <c r="H40" s="28">
        <f>ROUND(F40*$J$87,0)</f>
        <v>1137</v>
      </c>
      <c r="I40" s="28">
        <f>ROUND(F40*$J$91,0)</f>
        <v>1288</v>
      </c>
      <c r="J40" s="10">
        <f>'Proposed - YE 2024'!J40</f>
        <v>2528</v>
      </c>
      <c r="K40" s="10">
        <f>ROUND(J40*12,0)</f>
        <v>30336</v>
      </c>
      <c r="L40" s="10">
        <f>D40</f>
        <v>953827</v>
      </c>
      <c r="M40" s="10">
        <f>E40+K40</f>
        <v>226263</v>
      </c>
      <c r="N40" s="10">
        <f>L40-M40</f>
        <v>727564</v>
      </c>
      <c r="O40" s="10">
        <v>0</v>
      </c>
    </row>
    <row r="41" spans="1:15" x14ac:dyDescent="0.2">
      <c r="A41" s="1">
        <f t="shared" si="0"/>
        <v>41</v>
      </c>
    </row>
    <row r="42" spans="1:15" x14ac:dyDescent="0.2">
      <c r="A42" s="1">
        <f t="shared" si="0"/>
        <v>42</v>
      </c>
      <c r="B42" s="3">
        <v>33</v>
      </c>
      <c r="C42" t="s">
        <v>89</v>
      </c>
      <c r="D42" s="10">
        <f>'Proposed - YE 2025'!L42</f>
        <v>342448</v>
      </c>
      <c r="E42" s="10">
        <f>'Proposed - YE 2025'!M42</f>
        <v>21504</v>
      </c>
      <c r="F42" s="10">
        <f>'Proposed - YE 2025'!N42</f>
        <v>320944</v>
      </c>
      <c r="G42" s="10">
        <f>'Proposed - YE 2025'!O42</f>
        <v>0</v>
      </c>
      <c r="H42" s="53">
        <f>ROUND(F42*$J$87,0)</f>
        <v>481</v>
      </c>
      <c r="I42" s="28">
        <f>ROUND(F42*$J$91,0)</f>
        <v>546</v>
      </c>
      <c r="J42" s="48">
        <f>'Proposed - YE 2024'!J42</f>
        <v>896</v>
      </c>
      <c r="K42" s="10">
        <f>ROUND(J42*12,0)</f>
        <v>10752</v>
      </c>
      <c r="L42" s="10">
        <f>D42</f>
        <v>342448</v>
      </c>
      <c r="M42" s="10">
        <f>E42+K42</f>
        <v>32256</v>
      </c>
      <c r="N42" s="10">
        <f>L42-M42</f>
        <v>310192</v>
      </c>
      <c r="O42" s="10">
        <v>0</v>
      </c>
    </row>
    <row r="43" spans="1:15" x14ac:dyDescent="0.2">
      <c r="A43" s="1">
        <f t="shared" si="0"/>
        <v>43</v>
      </c>
      <c r="B43" s="3"/>
      <c r="D43" s="10"/>
      <c r="E43" s="10"/>
      <c r="F43" s="10"/>
      <c r="G43" s="10"/>
      <c r="H43" s="28"/>
      <c r="I43" s="28"/>
      <c r="J43" s="10"/>
      <c r="K43" s="10"/>
      <c r="L43" s="10"/>
      <c r="M43" s="10"/>
      <c r="N43" s="10"/>
      <c r="O43" s="10"/>
    </row>
    <row r="44" spans="1:15" x14ac:dyDescent="0.2">
      <c r="A44" s="1">
        <f t="shared" si="0"/>
        <v>44</v>
      </c>
      <c r="B44" s="3">
        <v>34</v>
      </c>
      <c r="C44" t="s">
        <v>90</v>
      </c>
      <c r="D44" s="10">
        <f>'Proposed - YE 2025'!L44</f>
        <v>127547</v>
      </c>
      <c r="E44" s="10">
        <f>'Proposed - YE 2025'!M44</f>
        <v>34423</v>
      </c>
      <c r="F44" s="10">
        <f>'Proposed - YE 2025'!N44</f>
        <v>93124</v>
      </c>
      <c r="G44" s="10">
        <f>'Proposed - YE 2025'!O44</f>
        <v>0</v>
      </c>
      <c r="H44" s="28">
        <f>ROUND(F44*$J$87,0)</f>
        <v>140</v>
      </c>
      <c r="I44" s="28">
        <f>ROUND(F44*$J$91,0)</f>
        <v>158</v>
      </c>
      <c r="J44" s="10">
        <f>'Proposed - YE 2024'!J44</f>
        <v>334</v>
      </c>
      <c r="K44" s="10">
        <f>ROUND(J44*12,0)</f>
        <v>4008</v>
      </c>
      <c r="L44" s="10">
        <f>D44</f>
        <v>127547</v>
      </c>
      <c r="M44" s="10">
        <f>E44+K44</f>
        <v>38431</v>
      </c>
      <c r="N44" s="10">
        <f>L44-M44</f>
        <v>89116</v>
      </c>
      <c r="O44" s="10">
        <v>0</v>
      </c>
    </row>
    <row r="45" spans="1:15" x14ac:dyDescent="0.2">
      <c r="A45" s="1">
        <f t="shared" si="0"/>
        <v>45</v>
      </c>
      <c r="B45" s="3"/>
      <c r="D45" s="10"/>
      <c r="E45" s="10"/>
      <c r="F45" s="10"/>
      <c r="G45" s="10"/>
      <c r="H45" s="28"/>
      <c r="I45" s="28"/>
      <c r="J45" s="10"/>
      <c r="K45" s="10"/>
      <c r="L45" s="10"/>
      <c r="M45" s="10"/>
      <c r="N45" s="10"/>
      <c r="O45" s="10"/>
    </row>
    <row r="46" spans="1:15" x14ac:dyDescent="0.2">
      <c r="A46" s="1">
        <f t="shared" si="0"/>
        <v>46</v>
      </c>
      <c r="B46" s="3">
        <v>34</v>
      </c>
      <c r="C46" t="s">
        <v>91</v>
      </c>
      <c r="D46" s="10">
        <f>'Proposed - YE 2025'!L46</f>
        <v>99165</v>
      </c>
      <c r="E46" s="10">
        <f>'Proposed - YE 2025'!M46</f>
        <v>24644</v>
      </c>
      <c r="F46" s="10">
        <f>'Proposed - YE 2025'!N46</f>
        <v>74521</v>
      </c>
      <c r="G46" s="10">
        <f>'Proposed - YE 2025'!O46</f>
        <v>0</v>
      </c>
      <c r="H46" s="28">
        <f>ROUND(F46*$J$87,0)</f>
        <v>112</v>
      </c>
      <c r="I46" s="28">
        <f>ROUND(F46*$J$91,0)</f>
        <v>127</v>
      </c>
      <c r="J46" s="10">
        <f>'Proposed - YE 2024'!J46</f>
        <v>303</v>
      </c>
      <c r="K46" s="10">
        <f>ROUND(J46*12,0)</f>
        <v>3636</v>
      </c>
      <c r="L46" s="10">
        <f>D46</f>
        <v>99165</v>
      </c>
      <c r="M46" s="10">
        <f>E46+K46</f>
        <v>28280</v>
      </c>
      <c r="N46" s="10">
        <f>L46-M46</f>
        <v>70885</v>
      </c>
      <c r="O46" s="10">
        <v>0</v>
      </c>
    </row>
    <row r="47" spans="1:15" x14ac:dyDescent="0.2">
      <c r="A47" s="1">
        <f t="shared" si="0"/>
        <v>47</v>
      </c>
      <c r="B47" s="3"/>
      <c r="D47" s="10"/>
      <c r="E47" s="10"/>
      <c r="F47" s="10"/>
      <c r="G47" s="10"/>
      <c r="H47" s="28"/>
      <c r="I47" s="28"/>
      <c r="J47" s="10"/>
      <c r="K47" s="10"/>
      <c r="L47" s="10"/>
      <c r="M47" s="10"/>
      <c r="N47" s="10"/>
      <c r="O47" s="10"/>
    </row>
    <row r="48" spans="1:15" x14ac:dyDescent="0.2">
      <c r="A48" s="1">
        <f t="shared" si="0"/>
        <v>48</v>
      </c>
      <c r="B48" s="3">
        <v>35</v>
      </c>
      <c r="C48" t="s">
        <v>92</v>
      </c>
      <c r="D48" s="10">
        <f>'Proposed - YE 2025'!L48</f>
        <v>397833</v>
      </c>
      <c r="E48" s="10">
        <f>'Proposed - YE 2025'!M48</f>
        <v>106664</v>
      </c>
      <c r="F48" s="10">
        <f>'Proposed - YE 2025'!N48</f>
        <v>291169</v>
      </c>
      <c r="G48" s="10">
        <f>'Proposed - YE 2025'!O48</f>
        <v>0</v>
      </c>
      <c r="H48" s="28">
        <f>ROUND(F48*$J$87,0)</f>
        <v>437</v>
      </c>
      <c r="I48" s="28">
        <f>ROUND(F48*$J$91,0)</f>
        <v>495</v>
      </c>
      <c r="J48" s="10">
        <f>'Proposed - YE 2024'!J48</f>
        <v>875</v>
      </c>
      <c r="K48" s="10">
        <f>ROUND(J48*12,0)</f>
        <v>10500</v>
      </c>
      <c r="L48" s="10">
        <f>D48</f>
        <v>397833</v>
      </c>
      <c r="M48" s="10">
        <f>E48+K48</f>
        <v>117164</v>
      </c>
      <c r="N48" s="10">
        <f>L48-M48</f>
        <v>280669</v>
      </c>
      <c r="O48" s="10">
        <v>0</v>
      </c>
    </row>
    <row r="49" spans="1:15" x14ac:dyDescent="0.2">
      <c r="A49" s="1">
        <f t="shared" si="0"/>
        <v>49</v>
      </c>
    </row>
    <row r="50" spans="1:15" x14ac:dyDescent="0.2">
      <c r="A50" s="1">
        <f t="shared" si="0"/>
        <v>50</v>
      </c>
      <c r="B50" s="3">
        <v>36</v>
      </c>
      <c r="C50" t="s">
        <v>97</v>
      </c>
      <c r="D50" s="10">
        <f>'Proposed - YE 2025'!L50</f>
        <v>700000</v>
      </c>
      <c r="E50" s="10">
        <f>'Proposed - YE 2025'!M50</f>
        <v>43968</v>
      </c>
      <c r="F50" s="10">
        <f>'Proposed - YE 2025'!N50</f>
        <v>656032</v>
      </c>
      <c r="G50" s="10">
        <f>'Proposed - YE 2025'!O50</f>
        <v>0</v>
      </c>
      <c r="H50" s="53">
        <f>ROUND(F50*$J$87,0)</f>
        <v>984</v>
      </c>
      <c r="I50" s="28">
        <f>ROUND(F50*$J$91,0)</f>
        <v>1115</v>
      </c>
      <c r="J50" s="48">
        <f>'Proposed - YE 2024'!J50</f>
        <v>1832</v>
      </c>
      <c r="K50" s="10">
        <f>ROUND(J50*12,0)</f>
        <v>21984</v>
      </c>
      <c r="L50" s="10">
        <f>D50</f>
        <v>700000</v>
      </c>
      <c r="M50" s="10">
        <f>E50+K50</f>
        <v>65952</v>
      </c>
      <c r="N50" s="10">
        <f>L50-M50</f>
        <v>634048</v>
      </c>
      <c r="O50" s="10">
        <v>0</v>
      </c>
    </row>
    <row r="51" spans="1:15" x14ac:dyDescent="0.2">
      <c r="A51" s="1">
        <f t="shared" si="0"/>
        <v>51</v>
      </c>
      <c r="B51" s="3"/>
      <c r="D51" s="10"/>
      <c r="E51" s="10"/>
      <c r="F51" s="10"/>
      <c r="G51" s="10"/>
      <c r="H51" s="28"/>
      <c r="I51" s="28"/>
      <c r="J51" s="10"/>
      <c r="K51" s="10"/>
      <c r="L51" s="10"/>
      <c r="M51" s="10"/>
      <c r="N51" s="10"/>
      <c r="O51" s="10"/>
    </row>
    <row r="52" spans="1:15" x14ac:dyDescent="0.2">
      <c r="A52" s="1">
        <f t="shared" si="0"/>
        <v>52</v>
      </c>
      <c r="B52" s="3">
        <v>37</v>
      </c>
      <c r="C52" t="s">
        <v>98</v>
      </c>
      <c r="D52" s="10">
        <f>'Proposed - YE 2025'!L52</f>
        <v>269289</v>
      </c>
      <c r="E52" s="10">
        <f>'Proposed - YE 2025'!M52</f>
        <v>16920</v>
      </c>
      <c r="F52" s="10">
        <f>'Proposed - YE 2025'!N52</f>
        <v>252369</v>
      </c>
      <c r="G52" s="10">
        <f>'Proposed - YE 2025'!O52</f>
        <v>0</v>
      </c>
      <c r="H52" s="53">
        <f>ROUND(F52*$J$87,0)</f>
        <v>379</v>
      </c>
      <c r="I52" s="28">
        <f>ROUND(F52*$J$91,0)</f>
        <v>429</v>
      </c>
      <c r="J52" s="48">
        <f>'Proposed - YE 2024'!J52</f>
        <v>705</v>
      </c>
      <c r="K52" s="10">
        <f>ROUND(J52*12,0)</f>
        <v>8460</v>
      </c>
      <c r="L52" s="10">
        <f>D52</f>
        <v>269289</v>
      </c>
      <c r="M52" s="10">
        <f>E52+K52</f>
        <v>25380</v>
      </c>
      <c r="N52" s="10">
        <f>L52-M52</f>
        <v>243909</v>
      </c>
      <c r="O52" s="10">
        <v>0</v>
      </c>
    </row>
    <row r="53" spans="1:15" x14ac:dyDescent="0.2">
      <c r="A53" s="1">
        <f t="shared" si="0"/>
        <v>53</v>
      </c>
      <c r="B53" s="3"/>
      <c r="D53" s="10"/>
      <c r="E53" s="10"/>
      <c r="F53" s="10"/>
      <c r="G53" s="10"/>
      <c r="H53" s="28"/>
      <c r="I53" s="28"/>
      <c r="J53" s="10"/>
      <c r="K53" s="10"/>
      <c r="L53" s="10"/>
      <c r="M53" s="10"/>
      <c r="N53" s="10"/>
      <c r="O53" s="10"/>
    </row>
    <row r="54" spans="1:15" x14ac:dyDescent="0.2">
      <c r="A54" s="1">
        <f t="shared" si="0"/>
        <v>54</v>
      </c>
      <c r="B54" s="3">
        <v>38</v>
      </c>
      <c r="C54" t="s">
        <v>99</v>
      </c>
      <c r="D54" s="28">
        <f>'Proposed - YE 2025'!L54</f>
        <v>2097196</v>
      </c>
      <c r="E54" s="28">
        <f>'Proposed - YE 2025'!M54</f>
        <v>302169</v>
      </c>
      <c r="F54" s="28">
        <f>'Proposed - YE 2025'!N54</f>
        <v>1795027</v>
      </c>
      <c r="G54" s="28">
        <f>'Proposed - YE 2025'!O54</f>
        <v>0</v>
      </c>
      <c r="H54" s="28">
        <f>ROUND(F54*$J$88,0)</f>
        <v>20140</v>
      </c>
      <c r="I54" s="28">
        <f>ROUND(F54*$J$91,0)</f>
        <v>3052</v>
      </c>
      <c r="J54" s="28">
        <f>'Proposed - YE 2024'!J54</f>
        <v>5925</v>
      </c>
      <c r="K54" s="28">
        <f>ROUND(J54*12,0)</f>
        <v>71100</v>
      </c>
      <c r="L54" s="28">
        <f>D54</f>
        <v>2097196</v>
      </c>
      <c r="M54" s="28">
        <f>E54+K54</f>
        <v>373269</v>
      </c>
      <c r="N54" s="28">
        <f>L54-M54</f>
        <v>1723927</v>
      </c>
      <c r="O54" s="28">
        <v>0</v>
      </c>
    </row>
    <row r="55" spans="1:15" x14ac:dyDescent="0.2">
      <c r="A55" s="1">
        <f t="shared" si="0"/>
        <v>55</v>
      </c>
      <c r="B55" s="3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x14ac:dyDescent="0.2">
      <c r="A56" s="1">
        <f t="shared" si="0"/>
        <v>56</v>
      </c>
      <c r="B56" s="3">
        <v>39</v>
      </c>
      <c r="C56" t="s">
        <v>157</v>
      </c>
      <c r="D56" s="15">
        <f>'Proposed - YE 2025'!L56</f>
        <v>10997198</v>
      </c>
      <c r="E56" s="15">
        <f>'Proposed - YE 2025'!M56</f>
        <v>1178726</v>
      </c>
      <c r="F56" s="15">
        <f>'Proposed - YE 2025'!N56</f>
        <v>9818472</v>
      </c>
      <c r="G56" s="15">
        <f>'Proposed - YE 2025'!O56</f>
        <v>0</v>
      </c>
      <c r="H56" s="15">
        <f>ROUND(F56*$J$88,0)</f>
        <v>110163</v>
      </c>
      <c r="I56" s="15">
        <v>0</v>
      </c>
      <c r="J56" s="50">
        <f>'Proposed - YE 2024'!J56</f>
        <v>31067</v>
      </c>
      <c r="K56" s="15">
        <f>ROUND(J56*12,0)</f>
        <v>372804</v>
      </c>
      <c r="L56" s="15">
        <f>D56</f>
        <v>10997198</v>
      </c>
      <c r="M56" s="15">
        <f>E56+K56</f>
        <v>1551530</v>
      </c>
      <c r="N56" s="15">
        <f>L56-M56</f>
        <v>9445668</v>
      </c>
      <c r="O56" s="15">
        <v>0</v>
      </c>
    </row>
    <row r="57" spans="1:15" x14ac:dyDescent="0.2">
      <c r="A57" s="1">
        <f t="shared" si="0"/>
        <v>57</v>
      </c>
      <c r="B57" s="3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x14ac:dyDescent="0.2">
      <c r="A58" s="1">
        <f t="shared" si="0"/>
        <v>58</v>
      </c>
      <c r="B58" s="3"/>
      <c r="C58" t="s">
        <v>155</v>
      </c>
      <c r="D58" s="28">
        <f>SUM(D14:D56)</f>
        <v>38983137</v>
      </c>
      <c r="E58" s="28">
        <f>SUM(E14:E56)</f>
        <v>5810321</v>
      </c>
      <c r="F58" s="28">
        <f t="shared" ref="F58" si="1">D58-E58</f>
        <v>33172816</v>
      </c>
      <c r="G58" s="28">
        <f t="shared" ref="G58:O58" si="2">SUM(G14:G56)</f>
        <v>0</v>
      </c>
      <c r="H58" s="28">
        <f t="shared" si="2"/>
        <v>208279</v>
      </c>
      <c r="I58" s="28">
        <f t="shared" si="2"/>
        <v>32232</v>
      </c>
      <c r="J58" s="28">
        <f t="shared" si="2"/>
        <v>108744</v>
      </c>
      <c r="K58" s="28">
        <f t="shared" si="2"/>
        <v>1304928</v>
      </c>
      <c r="L58" s="28">
        <f t="shared" si="2"/>
        <v>38983137</v>
      </c>
      <c r="M58" s="28">
        <f t="shared" si="2"/>
        <v>7115249</v>
      </c>
      <c r="N58" s="28">
        <f t="shared" si="2"/>
        <v>31867888</v>
      </c>
      <c r="O58" s="28">
        <f t="shared" si="2"/>
        <v>0</v>
      </c>
    </row>
    <row r="59" spans="1:15" x14ac:dyDescent="0.2">
      <c r="A59" s="1">
        <f t="shared" si="0"/>
        <v>59</v>
      </c>
      <c r="B59" s="3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x14ac:dyDescent="0.2">
      <c r="A60" s="1">
        <f t="shared" si="0"/>
        <v>60</v>
      </c>
      <c r="B60" s="3">
        <v>40</v>
      </c>
      <c r="C60" t="s">
        <v>156</v>
      </c>
      <c r="D60" s="15">
        <f>'Proposed - YE 2025'!L60</f>
        <v>4979252</v>
      </c>
      <c r="E60" s="15">
        <f>'Proposed - YE 2025'!M60</f>
        <v>393848</v>
      </c>
      <c r="F60" s="15">
        <f>'Proposed - YE 2025'!N60</f>
        <v>4585404</v>
      </c>
      <c r="G60" s="15">
        <f>'Proposed - YE 2025'!O60</f>
        <v>0</v>
      </c>
      <c r="H60" s="15">
        <f>ROUND(F60*$J$88,0)</f>
        <v>51448</v>
      </c>
      <c r="I60" s="15">
        <v>0</v>
      </c>
      <c r="J60" s="50">
        <f>'Proposed - YE 2024'!J60</f>
        <v>14066</v>
      </c>
      <c r="K60" s="15">
        <f>ROUND(J60*12,0)</f>
        <v>168792</v>
      </c>
      <c r="L60" s="15">
        <f>D60</f>
        <v>4979252</v>
      </c>
      <c r="M60" s="15">
        <f>E60+K60</f>
        <v>562640</v>
      </c>
      <c r="N60" s="15">
        <f>L60-M60</f>
        <v>4416612</v>
      </c>
      <c r="O60" s="15">
        <v>0</v>
      </c>
    </row>
    <row r="61" spans="1:15" x14ac:dyDescent="0.2">
      <c r="A61" s="1">
        <f t="shared" si="0"/>
        <v>61</v>
      </c>
      <c r="B61" s="3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 ht="15" thickBot="1" x14ac:dyDescent="0.25">
      <c r="A62" s="1">
        <f t="shared" si="0"/>
        <v>62</v>
      </c>
      <c r="B62" s="3"/>
      <c r="C62" t="s">
        <v>100</v>
      </c>
      <c r="D62" s="16">
        <f>D58+D60</f>
        <v>43962389</v>
      </c>
      <c r="E62" s="16">
        <f t="shared" ref="E62:O62" si="3">E58+E60</f>
        <v>6204169</v>
      </c>
      <c r="F62" s="16">
        <f t="shared" si="3"/>
        <v>37758220</v>
      </c>
      <c r="G62" s="16">
        <f t="shared" si="3"/>
        <v>0</v>
      </c>
      <c r="H62" s="16">
        <f t="shared" si="3"/>
        <v>259727</v>
      </c>
      <c r="I62" s="16">
        <f t="shared" si="3"/>
        <v>32232</v>
      </c>
      <c r="J62" s="16">
        <f t="shared" si="3"/>
        <v>122810</v>
      </c>
      <c r="K62" s="16">
        <f t="shared" si="3"/>
        <v>1473720</v>
      </c>
      <c r="L62" s="16">
        <f t="shared" si="3"/>
        <v>43962389</v>
      </c>
      <c r="M62" s="16">
        <f t="shared" si="3"/>
        <v>7677889</v>
      </c>
      <c r="N62" s="16">
        <f t="shared" si="3"/>
        <v>36284500</v>
      </c>
      <c r="O62" s="16">
        <f t="shared" si="3"/>
        <v>0</v>
      </c>
    </row>
    <row r="63" spans="1:15" ht="15" thickTop="1" x14ac:dyDescent="0.2">
      <c r="A63" s="1">
        <f t="shared" si="0"/>
        <v>63</v>
      </c>
      <c r="B63" s="3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x14ac:dyDescent="0.2">
      <c r="A64" s="1">
        <f t="shared" si="0"/>
        <v>64</v>
      </c>
      <c r="B64" s="17" t="s">
        <v>49</v>
      </c>
      <c r="D64" s="10"/>
      <c r="E64" s="10"/>
      <c r="F64" s="10"/>
      <c r="G64" s="10"/>
      <c r="H64" s="32" t="s">
        <v>109</v>
      </c>
      <c r="I64" s="10"/>
      <c r="J64" s="10"/>
      <c r="K64" s="10"/>
      <c r="L64" s="10"/>
      <c r="M64" s="10"/>
      <c r="N64" s="10"/>
      <c r="O64" s="10"/>
    </row>
    <row r="65" spans="1:15" x14ac:dyDescent="0.2">
      <c r="A65" s="1">
        <f t="shared" si="0"/>
        <v>65</v>
      </c>
      <c r="B65" s="3"/>
      <c r="C65" t="s">
        <v>22</v>
      </c>
      <c r="D65" s="10">
        <f>L62</f>
        <v>43962389</v>
      </c>
      <c r="E65" s="10"/>
      <c r="F65" s="10"/>
      <c r="G65" s="10"/>
      <c r="H65" s="3" t="s">
        <v>167</v>
      </c>
      <c r="I65" t="s">
        <v>95</v>
      </c>
      <c r="J65" s="10"/>
      <c r="K65" s="10"/>
      <c r="L65" s="10"/>
      <c r="M65" s="10">
        <v>20000</v>
      </c>
      <c r="N65" s="10"/>
      <c r="O65" s="10"/>
    </row>
    <row r="66" spans="1:15" x14ac:dyDescent="0.2">
      <c r="A66" s="1">
        <f t="shared" si="0"/>
        <v>66</v>
      </c>
      <c r="B66" s="3"/>
      <c r="C66" t="s">
        <v>6</v>
      </c>
      <c r="D66" s="15">
        <f>O62</f>
        <v>0</v>
      </c>
      <c r="E66" s="10"/>
      <c r="F66" s="10"/>
      <c r="G66" s="10"/>
      <c r="H66" s="3" t="s">
        <v>165</v>
      </c>
      <c r="I66" t="s">
        <v>93</v>
      </c>
      <c r="J66" s="10"/>
      <c r="K66" s="10"/>
      <c r="L66" s="10"/>
      <c r="M66" s="10">
        <v>18000</v>
      </c>
      <c r="N66" s="10"/>
      <c r="O66" s="10"/>
    </row>
    <row r="67" spans="1:15" x14ac:dyDescent="0.2">
      <c r="A67" s="1">
        <f t="shared" si="0"/>
        <v>67</v>
      </c>
      <c r="B67" s="3"/>
      <c r="C67" t="s">
        <v>23</v>
      </c>
      <c r="D67" s="10">
        <f>D65+D66</f>
        <v>43962389</v>
      </c>
      <c r="E67" s="10"/>
      <c r="F67" s="10"/>
      <c r="G67" s="10"/>
      <c r="H67" s="3" t="s">
        <v>166</v>
      </c>
      <c r="I67" t="s">
        <v>94</v>
      </c>
      <c r="J67" s="10"/>
      <c r="K67" s="10"/>
      <c r="L67" s="10"/>
      <c r="M67" s="10">
        <v>25000</v>
      </c>
      <c r="N67" s="10"/>
      <c r="O67" s="10"/>
    </row>
    <row r="68" spans="1:15" x14ac:dyDescent="0.2">
      <c r="A68" s="1">
        <f t="shared" si="0"/>
        <v>68</v>
      </c>
      <c r="B68" s="3"/>
      <c r="C68" t="s">
        <v>24</v>
      </c>
      <c r="D68" s="10"/>
      <c r="E68" s="10"/>
      <c r="F68" s="10"/>
      <c r="G68" s="10"/>
      <c r="H68" s="3" t="s">
        <v>168</v>
      </c>
      <c r="I68" t="s">
        <v>96</v>
      </c>
      <c r="J68" s="10"/>
      <c r="K68" s="10"/>
      <c r="L68" s="10"/>
      <c r="M68" s="28">
        <v>20000</v>
      </c>
      <c r="N68" s="10"/>
      <c r="O68" s="10"/>
    </row>
    <row r="69" spans="1:15" x14ac:dyDescent="0.2">
      <c r="A69" s="1">
        <f t="shared" si="0"/>
        <v>69</v>
      </c>
      <c r="C69" t="s">
        <v>25</v>
      </c>
      <c r="D69" s="28">
        <f>ROUND(D75*0.125,0)</f>
        <v>94295</v>
      </c>
      <c r="E69" s="10" t="s">
        <v>108</v>
      </c>
      <c r="F69" s="10"/>
      <c r="G69" s="10"/>
      <c r="H69" s="3" t="s">
        <v>164</v>
      </c>
      <c r="I69" t="s">
        <v>88</v>
      </c>
      <c r="J69" s="10"/>
      <c r="K69" s="10"/>
      <c r="L69" s="10"/>
      <c r="M69" s="10">
        <v>217000</v>
      </c>
      <c r="N69" s="10"/>
      <c r="O69" s="10"/>
    </row>
    <row r="70" spans="1:15" x14ac:dyDescent="0.2">
      <c r="A70" s="1">
        <f t="shared" si="0"/>
        <v>70</v>
      </c>
      <c r="C70" t="s">
        <v>26</v>
      </c>
      <c r="D70" s="28"/>
      <c r="E70" s="10"/>
      <c r="F70" s="10"/>
      <c r="G70" s="10"/>
      <c r="H70" s="3" t="s">
        <v>162</v>
      </c>
      <c r="I70" t="s">
        <v>81</v>
      </c>
      <c r="J70" s="10"/>
      <c r="K70" s="10"/>
      <c r="L70" s="10"/>
      <c r="M70" s="10">
        <v>34500</v>
      </c>
      <c r="N70" s="10"/>
      <c r="O70" s="10"/>
    </row>
    <row r="71" spans="1:15" x14ac:dyDescent="0.2">
      <c r="A71" s="1">
        <f t="shared" si="0"/>
        <v>71</v>
      </c>
      <c r="C71" t="s">
        <v>27</v>
      </c>
      <c r="D71" s="15">
        <f>M62</f>
        <v>7677889</v>
      </c>
      <c r="E71" s="10"/>
      <c r="F71" s="10"/>
      <c r="G71" s="10"/>
      <c r="H71" s="3" t="s">
        <v>163</v>
      </c>
      <c r="I71" t="s">
        <v>87</v>
      </c>
      <c r="J71" s="10"/>
      <c r="K71" s="10"/>
      <c r="L71" s="10"/>
      <c r="M71" s="10">
        <v>102030</v>
      </c>
      <c r="N71" s="10"/>
      <c r="O71" s="10"/>
    </row>
    <row r="72" spans="1:15" ht="15" thickBot="1" x14ac:dyDescent="0.25">
      <c r="A72" s="1">
        <f t="shared" si="0"/>
        <v>72</v>
      </c>
      <c r="C72" t="s">
        <v>28</v>
      </c>
      <c r="D72" s="18">
        <f>D67+D69-D71</f>
        <v>36378795</v>
      </c>
      <c r="E72" s="10"/>
      <c r="F72" s="10"/>
      <c r="G72" s="10"/>
      <c r="H72" s="3">
        <v>27</v>
      </c>
      <c r="I72" t="s">
        <v>80</v>
      </c>
      <c r="J72" s="10"/>
      <c r="K72" s="10"/>
      <c r="L72" s="10"/>
      <c r="M72" s="10">
        <v>23550</v>
      </c>
      <c r="N72" s="10"/>
      <c r="O72" s="10"/>
    </row>
    <row r="73" spans="1:15" ht="15" thickTop="1" x14ac:dyDescent="0.2">
      <c r="A73" s="1">
        <f t="shared" si="0"/>
        <v>73</v>
      </c>
      <c r="D73" s="10"/>
      <c r="E73" s="10"/>
      <c r="F73" s="10"/>
      <c r="G73" s="10"/>
      <c r="H73" s="3">
        <v>28</v>
      </c>
      <c r="I73" t="s">
        <v>82</v>
      </c>
      <c r="J73" s="10"/>
      <c r="K73" s="10"/>
      <c r="L73" s="10"/>
      <c r="M73" s="10">
        <v>125150</v>
      </c>
      <c r="N73" s="10"/>
      <c r="O73" s="10"/>
    </row>
    <row r="74" spans="1:15" x14ac:dyDescent="0.2">
      <c r="A74" s="1">
        <f t="shared" ref="A74:A135" si="4">A73+1</f>
        <v>74</v>
      </c>
      <c r="B74" s="4" t="s">
        <v>50</v>
      </c>
      <c r="D74" s="10"/>
      <c r="E74" s="10"/>
      <c r="F74" s="10"/>
      <c r="G74" s="10"/>
      <c r="H74" s="3">
        <v>30</v>
      </c>
      <c r="I74" t="s">
        <v>84</v>
      </c>
      <c r="J74" s="10"/>
      <c r="K74" s="10"/>
      <c r="L74" s="10"/>
      <c r="M74" s="10">
        <v>5000</v>
      </c>
      <c r="N74" s="10"/>
      <c r="O74" s="10"/>
    </row>
    <row r="75" spans="1:15" x14ac:dyDescent="0.2">
      <c r="A75" s="1">
        <f t="shared" si="4"/>
        <v>75</v>
      </c>
      <c r="C75" t="s">
        <v>29</v>
      </c>
      <c r="D75" s="10">
        <f>M84</f>
        <v>754357</v>
      </c>
      <c r="E75" s="10"/>
      <c r="F75" s="10"/>
      <c r="G75" s="10"/>
      <c r="H75" s="3">
        <v>31</v>
      </c>
      <c r="I75" t="s">
        <v>85</v>
      </c>
      <c r="J75" s="10"/>
      <c r="K75" s="10"/>
      <c r="L75" s="10"/>
      <c r="M75" s="10">
        <v>15039</v>
      </c>
      <c r="N75" s="10"/>
      <c r="O75" s="10"/>
    </row>
    <row r="76" spans="1:15" x14ac:dyDescent="0.2">
      <c r="A76" s="1">
        <f t="shared" si="4"/>
        <v>76</v>
      </c>
      <c r="C76" t="s">
        <v>30</v>
      </c>
      <c r="D76" s="10">
        <f>K62</f>
        <v>1473720</v>
      </c>
      <c r="E76" s="10"/>
      <c r="F76" s="10"/>
      <c r="G76" s="10"/>
      <c r="H76" s="3">
        <v>33</v>
      </c>
      <c r="I76" t="s">
        <v>89</v>
      </c>
      <c r="J76" s="10"/>
      <c r="K76" s="10"/>
      <c r="L76" s="10"/>
      <c r="M76" s="10">
        <v>26000</v>
      </c>
      <c r="N76" s="10"/>
      <c r="O76" s="10"/>
    </row>
    <row r="77" spans="1:15" x14ac:dyDescent="0.2">
      <c r="A77" s="1">
        <f t="shared" si="4"/>
        <v>77</v>
      </c>
      <c r="C77" t="s">
        <v>31</v>
      </c>
      <c r="D77" s="10">
        <f>H62</f>
        <v>259727</v>
      </c>
      <c r="E77" s="10"/>
      <c r="F77" s="10"/>
      <c r="G77" s="10"/>
      <c r="H77" s="3">
        <v>34</v>
      </c>
      <c r="I77" t="s">
        <v>90</v>
      </c>
      <c r="J77" s="10"/>
      <c r="K77" s="10"/>
      <c r="L77" s="10"/>
      <c r="M77" s="10">
        <v>6000</v>
      </c>
      <c r="N77" s="10"/>
      <c r="O77" s="10"/>
    </row>
    <row r="78" spans="1:15" x14ac:dyDescent="0.2">
      <c r="A78" s="1">
        <f t="shared" si="4"/>
        <v>78</v>
      </c>
      <c r="C78" t="s">
        <v>32</v>
      </c>
      <c r="D78" s="15">
        <f>I62</f>
        <v>32232</v>
      </c>
      <c r="E78" s="10"/>
      <c r="F78" s="10"/>
      <c r="G78" s="10"/>
      <c r="H78" s="3">
        <v>34</v>
      </c>
      <c r="I78" t="s">
        <v>91</v>
      </c>
      <c r="J78" s="10"/>
      <c r="K78" s="10"/>
      <c r="L78" s="10"/>
      <c r="M78" s="10">
        <v>4000</v>
      </c>
      <c r="N78" s="10"/>
      <c r="O78" s="10"/>
    </row>
    <row r="79" spans="1:15" ht="15" thickBot="1" x14ac:dyDescent="0.25">
      <c r="A79" s="1">
        <f t="shared" si="4"/>
        <v>79</v>
      </c>
      <c r="C79" t="s">
        <v>33</v>
      </c>
      <c r="D79" s="18">
        <f>SUM(D75:D78)</f>
        <v>2520036</v>
      </c>
      <c r="E79" s="10"/>
      <c r="F79" s="10"/>
      <c r="G79" s="10"/>
      <c r="H79" s="3">
        <v>35</v>
      </c>
      <c r="I79" t="s">
        <v>92</v>
      </c>
      <c r="J79" s="10"/>
      <c r="K79" s="10"/>
      <c r="L79" s="10"/>
      <c r="M79" s="10">
        <v>25000</v>
      </c>
      <c r="N79" s="10"/>
      <c r="O79" s="10"/>
    </row>
    <row r="80" spans="1:15" ht="15" thickTop="1" x14ac:dyDescent="0.2">
      <c r="A80" s="1">
        <f t="shared" si="4"/>
        <v>80</v>
      </c>
      <c r="D80" s="10"/>
      <c r="E80" s="10"/>
      <c r="F80" s="10"/>
      <c r="G80" s="10"/>
      <c r="H80" s="55">
        <v>37</v>
      </c>
      <c r="I80" s="10" t="s">
        <v>98</v>
      </c>
      <c r="J80" s="10"/>
      <c r="K80" s="10"/>
      <c r="L80" s="10"/>
      <c r="M80" s="10">
        <v>26088</v>
      </c>
      <c r="N80" s="10"/>
      <c r="O80" s="10"/>
    </row>
    <row r="81" spans="1:15" x14ac:dyDescent="0.2">
      <c r="A81" s="1">
        <f t="shared" si="4"/>
        <v>81</v>
      </c>
      <c r="B81" s="4" t="s">
        <v>51</v>
      </c>
      <c r="D81" s="10"/>
      <c r="E81" s="10"/>
      <c r="F81" s="10"/>
      <c r="G81" s="10"/>
      <c r="H81" s="55">
        <v>38</v>
      </c>
      <c r="I81" t="s">
        <v>99</v>
      </c>
      <c r="M81" s="28">
        <v>35000</v>
      </c>
      <c r="N81" s="10"/>
      <c r="O81" s="10"/>
    </row>
    <row r="82" spans="1:15" x14ac:dyDescent="0.2">
      <c r="A82" s="1">
        <f t="shared" si="4"/>
        <v>82</v>
      </c>
      <c r="C82" t="s">
        <v>28</v>
      </c>
      <c r="D82" s="48">
        <f>D72</f>
        <v>36378795</v>
      </c>
      <c r="E82" s="49"/>
      <c r="F82" s="48"/>
      <c r="G82" s="48"/>
      <c r="H82" s="56">
        <v>39</v>
      </c>
      <c r="I82" s="48" t="s">
        <v>157</v>
      </c>
      <c r="J82" s="48"/>
      <c r="K82" s="48"/>
      <c r="L82" s="10"/>
      <c r="M82" s="15">
        <v>27000</v>
      </c>
      <c r="N82" s="10"/>
      <c r="O82" s="10"/>
    </row>
    <row r="83" spans="1:15" x14ac:dyDescent="0.2">
      <c r="A83" s="1">
        <f t="shared" si="4"/>
        <v>83</v>
      </c>
      <c r="C83" s="49" t="s">
        <v>186</v>
      </c>
      <c r="D83" s="64">
        <f>'Proposed - YE 2024'!D83</f>
        <v>6.4869999999999997E-2</v>
      </c>
      <c r="E83" s="49"/>
      <c r="F83" s="48"/>
      <c r="G83" s="48"/>
      <c r="N83" s="10"/>
      <c r="O83" s="10"/>
    </row>
    <row r="84" spans="1:15" ht="15" thickBot="1" x14ac:dyDescent="0.25">
      <c r="A84" s="1">
        <f t="shared" si="4"/>
        <v>84</v>
      </c>
      <c r="C84" t="s">
        <v>34</v>
      </c>
      <c r="D84" s="48">
        <f>ROUND(D82*D83,0)</f>
        <v>2359892</v>
      </c>
      <c r="E84" s="49"/>
      <c r="F84" s="48"/>
      <c r="G84" s="48"/>
      <c r="H84" s="10" t="s">
        <v>110</v>
      </c>
      <c r="I84" s="10"/>
      <c r="J84" s="10"/>
      <c r="K84" s="10"/>
      <c r="L84" s="10"/>
      <c r="M84" s="16">
        <f>SUM(M65:M82)</f>
        <v>754357</v>
      </c>
      <c r="N84" s="10"/>
      <c r="O84" s="10"/>
    </row>
    <row r="85" spans="1:15" ht="15" thickTop="1" x14ac:dyDescent="0.2">
      <c r="A85" s="1">
        <f t="shared" si="4"/>
        <v>85</v>
      </c>
      <c r="C85" t="s">
        <v>35</v>
      </c>
      <c r="D85" s="50">
        <f>D79</f>
        <v>2520036</v>
      </c>
      <c r="E85" s="48"/>
      <c r="F85" s="49"/>
      <c r="G85" s="48"/>
      <c r="H85" s="48"/>
      <c r="I85" s="48"/>
      <c r="J85" s="48"/>
      <c r="K85" s="48"/>
      <c r="L85" s="10"/>
      <c r="M85" s="10"/>
      <c r="N85" s="10"/>
      <c r="O85" s="10"/>
    </row>
    <row r="86" spans="1:15" x14ac:dyDescent="0.2">
      <c r="A86" s="1">
        <f t="shared" si="4"/>
        <v>86</v>
      </c>
      <c r="C86" t="s">
        <v>37</v>
      </c>
      <c r="D86" s="48">
        <f>D84+D85</f>
        <v>4879928</v>
      </c>
      <c r="E86" s="48"/>
      <c r="F86" s="49"/>
      <c r="G86" s="48"/>
      <c r="N86" s="10"/>
      <c r="O86" s="10"/>
    </row>
    <row r="87" spans="1:15" x14ac:dyDescent="0.2">
      <c r="A87" s="1">
        <f t="shared" si="4"/>
        <v>87</v>
      </c>
      <c r="C87" t="s">
        <v>36</v>
      </c>
      <c r="D87" s="51">
        <v>0.9556</v>
      </c>
      <c r="E87" s="48"/>
      <c r="F87" s="49"/>
      <c r="G87" s="48"/>
      <c r="I87" s="11" t="s">
        <v>16</v>
      </c>
      <c r="J87" s="12">
        <v>1.5E-3</v>
      </c>
      <c r="K87" t="s">
        <v>18</v>
      </c>
      <c r="N87" s="10"/>
      <c r="O87" s="10"/>
    </row>
    <row r="88" spans="1:15" x14ac:dyDescent="0.2">
      <c r="A88" s="1">
        <f t="shared" si="4"/>
        <v>88</v>
      </c>
      <c r="C88" t="s">
        <v>106</v>
      </c>
      <c r="D88" s="48">
        <f>ROUND(D86*D87,0)</f>
        <v>4663259</v>
      </c>
      <c r="E88" s="48"/>
      <c r="F88" s="49"/>
      <c r="G88" s="48"/>
      <c r="J88" s="12">
        <v>1.1220000000000001E-2</v>
      </c>
      <c r="K88" t="s">
        <v>20</v>
      </c>
      <c r="N88" s="10"/>
      <c r="O88" s="10"/>
    </row>
    <row r="89" spans="1:15" x14ac:dyDescent="0.2">
      <c r="A89" s="1">
        <f t="shared" si="4"/>
        <v>89</v>
      </c>
      <c r="B89" s="3"/>
      <c r="C89" t="s">
        <v>104</v>
      </c>
      <c r="D89" s="48"/>
      <c r="E89" s="48"/>
      <c r="F89" s="48"/>
      <c r="G89" s="48"/>
      <c r="J89" s="13">
        <v>8.633E-3</v>
      </c>
      <c r="K89" t="s">
        <v>19</v>
      </c>
      <c r="N89" s="10"/>
      <c r="O89" s="10"/>
    </row>
    <row r="90" spans="1:15" x14ac:dyDescent="0.2">
      <c r="A90" s="1">
        <f t="shared" si="4"/>
        <v>90</v>
      </c>
      <c r="B90" s="3"/>
      <c r="C90" t="s">
        <v>105</v>
      </c>
      <c r="D90" s="50">
        <f>BESF!D36</f>
        <v>1249428</v>
      </c>
      <c r="E90" s="48"/>
      <c r="F90" s="48"/>
      <c r="G90" s="48"/>
      <c r="J90" s="14">
        <v>7.0299999999999998E-3</v>
      </c>
      <c r="K90" t="s">
        <v>21</v>
      </c>
      <c r="N90" s="10"/>
      <c r="O90" s="10"/>
    </row>
    <row r="91" spans="1:15" ht="15" thickBot="1" x14ac:dyDescent="0.25">
      <c r="A91" s="1">
        <f t="shared" si="4"/>
        <v>91</v>
      </c>
      <c r="B91" s="3"/>
      <c r="C91" s="40" t="s">
        <v>107</v>
      </c>
      <c r="D91" s="52">
        <f>D88-D90</f>
        <v>3413831</v>
      </c>
      <c r="E91" s="48"/>
      <c r="F91" s="48"/>
      <c r="G91" s="48"/>
      <c r="I91" s="11" t="s">
        <v>17</v>
      </c>
      <c r="J91" s="12">
        <v>1.6999999999999999E-3</v>
      </c>
      <c r="N91" s="10"/>
      <c r="O91" s="10"/>
    </row>
    <row r="92" spans="1:15" ht="15" thickTop="1" x14ac:dyDescent="0.2">
      <c r="A92" s="1">
        <f t="shared" si="4"/>
        <v>92</v>
      </c>
      <c r="B92" s="3"/>
      <c r="D92" s="10"/>
      <c r="E92" s="10"/>
      <c r="F92" s="10"/>
      <c r="G92" s="10"/>
      <c r="N92" s="10"/>
      <c r="O92" s="10"/>
    </row>
    <row r="93" spans="1:15" x14ac:dyDescent="0.2">
      <c r="A93" s="1">
        <f t="shared" si="4"/>
        <v>93</v>
      </c>
      <c r="B93" s="31" t="s">
        <v>102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x14ac:dyDescent="0.2">
      <c r="A94" s="1">
        <f t="shared" si="4"/>
        <v>94</v>
      </c>
      <c r="B94" s="3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x14ac:dyDescent="0.2">
      <c r="A95" s="1">
        <f t="shared" si="4"/>
        <v>95</v>
      </c>
      <c r="B95" s="4" t="s">
        <v>0</v>
      </c>
    </row>
    <row r="96" spans="1:15" x14ac:dyDescent="0.2">
      <c r="A96" s="1">
        <f t="shared" si="4"/>
        <v>96</v>
      </c>
      <c r="D96" s="66" t="s">
        <v>43</v>
      </c>
      <c r="E96" s="67"/>
      <c r="F96" s="67"/>
      <c r="G96" s="68"/>
      <c r="H96" s="66" t="s">
        <v>44</v>
      </c>
      <c r="I96" s="67"/>
      <c r="J96" s="67"/>
      <c r="K96" s="68"/>
      <c r="L96" s="66" t="s">
        <v>45</v>
      </c>
      <c r="M96" s="67"/>
      <c r="N96" s="67"/>
      <c r="O96" s="68"/>
    </row>
    <row r="97" spans="1:15" x14ac:dyDescent="0.2">
      <c r="A97" s="1">
        <f t="shared" si="4"/>
        <v>97</v>
      </c>
      <c r="B97" s="3"/>
      <c r="C97" s="3"/>
      <c r="D97" s="3" t="s">
        <v>2</v>
      </c>
      <c r="E97" s="3" t="s">
        <v>4</v>
      </c>
      <c r="F97" s="3" t="s">
        <v>7</v>
      </c>
      <c r="G97" s="3"/>
      <c r="H97" s="6" t="s">
        <v>8</v>
      </c>
      <c r="I97" s="3" t="s">
        <v>8</v>
      </c>
      <c r="J97" s="70" t="s">
        <v>11</v>
      </c>
      <c r="K97" s="71"/>
      <c r="L97" s="3" t="s">
        <v>2</v>
      </c>
      <c r="M97" s="3" t="s">
        <v>4</v>
      </c>
      <c r="N97" s="3" t="s">
        <v>7</v>
      </c>
      <c r="O97" s="3"/>
    </row>
    <row r="98" spans="1:15" ht="15" thickBot="1" x14ac:dyDescent="0.25">
      <c r="A98" s="1">
        <f t="shared" si="4"/>
        <v>98</v>
      </c>
      <c r="B98" s="5"/>
      <c r="C98" s="5" t="s">
        <v>1</v>
      </c>
      <c r="D98" s="5" t="s">
        <v>3</v>
      </c>
      <c r="E98" s="5" t="s">
        <v>5</v>
      </c>
      <c r="F98" s="5" t="s">
        <v>3</v>
      </c>
      <c r="G98" s="5" t="s">
        <v>6</v>
      </c>
      <c r="H98" s="7" t="s">
        <v>9</v>
      </c>
      <c r="I98" s="5" t="s">
        <v>10</v>
      </c>
      <c r="J98" s="9" t="s">
        <v>12</v>
      </c>
      <c r="K98" s="8" t="s">
        <v>13</v>
      </c>
      <c r="L98" s="5" t="s">
        <v>3</v>
      </c>
      <c r="M98" s="5" t="s">
        <v>5</v>
      </c>
      <c r="N98" s="5" t="s">
        <v>3</v>
      </c>
      <c r="O98" s="5" t="s">
        <v>6</v>
      </c>
    </row>
    <row r="99" spans="1:15" x14ac:dyDescent="0.2">
      <c r="A99" s="1">
        <f t="shared" si="4"/>
        <v>99</v>
      </c>
      <c r="B99" s="3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ht="15" thickBot="1" x14ac:dyDescent="0.25">
      <c r="A100" s="1">
        <f t="shared" si="4"/>
        <v>100</v>
      </c>
      <c r="B100" s="3">
        <v>40</v>
      </c>
      <c r="C100" t="s">
        <v>101</v>
      </c>
      <c r="D100" s="16">
        <f>'Proposed - YE 2025'!L100</f>
        <v>15730000</v>
      </c>
      <c r="E100" s="16">
        <f>'Proposed - YE 2025'!M100</f>
        <v>577681</v>
      </c>
      <c r="F100" s="16">
        <f>'Proposed - YE 2025'!N100</f>
        <v>15152319</v>
      </c>
      <c r="G100" s="16">
        <f>'Proposed - YE 2025'!O100</f>
        <v>0</v>
      </c>
      <c r="H100" s="16">
        <f>ROUND(F100*$J$88,0)</f>
        <v>170009</v>
      </c>
      <c r="I100" s="16">
        <v>0</v>
      </c>
      <c r="J100" s="16">
        <f>'Proposed - YE 2024'!J100</f>
        <v>44437</v>
      </c>
      <c r="K100" s="16">
        <f>ROUND(J100*12,0)</f>
        <v>533244</v>
      </c>
      <c r="L100" s="16">
        <f>D100</f>
        <v>15730000</v>
      </c>
      <c r="M100" s="16">
        <f>E100+K100</f>
        <v>1110925</v>
      </c>
      <c r="N100" s="16">
        <f>L100-M100</f>
        <v>14619075</v>
      </c>
      <c r="O100" s="16">
        <v>0</v>
      </c>
    </row>
    <row r="101" spans="1:15" ht="15" thickTop="1" x14ac:dyDescent="0.2">
      <c r="A101" s="1">
        <f t="shared" si="4"/>
        <v>101</v>
      </c>
      <c r="B101" s="3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x14ac:dyDescent="0.2">
      <c r="A102" s="1">
        <f t="shared" si="4"/>
        <v>102</v>
      </c>
      <c r="B102" s="17" t="s">
        <v>49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x14ac:dyDescent="0.2">
      <c r="A103" s="1">
        <f t="shared" si="4"/>
        <v>103</v>
      </c>
      <c r="B103" s="3"/>
      <c r="C103" t="s">
        <v>22</v>
      </c>
      <c r="D103" s="10">
        <f>L100</f>
        <v>15730000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x14ac:dyDescent="0.2">
      <c r="A104" s="1">
        <f t="shared" si="4"/>
        <v>104</v>
      </c>
      <c r="B104" s="3"/>
      <c r="C104" t="s">
        <v>6</v>
      </c>
      <c r="D104" s="15">
        <f>O100</f>
        <v>0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x14ac:dyDescent="0.2">
      <c r="A105" s="1">
        <f t="shared" si="4"/>
        <v>105</v>
      </c>
      <c r="B105" s="3"/>
      <c r="C105" t="s">
        <v>23</v>
      </c>
      <c r="D105" s="10">
        <f>D103+D104</f>
        <v>15730000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2">
      <c r="A106" s="1">
        <f t="shared" si="4"/>
        <v>106</v>
      </c>
      <c r="B106" s="3"/>
      <c r="C106" t="s">
        <v>24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2">
      <c r="A107" s="1">
        <f t="shared" si="4"/>
        <v>107</v>
      </c>
      <c r="C107" t="s">
        <v>25</v>
      </c>
      <c r="D107" s="10">
        <f>ROUND(D113*0.125,0)</f>
        <v>30250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x14ac:dyDescent="0.2">
      <c r="A108" s="1">
        <f t="shared" si="4"/>
        <v>108</v>
      </c>
      <c r="C108" t="s">
        <v>26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x14ac:dyDescent="0.2">
      <c r="A109" s="1">
        <f t="shared" si="4"/>
        <v>109</v>
      </c>
      <c r="C109" t="s">
        <v>27</v>
      </c>
      <c r="D109" s="15">
        <f>M100</f>
        <v>1110925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ht="15" thickBot="1" x14ac:dyDescent="0.25">
      <c r="A110" s="1">
        <f t="shared" si="4"/>
        <v>110</v>
      </c>
      <c r="C110" t="s">
        <v>28</v>
      </c>
      <c r="D110" s="18">
        <f>D105+D107-D109</f>
        <v>14649325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15" thickTop="1" x14ac:dyDescent="0.2">
      <c r="A111" s="1">
        <f t="shared" si="4"/>
        <v>111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x14ac:dyDescent="0.2">
      <c r="A112" s="1">
        <f t="shared" si="4"/>
        <v>112</v>
      </c>
      <c r="B112" s="4" t="s">
        <v>50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2">
      <c r="A113" s="1">
        <f t="shared" si="4"/>
        <v>113</v>
      </c>
      <c r="C113" t="s">
        <v>29</v>
      </c>
      <c r="D113" s="35">
        <v>242000</v>
      </c>
      <c r="E113" s="35"/>
      <c r="F113" s="35"/>
      <c r="G113" s="35"/>
      <c r="H113" s="10"/>
      <c r="I113" s="10"/>
      <c r="J113" s="10"/>
      <c r="K113" s="10"/>
      <c r="L113" s="10"/>
      <c r="M113" s="10"/>
      <c r="N113" s="10"/>
      <c r="O113" s="10"/>
    </row>
    <row r="114" spans="1:15" x14ac:dyDescent="0.2">
      <c r="A114" s="1">
        <f t="shared" si="4"/>
        <v>114</v>
      </c>
      <c r="C114" t="s">
        <v>30</v>
      </c>
      <c r="D114" s="35">
        <f>K100</f>
        <v>533244</v>
      </c>
      <c r="E114" s="35"/>
      <c r="F114" s="35"/>
      <c r="G114" s="35"/>
      <c r="H114" s="10"/>
      <c r="I114" s="10"/>
      <c r="J114" s="10"/>
      <c r="K114" s="10"/>
      <c r="L114" s="10"/>
      <c r="M114" s="10"/>
      <c r="N114" s="10"/>
      <c r="O114" s="10"/>
    </row>
    <row r="115" spans="1:15" x14ac:dyDescent="0.2">
      <c r="A115" s="1">
        <f t="shared" si="4"/>
        <v>115</v>
      </c>
      <c r="C115" t="s">
        <v>31</v>
      </c>
      <c r="D115" s="35">
        <f>H100</f>
        <v>170009</v>
      </c>
      <c r="E115" s="35"/>
      <c r="F115" s="35"/>
      <c r="G115" s="35"/>
      <c r="H115" s="28"/>
      <c r="I115" s="28"/>
      <c r="J115" s="28"/>
      <c r="K115" s="28"/>
      <c r="L115" s="28"/>
      <c r="M115" s="10"/>
      <c r="N115" s="10"/>
      <c r="O115" s="10"/>
    </row>
    <row r="116" spans="1:15" x14ac:dyDescent="0.2">
      <c r="A116" s="1">
        <f t="shared" si="4"/>
        <v>116</v>
      </c>
      <c r="C116" t="s">
        <v>32</v>
      </c>
      <c r="D116" s="37">
        <f>I100</f>
        <v>0</v>
      </c>
      <c r="E116" s="35"/>
      <c r="F116" s="35"/>
      <c r="G116" s="35"/>
      <c r="H116" s="28"/>
      <c r="I116" s="28"/>
      <c r="J116" s="28"/>
      <c r="K116" s="28"/>
      <c r="L116" s="28"/>
      <c r="M116" s="10"/>
      <c r="N116" s="10"/>
      <c r="O116" s="10"/>
    </row>
    <row r="117" spans="1:15" ht="15" thickBot="1" x14ac:dyDescent="0.25">
      <c r="A117" s="1">
        <f t="shared" si="4"/>
        <v>117</v>
      </c>
      <c r="C117" t="s">
        <v>33</v>
      </c>
      <c r="D117" s="38">
        <f>SUM(D113:D116)</f>
        <v>945253</v>
      </c>
      <c r="E117" s="35"/>
      <c r="F117" s="35"/>
      <c r="G117" s="35"/>
      <c r="H117" s="28"/>
      <c r="I117" s="28"/>
      <c r="J117" s="28"/>
      <c r="K117" s="28"/>
      <c r="L117" s="28"/>
      <c r="M117" s="10"/>
      <c r="N117" s="10"/>
      <c r="O117" s="10"/>
    </row>
    <row r="118" spans="1:15" ht="15" thickTop="1" x14ac:dyDescent="0.2">
      <c r="A118" s="1">
        <f t="shared" si="4"/>
        <v>118</v>
      </c>
      <c r="D118" s="35"/>
      <c r="E118" s="35"/>
      <c r="F118" s="35"/>
      <c r="G118" s="35"/>
      <c r="H118" s="28"/>
      <c r="I118" s="28"/>
      <c r="J118" s="28"/>
      <c r="K118" s="28"/>
      <c r="L118" s="28"/>
      <c r="M118" s="10"/>
      <c r="N118" s="10"/>
      <c r="O118" s="10"/>
    </row>
    <row r="119" spans="1:15" x14ac:dyDescent="0.2">
      <c r="A119" s="1">
        <f t="shared" si="4"/>
        <v>119</v>
      </c>
      <c r="B119" s="4" t="s">
        <v>51</v>
      </c>
      <c r="D119" s="35"/>
      <c r="E119" s="35"/>
      <c r="F119" s="35"/>
      <c r="G119" s="35"/>
      <c r="H119" s="28"/>
      <c r="I119" s="28"/>
      <c r="J119" s="28"/>
      <c r="K119" s="28"/>
      <c r="L119" s="28"/>
      <c r="M119" s="10"/>
      <c r="N119" s="10"/>
      <c r="O119" s="10"/>
    </row>
    <row r="120" spans="1:15" x14ac:dyDescent="0.2">
      <c r="A120" s="1">
        <f t="shared" si="4"/>
        <v>120</v>
      </c>
      <c r="C120" t="s">
        <v>28</v>
      </c>
      <c r="D120" s="35">
        <f>D110</f>
        <v>14649325</v>
      </c>
      <c r="E120" s="34"/>
      <c r="F120" s="34"/>
      <c r="G120" s="34"/>
      <c r="H120" s="28"/>
      <c r="I120" s="29"/>
      <c r="J120" s="29"/>
      <c r="K120" s="29"/>
      <c r="L120" s="28"/>
    </row>
    <row r="121" spans="1:15" x14ac:dyDescent="0.2">
      <c r="A121" s="1">
        <f t="shared" si="4"/>
        <v>121</v>
      </c>
      <c r="C121" s="49" t="s">
        <v>186</v>
      </c>
      <c r="D121" s="65">
        <f>D83</f>
        <v>6.4869999999999997E-2</v>
      </c>
      <c r="E121" s="34"/>
      <c r="F121" s="34"/>
      <c r="G121" s="34"/>
      <c r="H121" s="29"/>
      <c r="I121" s="29"/>
      <c r="J121" s="29"/>
      <c r="K121" s="29"/>
      <c r="L121" s="29"/>
    </row>
    <row r="122" spans="1:15" x14ac:dyDescent="0.2">
      <c r="A122" s="1">
        <f t="shared" si="4"/>
        <v>122</v>
      </c>
      <c r="C122" t="s">
        <v>34</v>
      </c>
      <c r="D122" s="35">
        <f>ROUND(D120*D121,0)</f>
        <v>950302</v>
      </c>
      <c r="E122" s="34"/>
      <c r="F122" s="34"/>
      <c r="G122" s="34"/>
    </row>
    <row r="123" spans="1:15" x14ac:dyDescent="0.2">
      <c r="A123" s="1">
        <f t="shared" si="4"/>
        <v>123</v>
      </c>
      <c r="C123" t="s">
        <v>35</v>
      </c>
      <c r="D123" s="37">
        <f>D117</f>
        <v>945253</v>
      </c>
      <c r="E123" s="34"/>
      <c r="F123" s="34"/>
      <c r="G123" s="34"/>
    </row>
    <row r="124" spans="1:15" x14ac:dyDescent="0.2">
      <c r="A124" s="1">
        <f t="shared" si="4"/>
        <v>124</v>
      </c>
      <c r="C124" t="s">
        <v>37</v>
      </c>
      <c r="D124" s="35">
        <f>D122+D123</f>
        <v>1895555</v>
      </c>
      <c r="E124" s="34"/>
      <c r="F124" s="34"/>
      <c r="G124" s="34"/>
    </row>
    <row r="125" spans="1:15" x14ac:dyDescent="0.2">
      <c r="A125" s="1">
        <f t="shared" si="4"/>
        <v>125</v>
      </c>
      <c r="C125" t="s">
        <v>36</v>
      </c>
      <c r="D125" s="39">
        <v>0.9556</v>
      </c>
      <c r="E125" s="34"/>
      <c r="F125" s="34"/>
      <c r="G125" s="34"/>
    </row>
    <row r="126" spans="1:15" ht="15" thickBot="1" x14ac:dyDescent="0.25">
      <c r="A126" s="1">
        <f t="shared" si="4"/>
        <v>126</v>
      </c>
      <c r="C126" s="40" t="s">
        <v>158</v>
      </c>
      <c r="D126" s="38">
        <f>ROUND(D124*D125,0)</f>
        <v>1811392</v>
      </c>
      <c r="E126" s="34"/>
      <c r="F126" s="34"/>
      <c r="G126" s="34"/>
    </row>
    <row r="127" spans="1:15" ht="15" thickTop="1" x14ac:dyDescent="0.2">
      <c r="A127" s="1">
        <f t="shared" si="4"/>
        <v>127</v>
      </c>
      <c r="B127" s="34"/>
      <c r="C127" s="34"/>
      <c r="D127" s="34"/>
      <c r="E127" s="34"/>
      <c r="F127" s="34"/>
      <c r="G127" s="34"/>
    </row>
    <row r="128" spans="1:15" x14ac:dyDescent="0.2">
      <c r="A128" s="1">
        <f t="shared" si="4"/>
        <v>128</v>
      </c>
      <c r="B128" s="54">
        <v>41</v>
      </c>
      <c r="C128" t="s">
        <v>103</v>
      </c>
      <c r="D128" s="34"/>
      <c r="E128" s="34"/>
      <c r="F128" s="34"/>
      <c r="G128" s="34"/>
    </row>
    <row r="129" spans="1:7" x14ac:dyDescent="0.2">
      <c r="A129" s="1">
        <f t="shared" si="4"/>
        <v>129</v>
      </c>
      <c r="B129" s="34"/>
      <c r="C129" s="34"/>
      <c r="D129" s="35"/>
      <c r="E129" s="34"/>
      <c r="F129" s="34"/>
      <c r="G129" s="34"/>
    </row>
    <row r="130" spans="1:7" x14ac:dyDescent="0.2">
      <c r="A130" s="1">
        <f t="shared" si="4"/>
        <v>130</v>
      </c>
      <c r="B130" s="4" t="s">
        <v>51</v>
      </c>
      <c r="C130" s="34"/>
      <c r="D130" s="35"/>
      <c r="E130" s="34"/>
      <c r="F130" s="34"/>
      <c r="G130" s="34"/>
    </row>
    <row r="131" spans="1:7" x14ac:dyDescent="0.2">
      <c r="A131" s="1">
        <f t="shared" si="4"/>
        <v>131</v>
      </c>
      <c r="B131" s="34"/>
      <c r="C131" s="34" t="s">
        <v>35</v>
      </c>
      <c r="D131" s="37">
        <f>27442350+289607</f>
        <v>27731957</v>
      </c>
      <c r="E131" s="34"/>
      <c r="F131" s="34"/>
      <c r="G131" s="34"/>
    </row>
    <row r="132" spans="1:7" x14ac:dyDescent="0.2">
      <c r="A132" s="1">
        <f t="shared" si="4"/>
        <v>132</v>
      </c>
      <c r="B132" s="34"/>
      <c r="C132" t="s">
        <v>37</v>
      </c>
      <c r="D132" s="35">
        <f>D131</f>
        <v>27731957</v>
      </c>
      <c r="E132" s="34"/>
      <c r="F132" s="34"/>
      <c r="G132" s="34"/>
    </row>
    <row r="133" spans="1:7" x14ac:dyDescent="0.2">
      <c r="A133" s="1">
        <f t="shared" si="4"/>
        <v>133</v>
      </c>
      <c r="B133" s="34"/>
      <c r="C133" t="s">
        <v>36</v>
      </c>
      <c r="D133" s="39">
        <v>0.9556</v>
      </c>
      <c r="E133" s="34"/>
      <c r="F133" s="34"/>
      <c r="G133" s="34"/>
    </row>
    <row r="134" spans="1:7" ht="15" thickBot="1" x14ac:dyDescent="0.25">
      <c r="A134" s="1">
        <f t="shared" si="4"/>
        <v>134</v>
      </c>
      <c r="B134" s="34"/>
      <c r="C134" s="40" t="s">
        <v>158</v>
      </c>
      <c r="D134" s="38">
        <f>ROUND(D132*D133,0)</f>
        <v>26500658</v>
      </c>
      <c r="E134" s="34"/>
      <c r="F134" s="34"/>
      <c r="G134" s="34"/>
    </row>
    <row r="135" spans="1:7" ht="15" thickTop="1" x14ac:dyDescent="0.2">
      <c r="A135" s="1">
        <f t="shared" si="4"/>
        <v>135</v>
      </c>
      <c r="B135" s="34"/>
      <c r="C135" s="34"/>
      <c r="D135" s="35"/>
      <c r="E135" s="34"/>
      <c r="F135" s="34"/>
      <c r="G135" s="34"/>
    </row>
  </sheetData>
  <mergeCells count="10">
    <mergeCell ref="C3:N3"/>
    <mergeCell ref="C4:N4"/>
    <mergeCell ref="J97:K97"/>
    <mergeCell ref="D10:G10"/>
    <mergeCell ref="H10:K10"/>
    <mergeCell ref="L10:O10"/>
    <mergeCell ref="J11:K11"/>
    <mergeCell ref="D96:G96"/>
    <mergeCell ref="H96:K96"/>
    <mergeCell ref="L96:O9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topLeftCell="A85" zoomScale="80" zoomScaleNormal="80" workbookViewId="0">
      <selection activeCell="E136" sqref="E136"/>
    </sheetView>
  </sheetViews>
  <sheetFormatPr defaultColWidth="15.625" defaultRowHeight="14.25" x14ac:dyDescent="0.2"/>
  <cols>
    <col min="1" max="1" width="4.625" customWidth="1"/>
    <col min="3" max="3" width="56.625" customWidth="1"/>
  </cols>
  <sheetData>
    <row r="1" spans="1:15" ht="15" x14ac:dyDescent="0.25">
      <c r="A1" s="1">
        <v>1</v>
      </c>
      <c r="O1" s="57" t="s">
        <v>200</v>
      </c>
    </row>
    <row r="2" spans="1:15" ht="15" x14ac:dyDescent="0.25">
      <c r="A2" s="1">
        <f>A1+1</f>
        <v>2</v>
      </c>
      <c r="O2" s="57" t="s">
        <v>193</v>
      </c>
    </row>
    <row r="3" spans="1:15" ht="15" x14ac:dyDescent="0.25">
      <c r="A3" s="1">
        <f t="shared" ref="A3:A73" si="0">A2+1</f>
        <v>3</v>
      </c>
      <c r="C3" s="69" t="s">
        <v>189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" x14ac:dyDescent="0.25">
      <c r="A4" s="1">
        <f t="shared" si="0"/>
        <v>4</v>
      </c>
      <c r="C4" s="69" t="s">
        <v>194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5" x14ac:dyDescent="0.2">
      <c r="A5" s="1">
        <f t="shared" si="0"/>
        <v>5</v>
      </c>
    </row>
    <row r="6" spans="1:15" x14ac:dyDescent="0.2">
      <c r="A6" s="1">
        <f t="shared" si="0"/>
        <v>6</v>
      </c>
    </row>
    <row r="7" spans="1:15" x14ac:dyDescent="0.2">
      <c r="A7" s="1">
        <f t="shared" si="0"/>
        <v>7</v>
      </c>
      <c r="B7" s="30" t="s">
        <v>78</v>
      </c>
    </row>
    <row r="8" spans="1:15" x14ac:dyDescent="0.2">
      <c r="A8" s="1">
        <f t="shared" si="0"/>
        <v>8</v>
      </c>
      <c r="I8" s="14"/>
    </row>
    <row r="9" spans="1:15" x14ac:dyDescent="0.2">
      <c r="A9" s="1">
        <f t="shared" si="0"/>
        <v>9</v>
      </c>
      <c r="B9" s="4" t="s">
        <v>0</v>
      </c>
    </row>
    <row r="10" spans="1:15" x14ac:dyDescent="0.2">
      <c r="A10" s="1">
        <f t="shared" si="0"/>
        <v>10</v>
      </c>
      <c r="D10" s="66" t="s">
        <v>45</v>
      </c>
      <c r="E10" s="67"/>
      <c r="F10" s="67"/>
      <c r="G10" s="68"/>
      <c r="H10" s="66" t="s">
        <v>52</v>
      </c>
      <c r="I10" s="67"/>
      <c r="J10" s="67"/>
      <c r="K10" s="68"/>
      <c r="L10" s="66" t="s">
        <v>53</v>
      </c>
      <c r="M10" s="67"/>
      <c r="N10" s="67"/>
      <c r="O10" s="68"/>
    </row>
    <row r="11" spans="1:15" x14ac:dyDescent="0.2">
      <c r="A11" s="1">
        <f t="shared" si="0"/>
        <v>11</v>
      </c>
      <c r="B11" s="3" t="s">
        <v>159</v>
      </c>
      <c r="C11" s="3"/>
      <c r="D11" s="3" t="s">
        <v>2</v>
      </c>
      <c r="E11" s="3" t="s">
        <v>4</v>
      </c>
      <c r="F11" s="3" t="s">
        <v>7</v>
      </c>
      <c r="G11" s="3"/>
      <c r="H11" s="6" t="s">
        <v>8</v>
      </c>
      <c r="I11" s="3" t="s">
        <v>8</v>
      </c>
      <c r="J11" s="70" t="s">
        <v>11</v>
      </c>
      <c r="K11" s="71"/>
      <c r="L11" s="3" t="s">
        <v>2</v>
      </c>
      <c r="M11" s="3" t="s">
        <v>4</v>
      </c>
      <c r="N11" s="3" t="s">
        <v>7</v>
      </c>
      <c r="O11" s="3"/>
    </row>
    <row r="12" spans="1:15" ht="15" thickBot="1" x14ac:dyDescent="0.25">
      <c r="A12" s="1">
        <f t="shared" si="0"/>
        <v>12</v>
      </c>
      <c r="B12" s="5" t="s">
        <v>160</v>
      </c>
      <c r="C12" s="5" t="s">
        <v>1</v>
      </c>
      <c r="D12" s="5" t="s">
        <v>3</v>
      </c>
      <c r="E12" s="5" t="s">
        <v>5</v>
      </c>
      <c r="F12" s="5" t="s">
        <v>3</v>
      </c>
      <c r="G12" s="5" t="s">
        <v>6</v>
      </c>
      <c r="H12" s="7" t="s">
        <v>9</v>
      </c>
      <c r="I12" s="5" t="s">
        <v>10</v>
      </c>
      <c r="J12" s="9" t="s">
        <v>12</v>
      </c>
      <c r="K12" s="8" t="s">
        <v>13</v>
      </c>
      <c r="L12" s="5" t="s">
        <v>3</v>
      </c>
      <c r="M12" s="5" t="s">
        <v>5</v>
      </c>
      <c r="N12" s="5" t="s">
        <v>3</v>
      </c>
      <c r="O12" s="5" t="s">
        <v>6</v>
      </c>
    </row>
    <row r="13" spans="1:15" x14ac:dyDescent="0.2">
      <c r="A13" s="1">
        <f t="shared" si="0"/>
        <v>13</v>
      </c>
    </row>
    <row r="14" spans="1:15" x14ac:dyDescent="0.2">
      <c r="A14" s="1">
        <f t="shared" si="0"/>
        <v>14</v>
      </c>
      <c r="B14" s="3" t="s">
        <v>167</v>
      </c>
      <c r="C14" t="s">
        <v>95</v>
      </c>
      <c r="D14" s="10">
        <f>'Proposed - YE 2026'!L14</f>
        <v>5465071</v>
      </c>
      <c r="E14" s="10">
        <f>'Proposed - YE 2026'!M14</f>
        <v>1285796</v>
      </c>
      <c r="F14" s="10">
        <f>'Proposed - YE 2026'!N14</f>
        <v>4179275</v>
      </c>
      <c r="G14" s="10">
        <f>'Proposed - YE 2026'!O14</f>
        <v>0</v>
      </c>
      <c r="H14" s="28">
        <f>ROUND(F14*$J$87,0)</f>
        <v>6269</v>
      </c>
      <c r="I14" s="28">
        <f>ROUND(F14*$J$91,0)</f>
        <v>7105</v>
      </c>
      <c r="J14" s="48">
        <f>'Proposed - YE 2024'!J14</f>
        <v>15256</v>
      </c>
      <c r="K14" s="10">
        <f>ROUND(J14*12,0)</f>
        <v>183072</v>
      </c>
      <c r="L14" s="10">
        <f>D14</f>
        <v>5465071</v>
      </c>
      <c r="M14" s="10">
        <f>E14+K14</f>
        <v>1468868</v>
      </c>
      <c r="N14" s="10">
        <f>L14-M14</f>
        <v>3996203</v>
      </c>
      <c r="O14" s="10">
        <v>0</v>
      </c>
    </row>
    <row r="15" spans="1:15" x14ac:dyDescent="0.2">
      <c r="A15" s="1">
        <f t="shared" si="0"/>
        <v>15</v>
      </c>
    </row>
    <row r="16" spans="1:15" x14ac:dyDescent="0.2">
      <c r="A16" s="1">
        <f t="shared" si="0"/>
        <v>16</v>
      </c>
      <c r="B16" s="3" t="s">
        <v>165</v>
      </c>
      <c r="C16" t="s">
        <v>93</v>
      </c>
      <c r="D16" s="10">
        <f>'Proposed - YE 2026'!L16</f>
        <v>162151</v>
      </c>
      <c r="E16" s="10">
        <f>'Proposed - YE 2026'!M16</f>
        <v>33693</v>
      </c>
      <c r="F16" s="10">
        <f>'Proposed - YE 2026'!N16</f>
        <v>128458</v>
      </c>
      <c r="G16" s="10">
        <f>'Proposed - YE 2026'!O16</f>
        <v>0</v>
      </c>
      <c r="H16" s="53">
        <f>ROUND(F16*$J$87,0)</f>
        <v>193</v>
      </c>
      <c r="I16" s="28">
        <f>ROUND(F16*$J$91,0)</f>
        <v>218</v>
      </c>
      <c r="J16" s="48">
        <f>'Proposed - YE 2024'!J16</f>
        <v>354</v>
      </c>
      <c r="K16" s="10">
        <f>ROUND(J16*12,0)</f>
        <v>4248</v>
      </c>
      <c r="L16" s="10">
        <f>D16+G16</f>
        <v>162151</v>
      </c>
      <c r="M16" s="10">
        <f>E16+K16</f>
        <v>37941</v>
      </c>
      <c r="N16" s="10">
        <f>L16-M16</f>
        <v>124210</v>
      </c>
      <c r="O16" s="10">
        <v>0</v>
      </c>
    </row>
    <row r="17" spans="1:15" x14ac:dyDescent="0.2">
      <c r="A17" s="1">
        <f t="shared" si="0"/>
        <v>17</v>
      </c>
      <c r="B17" s="3"/>
      <c r="D17" s="10"/>
      <c r="E17" s="10"/>
      <c r="F17" s="10"/>
      <c r="G17" s="10"/>
      <c r="H17" s="28"/>
      <c r="I17" s="28"/>
      <c r="J17" s="10"/>
      <c r="K17" s="10"/>
      <c r="L17" s="10"/>
      <c r="M17" s="10"/>
      <c r="N17" s="10"/>
      <c r="O17" s="10"/>
    </row>
    <row r="18" spans="1:15" x14ac:dyDescent="0.2">
      <c r="A18" s="1">
        <f t="shared" si="0"/>
        <v>18</v>
      </c>
      <c r="B18" s="3" t="s">
        <v>166</v>
      </c>
      <c r="C18" t="s">
        <v>94</v>
      </c>
      <c r="D18" s="10">
        <f>'Proposed - YE 2026'!L18</f>
        <v>224529</v>
      </c>
      <c r="E18" s="10">
        <f>'Proposed - YE 2026'!M18</f>
        <v>66505</v>
      </c>
      <c r="F18" s="10">
        <f>'Proposed - YE 2026'!N18</f>
        <v>158024</v>
      </c>
      <c r="G18" s="10">
        <f>'Proposed - YE 2026'!O18</f>
        <v>0</v>
      </c>
      <c r="H18" s="28">
        <f>ROUND(F18*$J$87,0)</f>
        <v>237</v>
      </c>
      <c r="I18" s="28">
        <f>ROUND(F18*$J$91,0)</f>
        <v>269</v>
      </c>
      <c r="J18" s="48">
        <f>'Proposed - YE 2024'!J18</f>
        <v>500</v>
      </c>
      <c r="K18" s="10">
        <f>ROUND(J18*12,0)</f>
        <v>6000</v>
      </c>
      <c r="L18" s="10">
        <f>D18</f>
        <v>224529</v>
      </c>
      <c r="M18" s="10">
        <f>E18+K18</f>
        <v>72505</v>
      </c>
      <c r="N18" s="10">
        <f>L18-M18</f>
        <v>152024</v>
      </c>
      <c r="O18" s="10">
        <v>0</v>
      </c>
    </row>
    <row r="19" spans="1:15" x14ac:dyDescent="0.2">
      <c r="A19" s="1">
        <f t="shared" si="0"/>
        <v>19</v>
      </c>
    </row>
    <row r="20" spans="1:15" x14ac:dyDescent="0.2">
      <c r="A20" s="1">
        <f t="shared" si="0"/>
        <v>20</v>
      </c>
      <c r="B20" s="3" t="s">
        <v>168</v>
      </c>
      <c r="C20" t="s">
        <v>96</v>
      </c>
      <c r="D20" s="10">
        <f>'Proposed - YE 2026'!L20</f>
        <v>4827367</v>
      </c>
      <c r="E20" s="10">
        <f>'Proposed - YE 2026'!M20</f>
        <v>1084491</v>
      </c>
      <c r="F20" s="10">
        <f>'Proposed - YE 2026'!N20</f>
        <v>3742876</v>
      </c>
      <c r="G20" s="10">
        <f>'Proposed - YE 2026'!O20</f>
        <v>0</v>
      </c>
      <c r="H20" s="28">
        <f>ROUND(F20*$J$87,0)</f>
        <v>5614</v>
      </c>
      <c r="I20" s="28">
        <f>ROUND(F20*$J$91,0)</f>
        <v>6363</v>
      </c>
      <c r="J20" s="48">
        <f>'Proposed - YE 2024'!J20</f>
        <v>14764</v>
      </c>
      <c r="K20" s="10">
        <f>ROUND(J20*12,0)</f>
        <v>177168</v>
      </c>
      <c r="L20" s="10">
        <f>D20</f>
        <v>4827367</v>
      </c>
      <c r="M20" s="10">
        <f>E20+K20</f>
        <v>1261659</v>
      </c>
      <c r="N20" s="10">
        <f>L20-M20</f>
        <v>3565708</v>
      </c>
      <c r="O20" s="10">
        <v>0</v>
      </c>
    </row>
    <row r="21" spans="1:15" x14ac:dyDescent="0.2">
      <c r="A21" s="1">
        <f t="shared" si="0"/>
        <v>21</v>
      </c>
    </row>
    <row r="22" spans="1:15" x14ac:dyDescent="0.2">
      <c r="A22" s="1">
        <f t="shared" si="0"/>
        <v>22</v>
      </c>
      <c r="B22" s="3" t="s">
        <v>161</v>
      </c>
      <c r="C22" t="s">
        <v>79</v>
      </c>
      <c r="D22" s="10">
        <f>'Proposed - YE 2026'!L22</f>
        <v>359709</v>
      </c>
      <c r="E22" s="10">
        <f>'Proposed - YE 2026'!M22</f>
        <v>174768</v>
      </c>
      <c r="F22" s="10">
        <f>'Proposed - YE 2026'!N22</f>
        <v>184941</v>
      </c>
      <c r="G22" s="10">
        <f>'Proposed - YE 2026'!O22</f>
        <v>0</v>
      </c>
      <c r="H22" s="28">
        <f>ROUND(F22*$J$90,0)</f>
        <v>1300</v>
      </c>
      <c r="I22" s="28">
        <f>ROUND(F22*$J$91,0)</f>
        <v>314</v>
      </c>
      <c r="J22" s="48">
        <f>'Proposed - YE 2024'!J22</f>
        <v>1199</v>
      </c>
      <c r="K22" s="10">
        <f>ROUND(J22*12,0)</f>
        <v>14388</v>
      </c>
      <c r="L22" s="10">
        <f>D22</f>
        <v>359709</v>
      </c>
      <c r="M22" s="10">
        <f>E22+K22</f>
        <v>189156</v>
      </c>
      <c r="N22" s="10">
        <f>L22-M22</f>
        <v>170553</v>
      </c>
      <c r="O22" s="10">
        <v>0</v>
      </c>
    </row>
    <row r="23" spans="1:15" x14ac:dyDescent="0.2">
      <c r="A23" s="1">
        <f t="shared" si="0"/>
        <v>23</v>
      </c>
    </row>
    <row r="24" spans="1:15" x14ac:dyDescent="0.2">
      <c r="A24" s="1">
        <f t="shared" si="0"/>
        <v>24</v>
      </c>
      <c r="B24" s="3" t="s">
        <v>164</v>
      </c>
      <c r="C24" t="s">
        <v>88</v>
      </c>
      <c r="D24" s="10">
        <f>'Proposed - YE 2026'!L24</f>
        <v>5083982</v>
      </c>
      <c r="E24" s="10">
        <f>'Proposed - YE 2026'!M24</f>
        <v>861723</v>
      </c>
      <c r="F24" s="10">
        <f>'Proposed - YE 2026'!N24</f>
        <v>4222259</v>
      </c>
      <c r="G24" s="10">
        <f>'Proposed - YE 2026'!O24</f>
        <v>0</v>
      </c>
      <c r="H24" s="28">
        <f>ROUND(F24*$J$88,0)</f>
        <v>47374</v>
      </c>
      <c r="I24" s="28">
        <v>0</v>
      </c>
      <c r="J24" s="48">
        <f>'Proposed - YE 2024'!J24</f>
        <v>14362</v>
      </c>
      <c r="K24" s="10">
        <f>ROUND(J24*12,0)</f>
        <v>172344</v>
      </c>
      <c r="L24" s="10">
        <f>D24</f>
        <v>5083982</v>
      </c>
      <c r="M24" s="10">
        <f>E24+K24</f>
        <v>1034067</v>
      </c>
      <c r="N24" s="10">
        <f>L24-M24</f>
        <v>4049915</v>
      </c>
      <c r="O24" s="10">
        <v>0</v>
      </c>
    </row>
    <row r="25" spans="1:15" x14ac:dyDescent="0.2">
      <c r="A25" s="1">
        <f t="shared" si="0"/>
        <v>25</v>
      </c>
    </row>
    <row r="26" spans="1:15" x14ac:dyDescent="0.2">
      <c r="A26" s="1">
        <f t="shared" si="0"/>
        <v>26</v>
      </c>
      <c r="B26" s="3" t="s">
        <v>162</v>
      </c>
      <c r="C26" t="s">
        <v>81</v>
      </c>
      <c r="D26" s="10">
        <f>'Proposed - YE 2026'!L26</f>
        <v>325446</v>
      </c>
      <c r="E26" s="10">
        <f>'Proposed - YE 2026'!M26</f>
        <v>90538</v>
      </c>
      <c r="F26" s="10">
        <f>'Proposed - YE 2026'!N26</f>
        <v>234908</v>
      </c>
      <c r="G26" s="10">
        <f>'Proposed - YE 2026'!O26</f>
        <v>0</v>
      </c>
      <c r="H26" s="28">
        <f>ROUND(F26*$J$89,0)</f>
        <v>2028</v>
      </c>
      <c r="I26" s="28">
        <f>ROUND(F26*$J$91,0)</f>
        <v>399</v>
      </c>
      <c r="J26" s="48">
        <f>'Proposed - YE 2024'!J26</f>
        <v>640</v>
      </c>
      <c r="K26" s="10">
        <f>ROUND(J26*12,0)</f>
        <v>7680</v>
      </c>
      <c r="L26" s="10">
        <f>D26</f>
        <v>325446</v>
      </c>
      <c r="M26" s="10">
        <f>E26+K26</f>
        <v>98218</v>
      </c>
      <c r="N26" s="10">
        <f>L26-M26</f>
        <v>227228</v>
      </c>
      <c r="O26" s="10">
        <v>0</v>
      </c>
    </row>
    <row r="27" spans="1:15" x14ac:dyDescent="0.2">
      <c r="A27" s="1">
        <f t="shared" si="0"/>
        <v>27</v>
      </c>
    </row>
    <row r="28" spans="1:15" x14ac:dyDescent="0.2">
      <c r="A28" s="1">
        <f t="shared" si="0"/>
        <v>28</v>
      </c>
      <c r="B28" s="3" t="s">
        <v>163</v>
      </c>
      <c r="C28" t="s">
        <v>87</v>
      </c>
      <c r="D28" s="10">
        <f>'Proposed - YE 2026'!L28</f>
        <v>1285901</v>
      </c>
      <c r="E28" s="10">
        <f>'Proposed - YE 2026'!M28</f>
        <v>121896</v>
      </c>
      <c r="F28" s="10">
        <f>'Proposed - YE 2026'!N28</f>
        <v>1164005</v>
      </c>
      <c r="G28" s="10">
        <f>'Proposed - YE 2026'!O28</f>
        <v>0</v>
      </c>
      <c r="H28" s="53">
        <f>ROUND(F28*$J$87,0)</f>
        <v>1746</v>
      </c>
      <c r="I28" s="28">
        <f>ROUND(F28*$J$91,0)</f>
        <v>1979</v>
      </c>
      <c r="J28" s="48">
        <f>'Proposed - YE 2024'!J28</f>
        <v>3386</v>
      </c>
      <c r="K28" s="10">
        <f>ROUND(J28*12,0)</f>
        <v>40632</v>
      </c>
      <c r="L28" s="10">
        <f>D28</f>
        <v>1285901</v>
      </c>
      <c r="M28" s="10">
        <f>E28+K28</f>
        <v>162528</v>
      </c>
      <c r="N28" s="10">
        <f>L28-M28</f>
        <v>1123373</v>
      </c>
      <c r="O28" s="10">
        <v>0</v>
      </c>
    </row>
    <row r="29" spans="1:15" x14ac:dyDescent="0.2">
      <c r="A29" s="1">
        <f t="shared" si="0"/>
        <v>29</v>
      </c>
    </row>
    <row r="30" spans="1:15" x14ac:dyDescent="0.2">
      <c r="A30" s="1">
        <f t="shared" si="0"/>
        <v>30</v>
      </c>
      <c r="B30" s="3">
        <v>27</v>
      </c>
      <c r="C30" t="s">
        <v>80</v>
      </c>
      <c r="D30" s="10">
        <f>'Proposed - YE 2026'!L30</f>
        <v>23276</v>
      </c>
      <c r="E30" s="10">
        <f>'Proposed - YE 2026'!M30</f>
        <v>7942</v>
      </c>
      <c r="F30" s="10">
        <f>'Proposed - YE 2026'!N30</f>
        <v>15334</v>
      </c>
      <c r="G30" s="10">
        <f>'Proposed - YE 2026'!O30</f>
        <v>0</v>
      </c>
      <c r="H30" s="28">
        <f>ROUND(F30*$J$90,0)</f>
        <v>108</v>
      </c>
      <c r="I30" s="28">
        <f>ROUND(F30*$J$91,0)</f>
        <v>26</v>
      </c>
      <c r="J30" s="48">
        <f>'Proposed - YE 2024'!J30</f>
        <v>62</v>
      </c>
      <c r="K30" s="10">
        <f>ROUND(J30*12,0)</f>
        <v>744</v>
      </c>
      <c r="L30" s="10">
        <f>D30</f>
        <v>23276</v>
      </c>
      <c r="M30" s="10">
        <f>E30+K30</f>
        <v>8686</v>
      </c>
      <c r="N30" s="10">
        <f>L30-M30</f>
        <v>14590</v>
      </c>
      <c r="O30" s="10">
        <v>0</v>
      </c>
    </row>
    <row r="31" spans="1:15" x14ac:dyDescent="0.2">
      <c r="A31" s="1">
        <f t="shared" si="0"/>
        <v>31</v>
      </c>
    </row>
    <row r="32" spans="1:15" x14ac:dyDescent="0.2">
      <c r="A32" s="1">
        <f t="shared" si="0"/>
        <v>32</v>
      </c>
      <c r="B32" s="3">
        <v>28</v>
      </c>
      <c r="C32" t="s">
        <v>82</v>
      </c>
      <c r="D32" s="10">
        <f>'Proposed - YE 2026'!L32</f>
        <v>249045</v>
      </c>
      <c r="E32" s="10">
        <f>'Proposed - YE 2026'!M32</f>
        <v>80948</v>
      </c>
      <c r="F32" s="10">
        <f>'Proposed - YE 2026'!N32</f>
        <v>168097</v>
      </c>
      <c r="G32" s="10">
        <f>'Proposed - YE 2026'!O32</f>
        <v>0</v>
      </c>
      <c r="H32" s="28">
        <f>ROUND(F32*$J$87,0)</f>
        <v>252</v>
      </c>
      <c r="I32" s="28">
        <f>ROUND(F32*$J$91,0)</f>
        <v>286</v>
      </c>
      <c r="J32" s="48">
        <f>'Proposed - YE 2024'!J32</f>
        <v>655</v>
      </c>
      <c r="K32" s="10">
        <f>ROUND(J32*12,0)</f>
        <v>7860</v>
      </c>
      <c r="L32" s="10">
        <f>D32</f>
        <v>249045</v>
      </c>
      <c r="M32" s="10">
        <f>E32+K32</f>
        <v>88808</v>
      </c>
      <c r="N32" s="10">
        <f>L32-M32</f>
        <v>160237</v>
      </c>
      <c r="O32" s="10">
        <v>0</v>
      </c>
    </row>
    <row r="33" spans="1:15" x14ac:dyDescent="0.2">
      <c r="A33" s="1">
        <f t="shared" si="0"/>
        <v>33</v>
      </c>
      <c r="B33" s="3"/>
      <c r="D33" s="10"/>
      <c r="E33" s="10"/>
      <c r="F33" s="10"/>
      <c r="G33" s="10"/>
      <c r="H33" s="28"/>
      <c r="I33" s="28"/>
      <c r="J33" s="10"/>
      <c r="K33" s="10"/>
      <c r="L33" s="10"/>
      <c r="M33" s="10"/>
      <c r="N33" s="10"/>
      <c r="O33" s="10"/>
    </row>
    <row r="34" spans="1:15" x14ac:dyDescent="0.2">
      <c r="A34" s="1">
        <f t="shared" si="0"/>
        <v>34</v>
      </c>
      <c r="B34" s="3">
        <v>29</v>
      </c>
      <c r="C34" t="s">
        <v>83</v>
      </c>
      <c r="D34" s="10">
        <f>'Proposed - YE 2026'!L34</f>
        <v>2002438</v>
      </c>
      <c r="E34" s="10">
        <f>'Proposed - YE 2026'!M34</f>
        <v>189828</v>
      </c>
      <c r="F34" s="10">
        <f>'Proposed - YE 2026'!N34</f>
        <v>1812610</v>
      </c>
      <c r="G34" s="10">
        <f>'Proposed - YE 2026'!O34</f>
        <v>0</v>
      </c>
      <c r="H34" s="53">
        <f>ROUND(F34*$J$87,0)</f>
        <v>2719</v>
      </c>
      <c r="I34" s="28">
        <f>ROUND(F34*$J$91,0)</f>
        <v>3081</v>
      </c>
      <c r="J34" s="48">
        <f>'Proposed - YE 2024'!J34</f>
        <v>5273</v>
      </c>
      <c r="K34" s="10">
        <f>ROUND(J34*12,0)</f>
        <v>63276</v>
      </c>
      <c r="L34" s="10">
        <f>D34</f>
        <v>2002438</v>
      </c>
      <c r="M34" s="10">
        <f>E34+K34</f>
        <v>253104</v>
      </c>
      <c r="N34" s="10">
        <f>L34-M34</f>
        <v>1749334</v>
      </c>
      <c r="O34" s="10">
        <v>0</v>
      </c>
    </row>
    <row r="35" spans="1:15" x14ac:dyDescent="0.2">
      <c r="A35" s="1">
        <f t="shared" si="0"/>
        <v>35</v>
      </c>
      <c r="B35" s="3"/>
      <c r="D35" s="10"/>
      <c r="E35" s="10"/>
      <c r="F35" s="10"/>
      <c r="G35" s="10"/>
      <c r="H35" s="28"/>
      <c r="I35" s="28"/>
      <c r="J35" s="10"/>
      <c r="K35" s="10"/>
      <c r="L35" s="10"/>
      <c r="M35" s="10"/>
      <c r="N35" s="10"/>
      <c r="O35" s="10"/>
    </row>
    <row r="36" spans="1:15" x14ac:dyDescent="0.2">
      <c r="A36" s="1">
        <f t="shared" si="0"/>
        <v>36</v>
      </c>
      <c r="B36" s="3">
        <v>30</v>
      </c>
      <c r="C36" t="s">
        <v>84</v>
      </c>
      <c r="D36" s="10">
        <f>'Proposed - YE 2026'!L36</f>
        <v>342996</v>
      </c>
      <c r="E36" s="10">
        <f>'Proposed - YE 2026'!M36</f>
        <v>56892</v>
      </c>
      <c r="F36" s="10">
        <f>'Proposed - YE 2026'!N36</f>
        <v>286104</v>
      </c>
      <c r="G36" s="10">
        <f>'Proposed - YE 2026'!O36</f>
        <v>0</v>
      </c>
      <c r="H36" s="28">
        <f>ROUND(F36*$J$87,0)</f>
        <v>429</v>
      </c>
      <c r="I36" s="28">
        <f>ROUND(F36*$J$91,0)</f>
        <v>486</v>
      </c>
      <c r="J36" s="48">
        <f>'Proposed - YE 2024'!J36</f>
        <v>903</v>
      </c>
      <c r="K36" s="10">
        <f>ROUND(J36*12,0)</f>
        <v>10836</v>
      </c>
      <c r="L36" s="10">
        <f>D36</f>
        <v>342996</v>
      </c>
      <c r="M36" s="10">
        <f>E36+K36</f>
        <v>67728</v>
      </c>
      <c r="N36" s="10">
        <f>L36-M36</f>
        <v>275268</v>
      </c>
      <c r="O36" s="10">
        <v>0</v>
      </c>
    </row>
    <row r="37" spans="1:15" x14ac:dyDescent="0.2">
      <c r="A37" s="1">
        <f t="shared" si="0"/>
        <v>37</v>
      </c>
      <c r="B37" s="3"/>
      <c r="D37" s="10"/>
      <c r="E37" s="10"/>
      <c r="F37" s="10"/>
      <c r="G37" s="10"/>
      <c r="H37" s="28"/>
      <c r="I37" s="28"/>
      <c r="J37" s="10"/>
      <c r="K37" s="10"/>
      <c r="L37" s="10"/>
      <c r="M37" s="10"/>
      <c r="N37" s="10"/>
      <c r="O37" s="10"/>
    </row>
    <row r="38" spans="1:15" x14ac:dyDescent="0.2">
      <c r="A38" s="1">
        <f t="shared" si="0"/>
        <v>38</v>
      </c>
      <c r="B38" s="3">
        <v>31</v>
      </c>
      <c r="C38" t="s">
        <v>85</v>
      </c>
      <c r="D38" s="10">
        <f>'Proposed - YE 2026'!L38</f>
        <v>2646723</v>
      </c>
      <c r="E38" s="10">
        <f>'Proposed - YE 2026'!M38</f>
        <v>601704</v>
      </c>
      <c r="F38" s="10">
        <f>'Proposed - YE 2026'!N38</f>
        <v>2045019</v>
      </c>
      <c r="G38" s="10">
        <f>'Proposed - YE 2026'!O38</f>
        <v>0</v>
      </c>
      <c r="H38" s="28">
        <f>ROUND(F38*$J$87,0)</f>
        <v>3068</v>
      </c>
      <c r="I38" s="28">
        <f>ROUND(F38*$J$91,0)</f>
        <v>3477</v>
      </c>
      <c r="J38" s="48">
        <f>'Proposed - YE 2024'!J38</f>
        <v>6925</v>
      </c>
      <c r="K38" s="10">
        <f>ROUND(J38*12,0)</f>
        <v>83100</v>
      </c>
      <c r="L38" s="10">
        <f>D38</f>
        <v>2646723</v>
      </c>
      <c r="M38" s="10">
        <f>E38+K38</f>
        <v>684804</v>
      </c>
      <c r="N38" s="10">
        <f>L38-M38</f>
        <v>1961919</v>
      </c>
      <c r="O38" s="10">
        <v>0</v>
      </c>
    </row>
    <row r="39" spans="1:15" x14ac:dyDescent="0.2">
      <c r="A39" s="1">
        <f t="shared" si="0"/>
        <v>39</v>
      </c>
      <c r="B39" s="3"/>
      <c r="D39" s="10"/>
      <c r="E39" s="10"/>
      <c r="F39" s="10"/>
      <c r="G39" s="10"/>
      <c r="H39" s="28"/>
      <c r="I39" s="28"/>
      <c r="J39" s="10"/>
      <c r="K39" s="10"/>
      <c r="L39" s="10"/>
      <c r="M39" s="10"/>
      <c r="N39" s="10"/>
      <c r="O39" s="10"/>
    </row>
    <row r="40" spans="1:15" x14ac:dyDescent="0.2">
      <c r="A40" s="1">
        <f t="shared" si="0"/>
        <v>40</v>
      </c>
      <c r="B40" s="3">
        <v>32</v>
      </c>
      <c r="C40" t="s">
        <v>86</v>
      </c>
      <c r="D40" s="10">
        <f>'Proposed - YE 2026'!L40</f>
        <v>953827</v>
      </c>
      <c r="E40" s="10">
        <f>'Proposed - YE 2026'!M40</f>
        <v>226263</v>
      </c>
      <c r="F40" s="10">
        <f>'Proposed - YE 2026'!N40</f>
        <v>727564</v>
      </c>
      <c r="G40" s="10">
        <f>'Proposed - YE 2026'!O40</f>
        <v>0</v>
      </c>
      <c r="H40" s="28">
        <f>ROUND(F40*$J$87,0)</f>
        <v>1091</v>
      </c>
      <c r="I40" s="28">
        <f>ROUND(F40*$J$91,0)</f>
        <v>1237</v>
      </c>
      <c r="J40" s="48">
        <f>'Proposed - YE 2024'!J40</f>
        <v>2528</v>
      </c>
      <c r="K40" s="10">
        <f>ROUND(J40*12,0)</f>
        <v>30336</v>
      </c>
      <c r="L40" s="10">
        <f>D40</f>
        <v>953827</v>
      </c>
      <c r="M40" s="10">
        <f>E40+K40</f>
        <v>256599</v>
      </c>
      <c r="N40" s="10">
        <f>L40-M40</f>
        <v>697228</v>
      </c>
      <c r="O40" s="10">
        <v>0</v>
      </c>
    </row>
    <row r="41" spans="1:15" x14ac:dyDescent="0.2">
      <c r="A41" s="1">
        <f t="shared" si="0"/>
        <v>41</v>
      </c>
    </row>
    <row r="42" spans="1:15" x14ac:dyDescent="0.2">
      <c r="A42" s="1">
        <f t="shared" si="0"/>
        <v>42</v>
      </c>
      <c r="B42" s="3">
        <v>33</v>
      </c>
      <c r="C42" t="s">
        <v>89</v>
      </c>
      <c r="D42" s="10">
        <f>'Proposed - YE 2026'!L42</f>
        <v>342448</v>
      </c>
      <c r="E42" s="10">
        <f>'Proposed - YE 2026'!M42</f>
        <v>32256</v>
      </c>
      <c r="F42" s="10">
        <f>'Proposed - YE 2026'!N42</f>
        <v>310192</v>
      </c>
      <c r="G42" s="10">
        <f>'Proposed - YE 2026'!O42</f>
        <v>0</v>
      </c>
      <c r="H42" s="53">
        <f>ROUND(F42*$J$87,0)</f>
        <v>465</v>
      </c>
      <c r="I42" s="28">
        <f>ROUND(F42*$J$91,0)</f>
        <v>527</v>
      </c>
      <c r="J42" s="48">
        <f>'Proposed - YE 2024'!J42</f>
        <v>896</v>
      </c>
      <c r="K42" s="10">
        <f>ROUND(J42*12,0)</f>
        <v>10752</v>
      </c>
      <c r="L42" s="10">
        <f>D42</f>
        <v>342448</v>
      </c>
      <c r="M42" s="10">
        <f>E42+K42</f>
        <v>43008</v>
      </c>
      <c r="N42" s="10">
        <f>L42-M42</f>
        <v>299440</v>
      </c>
      <c r="O42" s="10">
        <v>0</v>
      </c>
    </row>
    <row r="43" spans="1:15" x14ac:dyDescent="0.2">
      <c r="A43" s="1">
        <f t="shared" si="0"/>
        <v>43</v>
      </c>
      <c r="B43" s="3"/>
      <c r="D43" s="10"/>
      <c r="E43" s="10"/>
      <c r="F43" s="10"/>
      <c r="G43" s="10"/>
      <c r="H43" s="28"/>
      <c r="I43" s="28"/>
      <c r="J43" s="10"/>
      <c r="K43" s="10"/>
      <c r="L43" s="10"/>
      <c r="M43" s="10"/>
      <c r="N43" s="10"/>
      <c r="O43" s="10"/>
    </row>
    <row r="44" spans="1:15" x14ac:dyDescent="0.2">
      <c r="A44" s="1">
        <f t="shared" si="0"/>
        <v>44</v>
      </c>
      <c r="B44" s="3">
        <v>34</v>
      </c>
      <c r="C44" t="s">
        <v>90</v>
      </c>
      <c r="D44" s="10">
        <f>'Proposed - YE 2026'!L44</f>
        <v>127547</v>
      </c>
      <c r="E44" s="10">
        <f>'Proposed - YE 2026'!M44</f>
        <v>38431</v>
      </c>
      <c r="F44" s="10">
        <f>'Proposed - YE 2026'!N44</f>
        <v>89116</v>
      </c>
      <c r="G44" s="10">
        <f>'Proposed - YE 2026'!O44</f>
        <v>0</v>
      </c>
      <c r="H44" s="28">
        <f>ROUND(F44*$J$87,0)</f>
        <v>134</v>
      </c>
      <c r="I44" s="28">
        <f>ROUND(F44*$J$91,0)</f>
        <v>151</v>
      </c>
      <c r="J44" s="48">
        <f>'Proposed - YE 2024'!J44</f>
        <v>334</v>
      </c>
      <c r="K44" s="10">
        <f>ROUND(J44*12,0)</f>
        <v>4008</v>
      </c>
      <c r="L44" s="10">
        <f>D44</f>
        <v>127547</v>
      </c>
      <c r="M44" s="10">
        <f>E44+K44</f>
        <v>42439</v>
      </c>
      <c r="N44" s="10">
        <f>L44-M44</f>
        <v>85108</v>
      </c>
      <c r="O44" s="10">
        <v>0</v>
      </c>
    </row>
    <row r="45" spans="1:15" x14ac:dyDescent="0.2">
      <c r="A45" s="1">
        <f t="shared" si="0"/>
        <v>45</v>
      </c>
      <c r="B45" s="3"/>
      <c r="D45" s="10"/>
      <c r="E45" s="10"/>
      <c r="F45" s="10"/>
      <c r="G45" s="10"/>
      <c r="H45" s="28"/>
      <c r="I45" s="28"/>
      <c r="J45" s="10"/>
      <c r="K45" s="10"/>
      <c r="L45" s="10"/>
      <c r="M45" s="10"/>
      <c r="N45" s="10"/>
      <c r="O45" s="10"/>
    </row>
    <row r="46" spans="1:15" x14ac:dyDescent="0.2">
      <c r="A46" s="1">
        <f t="shared" si="0"/>
        <v>46</v>
      </c>
      <c r="B46" s="3">
        <v>34</v>
      </c>
      <c r="C46" t="s">
        <v>91</v>
      </c>
      <c r="D46" s="10">
        <f>'Proposed - YE 2026'!L46</f>
        <v>99165</v>
      </c>
      <c r="E46" s="10">
        <f>'Proposed - YE 2026'!M46</f>
        <v>28280</v>
      </c>
      <c r="F46" s="10">
        <f>'Proposed - YE 2026'!N46</f>
        <v>70885</v>
      </c>
      <c r="G46" s="10">
        <f>'Proposed - YE 2026'!O46</f>
        <v>0</v>
      </c>
      <c r="H46" s="28">
        <f>ROUND(F46*$J$87,0)</f>
        <v>106</v>
      </c>
      <c r="I46" s="28">
        <f>ROUND(F46*$J$91,0)</f>
        <v>121</v>
      </c>
      <c r="J46" s="48">
        <f>'Proposed - YE 2024'!J46</f>
        <v>303</v>
      </c>
      <c r="K46" s="10">
        <f>ROUND(J46*12,0)</f>
        <v>3636</v>
      </c>
      <c r="L46" s="10">
        <f>D46</f>
        <v>99165</v>
      </c>
      <c r="M46" s="10">
        <f>E46+K46</f>
        <v>31916</v>
      </c>
      <c r="N46" s="10">
        <f>L46-M46</f>
        <v>67249</v>
      </c>
      <c r="O46" s="10">
        <v>0</v>
      </c>
    </row>
    <row r="47" spans="1:15" x14ac:dyDescent="0.2">
      <c r="A47" s="1">
        <f t="shared" si="0"/>
        <v>47</v>
      </c>
      <c r="B47" s="3"/>
      <c r="D47" s="10"/>
      <c r="E47" s="10"/>
      <c r="F47" s="10"/>
      <c r="G47" s="10"/>
      <c r="H47" s="28"/>
      <c r="I47" s="28"/>
      <c r="J47" s="10"/>
      <c r="K47" s="10"/>
      <c r="L47" s="10"/>
      <c r="M47" s="10"/>
      <c r="N47" s="10"/>
      <c r="O47" s="10"/>
    </row>
    <row r="48" spans="1:15" x14ac:dyDescent="0.2">
      <c r="A48" s="1">
        <f t="shared" si="0"/>
        <v>48</v>
      </c>
      <c r="B48" s="3">
        <v>35</v>
      </c>
      <c r="C48" t="s">
        <v>92</v>
      </c>
      <c r="D48" s="10">
        <f>'Proposed - YE 2026'!L48</f>
        <v>397833</v>
      </c>
      <c r="E48" s="10">
        <f>'Proposed - YE 2026'!M48</f>
        <v>117164</v>
      </c>
      <c r="F48" s="10">
        <f>'Proposed - YE 2026'!N48</f>
        <v>280669</v>
      </c>
      <c r="G48" s="10">
        <f>'Proposed - YE 2026'!O48</f>
        <v>0</v>
      </c>
      <c r="H48" s="28">
        <f>ROUND(F48*$J$87,0)</f>
        <v>421</v>
      </c>
      <c r="I48" s="28">
        <f>ROUND(F48*$J$91,0)</f>
        <v>477</v>
      </c>
      <c r="J48" s="48">
        <f>'Proposed - YE 2024'!J48</f>
        <v>875</v>
      </c>
      <c r="K48" s="10">
        <f>ROUND(J48*12,0)</f>
        <v>10500</v>
      </c>
      <c r="L48" s="10">
        <f>D48</f>
        <v>397833</v>
      </c>
      <c r="M48" s="10">
        <f>E48+K48</f>
        <v>127664</v>
      </c>
      <c r="N48" s="10">
        <f>L48-M48</f>
        <v>270169</v>
      </c>
      <c r="O48" s="10">
        <v>0</v>
      </c>
    </row>
    <row r="49" spans="1:15" x14ac:dyDescent="0.2">
      <c r="A49" s="1">
        <f t="shared" si="0"/>
        <v>49</v>
      </c>
    </row>
    <row r="50" spans="1:15" x14ac:dyDescent="0.2">
      <c r="A50" s="1">
        <f t="shared" si="0"/>
        <v>50</v>
      </c>
      <c r="B50" s="3">
        <v>36</v>
      </c>
      <c r="C50" t="s">
        <v>97</v>
      </c>
      <c r="D50" s="10">
        <f>'Proposed - YE 2026'!L50</f>
        <v>700000</v>
      </c>
      <c r="E50" s="10">
        <f>'Proposed - YE 2026'!M50</f>
        <v>65952</v>
      </c>
      <c r="F50" s="10">
        <f>'Proposed - YE 2026'!N50</f>
        <v>634048</v>
      </c>
      <c r="G50" s="10">
        <f>'Proposed - YE 2026'!O50</f>
        <v>0</v>
      </c>
      <c r="H50" s="53">
        <f>ROUND(F50*$J$87,0)</f>
        <v>951</v>
      </c>
      <c r="I50" s="28">
        <f>ROUND(F50*$J$91,0)</f>
        <v>1078</v>
      </c>
      <c r="J50" s="48">
        <f>'Proposed - YE 2024'!J50</f>
        <v>1832</v>
      </c>
      <c r="K50" s="10">
        <f>ROUND(J50*12,0)</f>
        <v>21984</v>
      </c>
      <c r="L50" s="10">
        <f>D50</f>
        <v>700000</v>
      </c>
      <c r="M50" s="10">
        <f>E50+K50</f>
        <v>87936</v>
      </c>
      <c r="N50" s="10">
        <f>L50-M50</f>
        <v>612064</v>
      </c>
      <c r="O50" s="10">
        <v>0</v>
      </c>
    </row>
    <row r="51" spans="1:15" x14ac:dyDescent="0.2">
      <c r="A51" s="1">
        <f t="shared" si="0"/>
        <v>51</v>
      </c>
      <c r="B51" s="3"/>
      <c r="D51" s="10"/>
      <c r="E51" s="10"/>
      <c r="F51" s="10"/>
      <c r="G51" s="10"/>
      <c r="H51" s="28"/>
      <c r="I51" s="28"/>
      <c r="J51" s="10"/>
      <c r="K51" s="10"/>
      <c r="L51" s="10"/>
      <c r="M51" s="10"/>
      <c r="N51" s="10"/>
      <c r="O51" s="10"/>
    </row>
    <row r="52" spans="1:15" x14ac:dyDescent="0.2">
      <c r="A52" s="1">
        <f t="shared" si="0"/>
        <v>52</v>
      </c>
      <c r="B52" s="3">
        <v>37</v>
      </c>
      <c r="C52" t="s">
        <v>98</v>
      </c>
      <c r="D52" s="10">
        <f>'Proposed - YE 2026'!L52</f>
        <v>269289</v>
      </c>
      <c r="E52" s="10">
        <f>'Proposed - YE 2026'!M52</f>
        <v>25380</v>
      </c>
      <c r="F52" s="10">
        <f>'Proposed - YE 2026'!N52</f>
        <v>243909</v>
      </c>
      <c r="G52" s="10">
        <f>'Proposed - YE 2026'!O52</f>
        <v>0</v>
      </c>
      <c r="H52" s="53">
        <f>ROUND(F52*$J$87,0)</f>
        <v>366</v>
      </c>
      <c r="I52" s="28">
        <f>ROUND(F52*$J$91,0)</f>
        <v>415</v>
      </c>
      <c r="J52" s="48">
        <f>'Proposed - YE 2024'!J52</f>
        <v>705</v>
      </c>
      <c r="K52" s="10">
        <f>ROUND(J52*12,0)</f>
        <v>8460</v>
      </c>
      <c r="L52" s="10">
        <f>D52</f>
        <v>269289</v>
      </c>
      <c r="M52" s="10">
        <f>E52+K52</f>
        <v>33840</v>
      </c>
      <c r="N52" s="10">
        <f>L52-M52</f>
        <v>235449</v>
      </c>
      <c r="O52" s="10">
        <v>0</v>
      </c>
    </row>
    <row r="53" spans="1:15" x14ac:dyDescent="0.2">
      <c r="A53" s="1">
        <f t="shared" si="0"/>
        <v>53</v>
      </c>
      <c r="B53" s="3"/>
      <c r="D53" s="10"/>
      <c r="E53" s="10"/>
      <c r="F53" s="10"/>
      <c r="G53" s="10"/>
      <c r="H53" s="28"/>
      <c r="I53" s="28"/>
      <c r="J53" s="10"/>
      <c r="K53" s="10"/>
      <c r="L53" s="10"/>
      <c r="M53" s="10"/>
      <c r="N53" s="10"/>
      <c r="O53" s="10"/>
    </row>
    <row r="54" spans="1:15" x14ac:dyDescent="0.2">
      <c r="A54" s="1">
        <f t="shared" si="0"/>
        <v>54</v>
      </c>
      <c r="B54" s="3">
        <v>38</v>
      </c>
      <c r="C54" t="s">
        <v>99</v>
      </c>
      <c r="D54" s="28">
        <f>'Proposed - YE 2026'!L54</f>
        <v>2097196</v>
      </c>
      <c r="E54" s="28">
        <f>'Proposed - YE 2026'!M54</f>
        <v>373269</v>
      </c>
      <c r="F54" s="28">
        <f>'Proposed - YE 2026'!N54</f>
        <v>1723927</v>
      </c>
      <c r="G54" s="28">
        <f>'Proposed - YE 2026'!O54</f>
        <v>0</v>
      </c>
      <c r="H54" s="28">
        <f>ROUND(F54*$J$88,0)</f>
        <v>19342</v>
      </c>
      <c r="I54" s="28">
        <f>ROUND(F54*$J$91,0)</f>
        <v>2931</v>
      </c>
      <c r="J54" s="48">
        <f>'Proposed - YE 2024'!J54</f>
        <v>5925</v>
      </c>
      <c r="K54" s="28">
        <f>ROUND(J54*12,0)</f>
        <v>71100</v>
      </c>
      <c r="L54" s="28">
        <f>D54</f>
        <v>2097196</v>
      </c>
      <c r="M54" s="28">
        <f>E54+K54</f>
        <v>444369</v>
      </c>
      <c r="N54" s="28">
        <f>L54-M54</f>
        <v>1652827</v>
      </c>
      <c r="O54" s="28">
        <v>0</v>
      </c>
    </row>
    <row r="55" spans="1:15" x14ac:dyDescent="0.2">
      <c r="A55" s="1">
        <f t="shared" si="0"/>
        <v>55</v>
      </c>
      <c r="B55" s="3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x14ac:dyDescent="0.2">
      <c r="A56" s="1">
        <f t="shared" si="0"/>
        <v>56</v>
      </c>
      <c r="B56" s="3">
        <v>39</v>
      </c>
      <c r="C56" t="s">
        <v>157</v>
      </c>
      <c r="D56" s="15">
        <f>'Proposed - YE 2026'!L56</f>
        <v>10997198</v>
      </c>
      <c r="E56" s="15">
        <f>'Proposed - YE 2026'!M56</f>
        <v>1551530</v>
      </c>
      <c r="F56" s="15">
        <f>'Proposed - YE 2026'!N56</f>
        <v>9445668</v>
      </c>
      <c r="G56" s="15">
        <f>'Proposed - YE 2026'!O56</f>
        <v>0</v>
      </c>
      <c r="H56" s="15">
        <f>ROUND(F56*$J$88,0)</f>
        <v>105980</v>
      </c>
      <c r="I56" s="15">
        <v>0</v>
      </c>
      <c r="J56" s="50">
        <f>'Proposed - YE 2024'!J56</f>
        <v>31067</v>
      </c>
      <c r="K56" s="15">
        <f>ROUND(J56*12,0)</f>
        <v>372804</v>
      </c>
      <c r="L56" s="15">
        <f>D56</f>
        <v>10997198</v>
      </c>
      <c r="M56" s="15">
        <f>E56+K56</f>
        <v>1924334</v>
      </c>
      <c r="N56" s="15">
        <f>L56-M56</f>
        <v>9072864</v>
      </c>
      <c r="O56" s="15">
        <v>0</v>
      </c>
    </row>
    <row r="57" spans="1:15" x14ac:dyDescent="0.2">
      <c r="A57" s="1">
        <f t="shared" si="0"/>
        <v>57</v>
      </c>
      <c r="B57" s="3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x14ac:dyDescent="0.2">
      <c r="A58" s="1">
        <f t="shared" si="0"/>
        <v>58</v>
      </c>
      <c r="B58" s="3"/>
      <c r="C58" t="s">
        <v>155</v>
      </c>
      <c r="D58" s="28">
        <f>SUM(D14:D56)</f>
        <v>38983137</v>
      </c>
      <c r="E58" s="28">
        <f>SUM(E14:E56)</f>
        <v>7115249</v>
      </c>
      <c r="F58" s="28">
        <f t="shared" ref="F58" si="1">D58-E58</f>
        <v>31867888</v>
      </c>
      <c r="G58" s="28">
        <f t="shared" ref="G58:O58" si="2">SUM(G14:G56)</f>
        <v>0</v>
      </c>
      <c r="H58" s="28">
        <f t="shared" si="2"/>
        <v>200193</v>
      </c>
      <c r="I58" s="28">
        <f t="shared" si="2"/>
        <v>30940</v>
      </c>
      <c r="J58" s="28">
        <f t="shared" si="2"/>
        <v>108744</v>
      </c>
      <c r="K58" s="28">
        <f t="shared" si="2"/>
        <v>1304928</v>
      </c>
      <c r="L58" s="28">
        <f t="shared" si="2"/>
        <v>38983137</v>
      </c>
      <c r="M58" s="28">
        <f t="shared" si="2"/>
        <v>8420177</v>
      </c>
      <c r="N58" s="28">
        <f t="shared" si="2"/>
        <v>30562960</v>
      </c>
      <c r="O58" s="28">
        <f t="shared" si="2"/>
        <v>0</v>
      </c>
    </row>
    <row r="59" spans="1:15" x14ac:dyDescent="0.2">
      <c r="A59" s="1">
        <f t="shared" si="0"/>
        <v>59</v>
      </c>
      <c r="B59" s="3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x14ac:dyDescent="0.2">
      <c r="A60" s="1">
        <f t="shared" si="0"/>
        <v>60</v>
      </c>
      <c r="B60" s="3">
        <v>40</v>
      </c>
      <c r="C60" t="s">
        <v>156</v>
      </c>
      <c r="D60" s="15">
        <f>'Proposed - YE 2026'!L60</f>
        <v>4979252</v>
      </c>
      <c r="E60" s="15">
        <f>'Proposed - YE 2026'!M60</f>
        <v>562640</v>
      </c>
      <c r="F60" s="15">
        <f>'Proposed - YE 2026'!N60</f>
        <v>4416612</v>
      </c>
      <c r="G60" s="15">
        <f>'Proposed - YE 2026'!O60</f>
        <v>0</v>
      </c>
      <c r="H60" s="15">
        <f>ROUND(F60*$J$88,0)</f>
        <v>49554</v>
      </c>
      <c r="I60" s="15">
        <v>0</v>
      </c>
      <c r="J60" s="50">
        <f>'Proposed - YE 2024'!J60</f>
        <v>14066</v>
      </c>
      <c r="K60" s="15">
        <f>ROUND(J60*12,0)</f>
        <v>168792</v>
      </c>
      <c r="L60" s="15">
        <f>D60</f>
        <v>4979252</v>
      </c>
      <c r="M60" s="15">
        <f>E60+K60</f>
        <v>731432</v>
      </c>
      <c r="N60" s="15">
        <f>L60-M60</f>
        <v>4247820</v>
      </c>
      <c r="O60" s="15">
        <v>0</v>
      </c>
    </row>
    <row r="61" spans="1:15" x14ac:dyDescent="0.2">
      <c r="A61" s="1">
        <f t="shared" si="0"/>
        <v>61</v>
      </c>
      <c r="B61" s="3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 ht="15" thickBot="1" x14ac:dyDescent="0.25">
      <c r="A62" s="1">
        <f t="shared" si="0"/>
        <v>62</v>
      </c>
      <c r="B62" s="3"/>
      <c r="C62" t="s">
        <v>100</v>
      </c>
      <c r="D62" s="16">
        <f>D58+D60</f>
        <v>43962389</v>
      </c>
      <c r="E62" s="16">
        <f t="shared" ref="E62:O62" si="3">E58+E60</f>
        <v>7677889</v>
      </c>
      <c r="F62" s="16">
        <f t="shared" si="3"/>
        <v>36284500</v>
      </c>
      <c r="G62" s="16">
        <f t="shared" si="3"/>
        <v>0</v>
      </c>
      <c r="H62" s="16">
        <f t="shared" si="3"/>
        <v>249747</v>
      </c>
      <c r="I62" s="16">
        <f t="shared" si="3"/>
        <v>30940</v>
      </c>
      <c r="J62" s="16">
        <f t="shared" si="3"/>
        <v>122810</v>
      </c>
      <c r="K62" s="16">
        <f t="shared" si="3"/>
        <v>1473720</v>
      </c>
      <c r="L62" s="16">
        <f t="shared" si="3"/>
        <v>43962389</v>
      </c>
      <c r="M62" s="16">
        <f t="shared" si="3"/>
        <v>9151609</v>
      </c>
      <c r="N62" s="16">
        <f t="shared" si="3"/>
        <v>34810780</v>
      </c>
      <c r="O62" s="16">
        <f t="shared" si="3"/>
        <v>0</v>
      </c>
    </row>
    <row r="63" spans="1:15" ht="15" thickTop="1" x14ac:dyDescent="0.2">
      <c r="A63" s="1">
        <f t="shared" si="0"/>
        <v>63</v>
      </c>
      <c r="B63" s="3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x14ac:dyDescent="0.2">
      <c r="A64" s="1">
        <f t="shared" si="0"/>
        <v>64</v>
      </c>
      <c r="B64" s="17" t="s">
        <v>54</v>
      </c>
      <c r="D64" s="10"/>
      <c r="E64" s="10"/>
      <c r="F64" s="10"/>
      <c r="G64" s="10"/>
      <c r="H64" s="32" t="s">
        <v>109</v>
      </c>
      <c r="I64" s="10"/>
      <c r="J64" s="10"/>
      <c r="K64" s="10"/>
      <c r="L64" s="10"/>
      <c r="M64" s="10"/>
      <c r="N64" s="10"/>
      <c r="O64" s="10"/>
    </row>
    <row r="65" spans="1:15" x14ac:dyDescent="0.2">
      <c r="A65" s="1">
        <f t="shared" si="0"/>
        <v>65</v>
      </c>
      <c r="B65" s="3"/>
      <c r="C65" t="s">
        <v>22</v>
      </c>
      <c r="D65" s="10">
        <f>L62</f>
        <v>43962389</v>
      </c>
      <c r="E65" s="10"/>
      <c r="F65" s="10"/>
      <c r="G65" s="10"/>
      <c r="H65" s="3" t="s">
        <v>167</v>
      </c>
      <c r="I65" t="s">
        <v>95</v>
      </c>
      <c r="J65" s="10"/>
      <c r="K65" s="10"/>
      <c r="L65" s="10"/>
      <c r="M65" s="10">
        <v>20000</v>
      </c>
      <c r="N65" s="10"/>
      <c r="O65" s="10"/>
    </row>
    <row r="66" spans="1:15" x14ac:dyDescent="0.2">
      <c r="A66" s="1">
        <f t="shared" si="0"/>
        <v>66</v>
      </c>
      <c r="B66" s="3"/>
      <c r="C66" t="s">
        <v>6</v>
      </c>
      <c r="D66" s="15">
        <f>O62</f>
        <v>0</v>
      </c>
      <c r="E66" s="10"/>
      <c r="F66" s="10"/>
      <c r="G66" s="10"/>
      <c r="H66" s="3" t="s">
        <v>165</v>
      </c>
      <c r="I66" t="s">
        <v>93</v>
      </c>
      <c r="J66" s="10"/>
      <c r="K66" s="10"/>
      <c r="L66" s="10"/>
      <c r="M66" s="10">
        <v>18000</v>
      </c>
      <c r="N66" s="10"/>
      <c r="O66" s="10"/>
    </row>
    <row r="67" spans="1:15" x14ac:dyDescent="0.2">
      <c r="A67" s="1">
        <f t="shared" si="0"/>
        <v>67</v>
      </c>
      <c r="B67" s="3"/>
      <c r="C67" t="s">
        <v>23</v>
      </c>
      <c r="D67" s="10">
        <f>D65+D66</f>
        <v>43962389</v>
      </c>
      <c r="E67" s="10"/>
      <c r="F67" s="10"/>
      <c r="G67" s="10"/>
      <c r="H67" s="3" t="s">
        <v>166</v>
      </c>
      <c r="I67" t="s">
        <v>94</v>
      </c>
      <c r="J67" s="10"/>
      <c r="K67" s="10"/>
      <c r="L67" s="10"/>
      <c r="M67" s="10">
        <v>25000</v>
      </c>
      <c r="N67" s="10"/>
      <c r="O67" s="10"/>
    </row>
    <row r="68" spans="1:15" x14ac:dyDescent="0.2">
      <c r="A68" s="1">
        <f t="shared" si="0"/>
        <v>68</v>
      </c>
      <c r="B68" s="3"/>
      <c r="C68" t="s">
        <v>24</v>
      </c>
      <c r="D68" s="10"/>
      <c r="E68" s="10"/>
      <c r="F68" s="10"/>
      <c r="G68" s="10"/>
      <c r="H68" s="3" t="s">
        <v>168</v>
      </c>
      <c r="I68" t="s">
        <v>96</v>
      </c>
      <c r="J68" s="10"/>
      <c r="K68" s="10"/>
      <c r="L68" s="10"/>
      <c r="M68" s="28">
        <v>20000</v>
      </c>
      <c r="N68" s="10"/>
      <c r="O68" s="10"/>
    </row>
    <row r="69" spans="1:15" x14ac:dyDescent="0.2">
      <c r="A69" s="1">
        <f t="shared" si="0"/>
        <v>69</v>
      </c>
      <c r="C69" t="s">
        <v>25</v>
      </c>
      <c r="D69" s="28">
        <f>ROUND(D75*0.125,0)</f>
        <v>94295</v>
      </c>
      <c r="E69" s="10" t="s">
        <v>108</v>
      </c>
      <c r="F69" s="10"/>
      <c r="G69" s="10"/>
      <c r="H69" s="3" t="s">
        <v>164</v>
      </c>
      <c r="I69" t="s">
        <v>88</v>
      </c>
      <c r="J69" s="10"/>
      <c r="K69" s="10"/>
      <c r="L69" s="10"/>
      <c r="M69" s="10">
        <v>217000</v>
      </c>
      <c r="N69" s="10"/>
      <c r="O69" s="10"/>
    </row>
    <row r="70" spans="1:15" x14ac:dyDescent="0.2">
      <c r="A70" s="1">
        <f t="shared" si="0"/>
        <v>70</v>
      </c>
      <c r="C70" t="s">
        <v>26</v>
      </c>
      <c r="D70" s="28"/>
      <c r="E70" s="10"/>
      <c r="F70" s="10"/>
      <c r="G70" s="10"/>
      <c r="H70" s="3" t="s">
        <v>162</v>
      </c>
      <c r="I70" t="s">
        <v>81</v>
      </c>
      <c r="J70" s="10"/>
      <c r="K70" s="10"/>
      <c r="L70" s="10"/>
      <c r="M70" s="10">
        <v>34500</v>
      </c>
      <c r="N70" s="10"/>
      <c r="O70" s="10"/>
    </row>
    <row r="71" spans="1:15" x14ac:dyDescent="0.2">
      <c r="A71" s="1">
        <f t="shared" si="0"/>
        <v>71</v>
      </c>
      <c r="C71" t="s">
        <v>27</v>
      </c>
      <c r="D71" s="15">
        <f>M62</f>
        <v>9151609</v>
      </c>
      <c r="E71" s="10"/>
      <c r="F71" s="10"/>
      <c r="G71" s="10"/>
      <c r="H71" s="3" t="s">
        <v>163</v>
      </c>
      <c r="I71" t="s">
        <v>87</v>
      </c>
      <c r="J71" s="10"/>
      <c r="K71" s="10"/>
      <c r="L71" s="10"/>
      <c r="M71" s="10">
        <v>102030</v>
      </c>
      <c r="N71" s="10"/>
      <c r="O71" s="10"/>
    </row>
    <row r="72" spans="1:15" ht="15" thickBot="1" x14ac:dyDescent="0.25">
      <c r="A72" s="1">
        <f t="shared" si="0"/>
        <v>72</v>
      </c>
      <c r="C72" t="s">
        <v>28</v>
      </c>
      <c r="D72" s="18">
        <f>D67+D69-D71</f>
        <v>34905075</v>
      </c>
      <c r="E72" s="10"/>
      <c r="F72" s="10"/>
      <c r="G72" s="10"/>
      <c r="H72" s="3">
        <v>27</v>
      </c>
      <c r="I72" t="s">
        <v>80</v>
      </c>
      <c r="J72" s="10"/>
      <c r="K72" s="10"/>
      <c r="L72" s="10"/>
      <c r="M72" s="10">
        <v>23550</v>
      </c>
      <c r="N72" s="10"/>
      <c r="O72" s="10"/>
    </row>
    <row r="73" spans="1:15" ht="15" thickTop="1" x14ac:dyDescent="0.2">
      <c r="A73" s="1">
        <f t="shared" si="0"/>
        <v>73</v>
      </c>
      <c r="D73" s="10"/>
      <c r="E73" s="10"/>
      <c r="F73" s="10"/>
      <c r="G73" s="10"/>
      <c r="H73" s="3">
        <v>28</v>
      </c>
      <c r="I73" t="s">
        <v>82</v>
      </c>
      <c r="J73" s="10"/>
      <c r="K73" s="10"/>
      <c r="L73" s="10"/>
      <c r="M73" s="10">
        <v>125150</v>
      </c>
      <c r="N73" s="10"/>
      <c r="O73" s="10"/>
    </row>
    <row r="74" spans="1:15" x14ac:dyDescent="0.2">
      <c r="A74" s="1">
        <f t="shared" ref="A74:A136" si="4">A73+1</f>
        <v>74</v>
      </c>
      <c r="B74" s="4" t="s">
        <v>55</v>
      </c>
      <c r="D74" s="10"/>
      <c r="E74" s="10"/>
      <c r="F74" s="10"/>
      <c r="G74" s="10"/>
      <c r="H74" s="3">
        <v>30</v>
      </c>
      <c r="I74" t="s">
        <v>84</v>
      </c>
      <c r="J74" s="10"/>
      <c r="K74" s="10"/>
      <c r="L74" s="10"/>
      <c r="M74" s="10">
        <v>5000</v>
      </c>
      <c r="N74" s="10"/>
      <c r="O74" s="10"/>
    </row>
    <row r="75" spans="1:15" x14ac:dyDescent="0.2">
      <c r="A75" s="1">
        <f t="shared" si="4"/>
        <v>75</v>
      </c>
      <c r="C75" t="s">
        <v>29</v>
      </c>
      <c r="D75" s="10">
        <f>M84</f>
        <v>754357</v>
      </c>
      <c r="E75" s="10"/>
      <c r="F75" s="10"/>
      <c r="G75" s="10"/>
      <c r="H75" s="3">
        <v>31</v>
      </c>
      <c r="I75" t="s">
        <v>85</v>
      </c>
      <c r="J75" s="10"/>
      <c r="K75" s="10"/>
      <c r="L75" s="10"/>
      <c r="M75" s="10">
        <v>15039</v>
      </c>
      <c r="N75" s="10"/>
      <c r="O75" s="10"/>
    </row>
    <row r="76" spans="1:15" x14ac:dyDescent="0.2">
      <c r="A76" s="1">
        <f t="shared" si="4"/>
        <v>76</v>
      </c>
      <c r="C76" t="s">
        <v>30</v>
      </c>
      <c r="D76" s="10">
        <f>K62</f>
        <v>1473720</v>
      </c>
      <c r="E76" s="10"/>
      <c r="F76" s="10"/>
      <c r="G76" s="10"/>
      <c r="H76" s="3">
        <v>33</v>
      </c>
      <c r="I76" t="s">
        <v>89</v>
      </c>
      <c r="J76" s="10"/>
      <c r="K76" s="10"/>
      <c r="L76" s="10"/>
      <c r="M76" s="10">
        <v>26000</v>
      </c>
      <c r="N76" s="10"/>
      <c r="O76" s="10"/>
    </row>
    <row r="77" spans="1:15" x14ac:dyDescent="0.2">
      <c r="A77" s="1">
        <f t="shared" si="4"/>
        <v>77</v>
      </c>
      <c r="C77" t="s">
        <v>31</v>
      </c>
      <c r="D77" s="10">
        <f>H62</f>
        <v>249747</v>
      </c>
      <c r="E77" s="10"/>
      <c r="F77" s="10"/>
      <c r="G77" s="10"/>
      <c r="H77" s="3">
        <v>34</v>
      </c>
      <c r="I77" t="s">
        <v>90</v>
      </c>
      <c r="J77" s="10"/>
      <c r="K77" s="10"/>
      <c r="L77" s="10"/>
      <c r="M77" s="10">
        <v>6000</v>
      </c>
      <c r="N77" s="10"/>
      <c r="O77" s="10"/>
    </row>
    <row r="78" spans="1:15" x14ac:dyDescent="0.2">
      <c r="A78" s="1">
        <f t="shared" si="4"/>
        <v>78</v>
      </c>
      <c r="C78" t="s">
        <v>32</v>
      </c>
      <c r="D78" s="15">
        <f>I62</f>
        <v>30940</v>
      </c>
      <c r="E78" s="10"/>
      <c r="F78" s="10"/>
      <c r="G78" s="10"/>
      <c r="H78" s="3">
        <v>34</v>
      </c>
      <c r="I78" t="s">
        <v>91</v>
      </c>
      <c r="J78" s="10"/>
      <c r="K78" s="10"/>
      <c r="L78" s="10"/>
      <c r="M78" s="10">
        <v>4000</v>
      </c>
      <c r="N78" s="10"/>
      <c r="O78" s="10"/>
    </row>
    <row r="79" spans="1:15" ht="15" thickBot="1" x14ac:dyDescent="0.25">
      <c r="A79" s="1">
        <f t="shared" si="4"/>
        <v>79</v>
      </c>
      <c r="C79" t="s">
        <v>33</v>
      </c>
      <c r="D79" s="18">
        <f>SUM(D75:D78)</f>
        <v>2508764</v>
      </c>
      <c r="E79" s="10"/>
      <c r="F79" s="10"/>
      <c r="G79" s="10"/>
      <c r="H79" s="3">
        <v>35</v>
      </c>
      <c r="I79" t="s">
        <v>92</v>
      </c>
      <c r="J79" s="10"/>
      <c r="K79" s="10"/>
      <c r="L79" s="10"/>
      <c r="M79" s="10">
        <v>25000</v>
      </c>
      <c r="N79" s="10"/>
      <c r="O79" s="10"/>
    </row>
    <row r="80" spans="1:15" ht="15" thickTop="1" x14ac:dyDescent="0.2">
      <c r="A80" s="1">
        <f t="shared" si="4"/>
        <v>80</v>
      </c>
      <c r="D80" s="10"/>
      <c r="E80" s="10"/>
      <c r="F80" s="10"/>
      <c r="G80" s="10"/>
      <c r="H80" s="55">
        <v>37</v>
      </c>
      <c r="I80" s="10" t="s">
        <v>98</v>
      </c>
      <c r="J80" s="10"/>
      <c r="K80" s="10"/>
      <c r="L80" s="10"/>
      <c r="M80" s="10">
        <v>26088</v>
      </c>
      <c r="N80" s="10"/>
      <c r="O80" s="10"/>
    </row>
    <row r="81" spans="1:15" x14ac:dyDescent="0.2">
      <c r="A81" s="1">
        <f t="shared" si="4"/>
        <v>81</v>
      </c>
      <c r="B81" s="4" t="s">
        <v>56</v>
      </c>
      <c r="D81" s="10"/>
      <c r="E81" s="10"/>
      <c r="F81" s="10"/>
      <c r="G81" s="10"/>
      <c r="H81" s="55">
        <v>38</v>
      </c>
      <c r="I81" t="s">
        <v>99</v>
      </c>
      <c r="M81" s="28">
        <v>35000</v>
      </c>
      <c r="N81" s="10"/>
      <c r="O81" s="10"/>
    </row>
    <row r="82" spans="1:15" x14ac:dyDescent="0.2">
      <c r="A82" s="1">
        <f t="shared" si="4"/>
        <v>82</v>
      </c>
      <c r="C82" t="s">
        <v>28</v>
      </c>
      <c r="D82" s="48">
        <f>D72</f>
        <v>34905075</v>
      </c>
      <c r="E82" s="49"/>
      <c r="F82" s="48"/>
      <c r="G82" s="48"/>
      <c r="H82" s="56">
        <v>39</v>
      </c>
      <c r="I82" s="48" t="s">
        <v>157</v>
      </c>
      <c r="J82" s="48"/>
      <c r="K82" s="48"/>
      <c r="L82" s="10"/>
      <c r="M82" s="15">
        <v>27000</v>
      </c>
      <c r="N82" s="10"/>
      <c r="O82" s="10"/>
    </row>
    <row r="83" spans="1:15" x14ac:dyDescent="0.2">
      <c r="A83" s="1">
        <f t="shared" si="4"/>
        <v>83</v>
      </c>
      <c r="C83" s="49" t="s">
        <v>186</v>
      </c>
      <c r="D83" s="64">
        <f>'Proposed - YE 2024'!D83</f>
        <v>6.4869999999999997E-2</v>
      </c>
      <c r="E83" s="49"/>
      <c r="F83" s="48"/>
      <c r="G83" s="48"/>
      <c r="N83" s="10"/>
      <c r="O83" s="10"/>
    </row>
    <row r="84" spans="1:15" ht="15" thickBot="1" x14ac:dyDescent="0.25">
      <c r="A84" s="1">
        <f t="shared" si="4"/>
        <v>84</v>
      </c>
      <c r="C84" t="s">
        <v>34</v>
      </c>
      <c r="D84" s="48">
        <f>ROUND(D82*D83,0)</f>
        <v>2264292</v>
      </c>
      <c r="E84" s="49"/>
      <c r="F84" s="48"/>
      <c r="G84" s="48"/>
      <c r="H84" s="10" t="s">
        <v>110</v>
      </c>
      <c r="I84" s="10"/>
      <c r="J84" s="10"/>
      <c r="K84" s="10"/>
      <c r="L84" s="10"/>
      <c r="M84" s="16">
        <f>SUM(M65:M82)</f>
        <v>754357</v>
      </c>
      <c r="N84" s="10"/>
      <c r="O84" s="10"/>
    </row>
    <row r="85" spans="1:15" ht="15" thickTop="1" x14ac:dyDescent="0.2">
      <c r="A85" s="1">
        <f t="shared" si="4"/>
        <v>85</v>
      </c>
      <c r="C85" t="s">
        <v>35</v>
      </c>
      <c r="D85" s="50">
        <f>D79</f>
        <v>2508764</v>
      </c>
      <c r="E85" s="48"/>
      <c r="F85" s="49"/>
      <c r="G85" s="48"/>
      <c r="H85" s="48"/>
      <c r="I85" s="48"/>
      <c r="J85" s="48"/>
      <c r="K85" s="48"/>
      <c r="L85" s="10"/>
      <c r="M85" s="10"/>
      <c r="N85" s="10"/>
      <c r="O85" s="10"/>
    </row>
    <row r="86" spans="1:15" x14ac:dyDescent="0.2">
      <c r="A86" s="1">
        <f t="shared" si="4"/>
        <v>86</v>
      </c>
      <c r="C86" t="s">
        <v>37</v>
      </c>
      <c r="D86" s="48">
        <f>D84+D85</f>
        <v>4773056</v>
      </c>
      <c r="E86" s="48"/>
      <c r="F86" s="49"/>
      <c r="G86" s="48"/>
      <c r="N86" s="10"/>
      <c r="O86" s="10"/>
    </row>
    <row r="87" spans="1:15" x14ac:dyDescent="0.2">
      <c r="A87" s="1">
        <f t="shared" si="4"/>
        <v>87</v>
      </c>
      <c r="C87" t="s">
        <v>36</v>
      </c>
      <c r="D87" s="51">
        <v>0.9556</v>
      </c>
      <c r="E87" s="48"/>
      <c r="F87" s="49"/>
      <c r="G87" s="48"/>
      <c r="I87" s="11" t="s">
        <v>16</v>
      </c>
      <c r="J87" s="12">
        <v>1.5E-3</v>
      </c>
      <c r="K87" t="s">
        <v>18</v>
      </c>
      <c r="N87" s="10"/>
      <c r="O87" s="10"/>
    </row>
    <row r="88" spans="1:15" x14ac:dyDescent="0.2">
      <c r="A88" s="1">
        <f t="shared" si="4"/>
        <v>88</v>
      </c>
      <c r="C88" t="s">
        <v>106</v>
      </c>
      <c r="D88" s="48">
        <f>ROUND(D86*D87,0)</f>
        <v>4561132</v>
      </c>
      <c r="E88" s="48"/>
      <c r="F88" s="49"/>
      <c r="G88" s="48"/>
      <c r="J88" s="12">
        <v>1.1220000000000001E-2</v>
      </c>
      <c r="K88" t="s">
        <v>20</v>
      </c>
      <c r="N88" s="10"/>
      <c r="O88" s="10"/>
    </row>
    <row r="89" spans="1:15" x14ac:dyDescent="0.2">
      <c r="A89" s="1">
        <f t="shared" si="4"/>
        <v>89</v>
      </c>
      <c r="B89" s="3"/>
      <c r="C89" t="s">
        <v>104</v>
      </c>
      <c r="D89" s="48"/>
      <c r="E89" s="48"/>
      <c r="F89" s="48"/>
      <c r="G89" s="48"/>
      <c r="J89" s="13">
        <v>8.633E-3</v>
      </c>
      <c r="K89" t="s">
        <v>19</v>
      </c>
      <c r="N89" s="10"/>
      <c r="O89" s="10"/>
    </row>
    <row r="90" spans="1:15" x14ac:dyDescent="0.2">
      <c r="A90" s="1">
        <f t="shared" si="4"/>
        <v>90</v>
      </c>
      <c r="B90" s="3"/>
      <c r="C90" t="s">
        <v>105</v>
      </c>
      <c r="D90" s="50">
        <f>BESF!D36</f>
        <v>1249428</v>
      </c>
      <c r="E90" s="48"/>
      <c r="F90" s="48"/>
      <c r="G90" s="48"/>
      <c r="J90" s="14">
        <v>7.0299999999999998E-3</v>
      </c>
      <c r="K90" t="s">
        <v>21</v>
      </c>
      <c r="N90" s="10"/>
      <c r="O90" s="10"/>
    </row>
    <row r="91" spans="1:15" ht="15" thickBot="1" x14ac:dyDescent="0.25">
      <c r="A91" s="1">
        <f t="shared" si="4"/>
        <v>91</v>
      </c>
      <c r="B91" s="3"/>
      <c r="C91" s="40" t="s">
        <v>107</v>
      </c>
      <c r="D91" s="52">
        <f>D88-D90</f>
        <v>3311704</v>
      </c>
      <c r="E91" s="48"/>
      <c r="F91" s="48"/>
      <c r="G91" s="48"/>
      <c r="I91" s="11" t="s">
        <v>17</v>
      </c>
      <c r="J91" s="12">
        <v>1.6999999999999999E-3</v>
      </c>
      <c r="N91" s="10"/>
      <c r="O91" s="10"/>
    </row>
    <row r="92" spans="1:15" ht="15" thickTop="1" x14ac:dyDescent="0.2">
      <c r="A92" s="1">
        <f t="shared" si="4"/>
        <v>92</v>
      </c>
      <c r="B92" s="3"/>
      <c r="D92" s="10"/>
      <c r="E92" s="10"/>
      <c r="F92" s="10"/>
      <c r="G92" s="10"/>
      <c r="N92" s="10"/>
      <c r="O92" s="10"/>
    </row>
    <row r="93" spans="1:15" x14ac:dyDescent="0.2">
      <c r="A93" s="1">
        <f t="shared" si="4"/>
        <v>93</v>
      </c>
      <c r="B93" s="31" t="s">
        <v>102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x14ac:dyDescent="0.2">
      <c r="A94" s="1">
        <f t="shared" si="4"/>
        <v>94</v>
      </c>
      <c r="B94" s="3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x14ac:dyDescent="0.2">
      <c r="A95" s="1">
        <f t="shared" si="4"/>
        <v>95</v>
      </c>
      <c r="B95" s="4" t="s">
        <v>0</v>
      </c>
    </row>
    <row r="96" spans="1:15" x14ac:dyDescent="0.2">
      <c r="A96" s="1">
        <f t="shared" si="4"/>
        <v>96</v>
      </c>
      <c r="D96" s="66" t="s">
        <v>45</v>
      </c>
      <c r="E96" s="67"/>
      <c r="F96" s="67"/>
      <c r="G96" s="68"/>
      <c r="H96" s="66" t="s">
        <v>52</v>
      </c>
      <c r="I96" s="67"/>
      <c r="J96" s="67"/>
      <c r="K96" s="68"/>
      <c r="L96" s="66" t="s">
        <v>53</v>
      </c>
      <c r="M96" s="67"/>
      <c r="N96" s="67"/>
      <c r="O96" s="68"/>
    </row>
    <row r="97" spans="1:15" x14ac:dyDescent="0.2">
      <c r="A97" s="1">
        <f t="shared" si="4"/>
        <v>97</v>
      </c>
      <c r="B97" s="3"/>
      <c r="C97" s="3"/>
      <c r="D97" s="3" t="s">
        <v>2</v>
      </c>
      <c r="E97" s="3" t="s">
        <v>4</v>
      </c>
      <c r="F97" s="3" t="s">
        <v>7</v>
      </c>
      <c r="G97" s="3"/>
      <c r="H97" s="6" t="s">
        <v>8</v>
      </c>
      <c r="I97" s="3" t="s">
        <v>8</v>
      </c>
      <c r="J97" s="70" t="s">
        <v>11</v>
      </c>
      <c r="K97" s="71"/>
      <c r="L97" s="3" t="s">
        <v>2</v>
      </c>
      <c r="M97" s="3" t="s">
        <v>4</v>
      </c>
      <c r="N97" s="3" t="s">
        <v>7</v>
      </c>
      <c r="O97" s="3"/>
    </row>
    <row r="98" spans="1:15" ht="15" thickBot="1" x14ac:dyDescent="0.25">
      <c r="A98" s="1">
        <f t="shared" si="4"/>
        <v>98</v>
      </c>
      <c r="B98" s="5"/>
      <c r="C98" s="5" t="s">
        <v>1</v>
      </c>
      <c r="D98" s="5" t="s">
        <v>3</v>
      </c>
      <c r="E98" s="5" t="s">
        <v>5</v>
      </c>
      <c r="F98" s="5" t="s">
        <v>3</v>
      </c>
      <c r="G98" s="5" t="s">
        <v>6</v>
      </c>
      <c r="H98" s="7" t="s">
        <v>9</v>
      </c>
      <c r="I98" s="5" t="s">
        <v>10</v>
      </c>
      <c r="J98" s="9" t="s">
        <v>12</v>
      </c>
      <c r="K98" s="8" t="s">
        <v>13</v>
      </c>
      <c r="L98" s="5" t="s">
        <v>3</v>
      </c>
      <c r="M98" s="5" t="s">
        <v>5</v>
      </c>
      <c r="N98" s="5" t="s">
        <v>3</v>
      </c>
      <c r="O98" s="5" t="s">
        <v>6</v>
      </c>
    </row>
    <row r="99" spans="1:15" x14ac:dyDescent="0.2">
      <c r="A99" s="1">
        <f t="shared" si="4"/>
        <v>99</v>
      </c>
      <c r="B99" s="3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ht="15" thickBot="1" x14ac:dyDescent="0.25">
      <c r="A100" s="1">
        <f t="shared" si="4"/>
        <v>100</v>
      </c>
      <c r="B100" s="3">
        <v>40</v>
      </c>
      <c r="C100" t="s">
        <v>101</v>
      </c>
      <c r="D100" s="16">
        <f>'Proposed - YE 2026'!L100</f>
        <v>15730000</v>
      </c>
      <c r="E100" s="16">
        <f>'Proposed - YE 2026'!M100</f>
        <v>1110925</v>
      </c>
      <c r="F100" s="16">
        <f>'Proposed - YE 2026'!N100</f>
        <v>14619075</v>
      </c>
      <c r="G100" s="16">
        <f>'Proposed - YE 2026'!O100</f>
        <v>0</v>
      </c>
      <c r="H100" s="16">
        <f>ROUND(F100*$J$88,0)</f>
        <v>164026</v>
      </c>
      <c r="I100" s="16">
        <v>0</v>
      </c>
      <c r="J100" s="16">
        <f>'Proposed - YE 2024'!J100</f>
        <v>44437</v>
      </c>
      <c r="K100" s="16">
        <f>ROUND(J100*12,0)</f>
        <v>533244</v>
      </c>
      <c r="L100" s="16">
        <f>D100</f>
        <v>15730000</v>
      </c>
      <c r="M100" s="16">
        <f>E100+K100</f>
        <v>1644169</v>
      </c>
      <c r="N100" s="16">
        <f>L100-M100</f>
        <v>14085831</v>
      </c>
      <c r="O100" s="16">
        <v>0</v>
      </c>
    </row>
    <row r="101" spans="1:15" ht="15" thickTop="1" x14ac:dyDescent="0.2">
      <c r="A101" s="1">
        <f t="shared" si="4"/>
        <v>101</v>
      </c>
      <c r="B101" s="3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x14ac:dyDescent="0.2">
      <c r="A102" s="1">
        <f t="shared" si="4"/>
        <v>102</v>
      </c>
      <c r="B102" s="17" t="s">
        <v>54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x14ac:dyDescent="0.2">
      <c r="A103" s="1">
        <f t="shared" si="4"/>
        <v>103</v>
      </c>
      <c r="B103" s="3"/>
      <c r="C103" t="s">
        <v>22</v>
      </c>
      <c r="D103" s="10">
        <f>L100</f>
        <v>15730000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x14ac:dyDescent="0.2">
      <c r="A104" s="1">
        <f t="shared" si="4"/>
        <v>104</v>
      </c>
      <c r="B104" s="3"/>
      <c r="C104" t="s">
        <v>6</v>
      </c>
      <c r="D104" s="15">
        <f>O100</f>
        <v>0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x14ac:dyDescent="0.2">
      <c r="A105" s="1">
        <f t="shared" si="4"/>
        <v>105</v>
      </c>
      <c r="B105" s="3"/>
      <c r="C105" t="s">
        <v>23</v>
      </c>
      <c r="D105" s="10">
        <f>D103+D104</f>
        <v>15730000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2">
      <c r="A106" s="1">
        <f t="shared" si="4"/>
        <v>106</v>
      </c>
      <c r="B106" s="3"/>
      <c r="C106" t="s">
        <v>24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2">
      <c r="A107" s="1">
        <f t="shared" si="4"/>
        <v>107</v>
      </c>
      <c r="C107" t="s">
        <v>25</v>
      </c>
      <c r="D107" s="10">
        <f>ROUND(D113*0.125,0)</f>
        <v>30250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x14ac:dyDescent="0.2">
      <c r="A108" s="1">
        <f t="shared" si="4"/>
        <v>108</v>
      </c>
      <c r="C108" t="s">
        <v>26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x14ac:dyDescent="0.2">
      <c r="A109" s="1">
        <f t="shared" si="4"/>
        <v>109</v>
      </c>
      <c r="C109" t="s">
        <v>27</v>
      </c>
      <c r="D109" s="15">
        <f>M100</f>
        <v>1644169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ht="15" thickBot="1" x14ac:dyDescent="0.25">
      <c r="A110" s="1">
        <f t="shared" si="4"/>
        <v>110</v>
      </c>
      <c r="C110" t="s">
        <v>28</v>
      </c>
      <c r="D110" s="18">
        <f>D105+D107-D109</f>
        <v>14116081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15" thickTop="1" x14ac:dyDescent="0.2">
      <c r="A111" s="1">
        <f t="shared" si="4"/>
        <v>111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x14ac:dyDescent="0.2">
      <c r="A112" s="1">
        <f t="shared" si="4"/>
        <v>112</v>
      </c>
      <c r="B112" s="4" t="s">
        <v>55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2">
      <c r="A113" s="1">
        <f t="shared" si="4"/>
        <v>113</v>
      </c>
      <c r="C113" t="s">
        <v>29</v>
      </c>
      <c r="D113" s="35">
        <v>242000</v>
      </c>
      <c r="E113" s="35"/>
      <c r="F113" s="35"/>
      <c r="G113" s="35"/>
      <c r="H113" s="10"/>
      <c r="I113" s="10"/>
      <c r="J113" s="10"/>
      <c r="K113" s="10"/>
      <c r="L113" s="10"/>
      <c r="M113" s="10"/>
      <c r="N113" s="10"/>
      <c r="O113" s="10"/>
    </row>
    <row r="114" spans="1:15" x14ac:dyDescent="0.2">
      <c r="A114" s="1">
        <f t="shared" si="4"/>
        <v>114</v>
      </c>
      <c r="C114" t="s">
        <v>30</v>
      </c>
      <c r="D114" s="35">
        <f>K100</f>
        <v>533244</v>
      </c>
      <c r="E114" s="35"/>
      <c r="F114" s="35"/>
      <c r="G114" s="35"/>
      <c r="H114" s="10"/>
      <c r="I114" s="10"/>
      <c r="J114" s="10"/>
      <c r="K114" s="10"/>
      <c r="L114" s="10"/>
      <c r="M114" s="10"/>
      <c r="N114" s="10"/>
      <c r="O114" s="10"/>
    </row>
    <row r="115" spans="1:15" x14ac:dyDescent="0.2">
      <c r="A115" s="1">
        <f t="shared" si="4"/>
        <v>115</v>
      </c>
      <c r="C115" t="s">
        <v>31</v>
      </c>
      <c r="D115" s="35">
        <f>H100</f>
        <v>164026</v>
      </c>
      <c r="E115" s="35"/>
      <c r="F115" s="35"/>
      <c r="G115" s="35"/>
      <c r="H115" s="28"/>
      <c r="I115" s="28"/>
      <c r="J115" s="28"/>
      <c r="K115" s="28"/>
      <c r="L115" s="28"/>
      <c r="M115" s="10"/>
      <c r="N115" s="10"/>
      <c r="O115" s="10"/>
    </row>
    <row r="116" spans="1:15" x14ac:dyDescent="0.2">
      <c r="A116" s="1">
        <f t="shared" si="4"/>
        <v>116</v>
      </c>
      <c r="C116" t="s">
        <v>32</v>
      </c>
      <c r="D116" s="37">
        <f>I100</f>
        <v>0</v>
      </c>
      <c r="E116" s="35"/>
      <c r="F116" s="35"/>
      <c r="G116" s="35"/>
      <c r="H116" s="28"/>
      <c r="I116" s="28"/>
      <c r="J116" s="28"/>
      <c r="K116" s="28"/>
      <c r="L116" s="28"/>
      <c r="M116" s="10"/>
      <c r="N116" s="10"/>
      <c r="O116" s="10"/>
    </row>
    <row r="117" spans="1:15" ht="15" thickBot="1" x14ac:dyDescent="0.25">
      <c r="A117" s="1">
        <f t="shared" si="4"/>
        <v>117</v>
      </c>
      <c r="C117" t="s">
        <v>33</v>
      </c>
      <c r="D117" s="38">
        <f>SUM(D113:D116)</f>
        <v>939270</v>
      </c>
      <c r="E117" s="35"/>
      <c r="F117" s="35"/>
      <c r="G117" s="35"/>
      <c r="H117" s="28"/>
      <c r="I117" s="28"/>
      <c r="J117" s="28"/>
      <c r="K117" s="28"/>
      <c r="L117" s="28"/>
      <c r="M117" s="10"/>
      <c r="N117" s="10"/>
      <c r="O117" s="10"/>
    </row>
    <row r="118" spans="1:15" ht="15" thickTop="1" x14ac:dyDescent="0.2">
      <c r="A118" s="1">
        <f t="shared" si="4"/>
        <v>118</v>
      </c>
      <c r="D118" s="35"/>
      <c r="E118" s="35"/>
      <c r="F118" s="35"/>
      <c r="G118" s="35"/>
      <c r="H118" s="28"/>
      <c r="I118" s="28"/>
      <c r="J118" s="28"/>
      <c r="K118" s="28"/>
      <c r="L118" s="28"/>
      <c r="M118" s="10"/>
      <c r="N118" s="10"/>
      <c r="O118" s="10"/>
    </row>
    <row r="119" spans="1:15" x14ac:dyDescent="0.2">
      <c r="A119" s="1">
        <f t="shared" si="4"/>
        <v>119</v>
      </c>
      <c r="B119" s="4" t="s">
        <v>56</v>
      </c>
      <c r="D119" s="35"/>
      <c r="E119" s="35"/>
      <c r="F119" s="35"/>
      <c r="G119" s="35"/>
      <c r="H119" s="28"/>
      <c r="I119" s="28"/>
      <c r="J119" s="28"/>
      <c r="K119" s="28"/>
      <c r="L119" s="28"/>
      <c r="M119" s="10"/>
      <c r="N119" s="10"/>
      <c r="O119" s="10"/>
    </row>
    <row r="120" spans="1:15" x14ac:dyDescent="0.2">
      <c r="A120" s="1">
        <f t="shared" si="4"/>
        <v>120</v>
      </c>
      <c r="C120" t="s">
        <v>28</v>
      </c>
      <c r="D120" s="35">
        <f>D110</f>
        <v>14116081</v>
      </c>
      <c r="E120" s="34"/>
      <c r="F120" s="34"/>
      <c r="G120" s="34"/>
      <c r="H120" s="28"/>
      <c r="I120" s="29"/>
      <c r="J120" s="29"/>
      <c r="K120" s="29"/>
      <c r="L120" s="28"/>
    </row>
    <row r="121" spans="1:15" x14ac:dyDescent="0.2">
      <c r="A121" s="1">
        <f t="shared" si="4"/>
        <v>121</v>
      </c>
      <c r="C121" s="49" t="s">
        <v>186</v>
      </c>
      <c r="D121" s="65">
        <f>D83</f>
        <v>6.4869999999999997E-2</v>
      </c>
      <c r="E121" s="34"/>
      <c r="F121" s="34"/>
      <c r="G121" s="34"/>
      <c r="H121" s="29"/>
      <c r="I121" s="29"/>
      <c r="J121" s="29"/>
      <c r="K121" s="29"/>
      <c r="L121" s="29"/>
    </row>
    <row r="122" spans="1:15" x14ac:dyDescent="0.2">
      <c r="A122" s="1">
        <f t="shared" si="4"/>
        <v>122</v>
      </c>
      <c r="C122" t="s">
        <v>34</v>
      </c>
      <c r="D122" s="35">
        <f>ROUND(D120*D121,0)</f>
        <v>915710</v>
      </c>
      <c r="E122" s="34"/>
      <c r="F122" s="34"/>
      <c r="G122" s="34"/>
    </row>
    <row r="123" spans="1:15" x14ac:dyDescent="0.2">
      <c r="A123" s="1">
        <f t="shared" si="4"/>
        <v>123</v>
      </c>
      <c r="C123" t="s">
        <v>35</v>
      </c>
      <c r="D123" s="37">
        <f>D117</f>
        <v>939270</v>
      </c>
      <c r="E123" s="34"/>
      <c r="F123" s="34"/>
      <c r="G123" s="34"/>
    </row>
    <row r="124" spans="1:15" x14ac:dyDescent="0.2">
      <c r="A124" s="1">
        <f t="shared" si="4"/>
        <v>124</v>
      </c>
      <c r="C124" t="s">
        <v>37</v>
      </c>
      <c r="D124" s="35">
        <f>D122+D123</f>
        <v>1854980</v>
      </c>
      <c r="E124" s="34"/>
      <c r="F124" s="34"/>
      <c r="G124" s="34"/>
    </row>
    <row r="125" spans="1:15" x14ac:dyDescent="0.2">
      <c r="A125" s="1">
        <f t="shared" si="4"/>
        <v>125</v>
      </c>
      <c r="C125" t="s">
        <v>36</v>
      </c>
      <c r="D125" s="39">
        <v>0.9556</v>
      </c>
      <c r="E125" s="34"/>
      <c r="F125" s="34"/>
      <c r="G125" s="34"/>
    </row>
    <row r="126" spans="1:15" ht="15" thickBot="1" x14ac:dyDescent="0.25">
      <c r="A126" s="1">
        <f t="shared" si="4"/>
        <v>126</v>
      </c>
      <c r="C126" s="40" t="s">
        <v>158</v>
      </c>
      <c r="D126" s="38">
        <f>ROUND(D124*D125,0)</f>
        <v>1772619</v>
      </c>
      <c r="E126" s="34"/>
      <c r="F126" s="34"/>
      <c r="G126" s="34"/>
    </row>
    <row r="127" spans="1:15" ht="15" thickTop="1" x14ac:dyDescent="0.2">
      <c r="A127" s="1">
        <f t="shared" si="4"/>
        <v>127</v>
      </c>
      <c r="B127" s="34"/>
      <c r="C127" s="34"/>
      <c r="D127" s="34"/>
      <c r="E127" s="34"/>
      <c r="F127" s="34"/>
      <c r="G127" s="34"/>
    </row>
    <row r="128" spans="1:15" x14ac:dyDescent="0.2">
      <c r="A128" s="1">
        <f t="shared" si="4"/>
        <v>128</v>
      </c>
      <c r="B128" s="54">
        <v>41</v>
      </c>
      <c r="C128" t="s">
        <v>103</v>
      </c>
      <c r="D128" s="34"/>
      <c r="E128" s="34"/>
      <c r="F128" s="34"/>
      <c r="G128" s="34"/>
    </row>
    <row r="129" spans="1:7" x14ac:dyDescent="0.2">
      <c r="A129" s="1">
        <f t="shared" si="4"/>
        <v>129</v>
      </c>
      <c r="B129" s="34"/>
      <c r="C129" s="34"/>
      <c r="D129" s="35"/>
      <c r="E129" s="34"/>
      <c r="F129" s="34"/>
      <c r="G129" s="34"/>
    </row>
    <row r="130" spans="1:7" x14ac:dyDescent="0.2">
      <c r="A130" s="1">
        <f t="shared" si="4"/>
        <v>130</v>
      </c>
      <c r="B130" s="4" t="s">
        <v>56</v>
      </c>
      <c r="C130" s="34"/>
      <c r="D130" s="35"/>
      <c r="E130" s="34"/>
      <c r="F130" s="34"/>
      <c r="G130" s="34"/>
    </row>
    <row r="131" spans="1:7" x14ac:dyDescent="0.2">
      <c r="A131" s="1">
        <f t="shared" si="4"/>
        <v>131</v>
      </c>
      <c r="B131" s="34"/>
      <c r="C131" s="34" t="s">
        <v>216</v>
      </c>
      <c r="D131" s="35">
        <v>50050</v>
      </c>
      <c r="E131" s="34"/>
      <c r="F131" s="34"/>
      <c r="G131" s="34"/>
    </row>
    <row r="132" spans="1:7" x14ac:dyDescent="0.2">
      <c r="A132" s="1">
        <f t="shared" si="4"/>
        <v>132</v>
      </c>
      <c r="B132" s="34"/>
      <c r="C132" s="34" t="s">
        <v>29</v>
      </c>
      <c r="D132" s="37">
        <v>65000</v>
      </c>
      <c r="E132" s="34"/>
      <c r="F132" s="34"/>
      <c r="G132" s="34"/>
    </row>
    <row r="133" spans="1:7" x14ac:dyDescent="0.2">
      <c r="A133" s="1">
        <f t="shared" si="4"/>
        <v>133</v>
      </c>
      <c r="B133" s="34"/>
      <c r="C133" t="s">
        <v>37</v>
      </c>
      <c r="D133" s="35">
        <f>D131+D132</f>
        <v>115050</v>
      </c>
      <c r="E133" s="34"/>
      <c r="F133" s="34"/>
      <c r="G133" s="34"/>
    </row>
    <row r="134" spans="1:7" x14ac:dyDescent="0.2">
      <c r="A134" s="1">
        <f t="shared" si="4"/>
        <v>134</v>
      </c>
      <c r="B134" s="34"/>
      <c r="C134" t="s">
        <v>36</v>
      </c>
      <c r="D134" s="39">
        <v>0.9556</v>
      </c>
      <c r="E134" s="34"/>
      <c r="F134" s="34"/>
      <c r="G134" s="34"/>
    </row>
    <row r="135" spans="1:7" ht="15" thickBot="1" x14ac:dyDescent="0.25">
      <c r="A135" s="1">
        <f t="shared" si="4"/>
        <v>135</v>
      </c>
      <c r="B135" s="34"/>
      <c r="C135" s="40" t="s">
        <v>158</v>
      </c>
      <c r="D135" s="38">
        <f>ROUND(D133*D134,0)</f>
        <v>109942</v>
      </c>
      <c r="E135" s="34"/>
      <c r="F135" s="34"/>
      <c r="G135" s="34"/>
    </row>
    <row r="136" spans="1:7" ht="15" thickTop="1" x14ac:dyDescent="0.2">
      <c r="A136" s="1">
        <f t="shared" si="4"/>
        <v>136</v>
      </c>
      <c r="B136" s="34"/>
      <c r="C136" s="34"/>
      <c r="D136" s="35"/>
      <c r="E136" s="34"/>
      <c r="F136" s="34"/>
      <c r="G136" s="34"/>
    </row>
  </sheetData>
  <mergeCells count="10">
    <mergeCell ref="C3:N3"/>
    <mergeCell ref="C4:N4"/>
    <mergeCell ref="J97:K97"/>
    <mergeCell ref="D10:G10"/>
    <mergeCell ref="H10:K10"/>
    <mergeCell ref="L10:O10"/>
    <mergeCell ref="J11:K11"/>
    <mergeCell ref="D96:G96"/>
    <mergeCell ref="H96:K96"/>
    <mergeCell ref="L96:O9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zoomScale="80" zoomScaleNormal="80" workbookViewId="0">
      <selection activeCell="C32" sqref="C32"/>
    </sheetView>
  </sheetViews>
  <sheetFormatPr defaultColWidth="15.625" defaultRowHeight="14.25" x14ac:dyDescent="0.2"/>
  <cols>
    <col min="1" max="1" width="5" bestFit="1" customWidth="1"/>
    <col min="3" max="3" width="56.5" customWidth="1"/>
  </cols>
  <sheetData>
    <row r="1" spans="1:10" ht="15" x14ac:dyDescent="0.25">
      <c r="A1" s="1">
        <v>1</v>
      </c>
      <c r="J1" s="57" t="s">
        <v>200</v>
      </c>
    </row>
    <row r="2" spans="1:10" ht="15" x14ac:dyDescent="0.25">
      <c r="A2" s="1">
        <f>A1+1</f>
        <v>2</v>
      </c>
      <c r="J2" s="57" t="s">
        <v>197</v>
      </c>
    </row>
    <row r="3" spans="1:10" x14ac:dyDescent="0.2">
      <c r="A3" s="1">
        <f t="shared" ref="A3:A9" si="0">A2+1</f>
        <v>3</v>
      </c>
    </row>
    <row r="4" spans="1:10" ht="15" x14ac:dyDescent="0.25">
      <c r="A4" s="1">
        <f t="shared" si="0"/>
        <v>4</v>
      </c>
      <c r="C4" s="69" t="s">
        <v>189</v>
      </c>
      <c r="D4" s="69"/>
      <c r="E4" s="69"/>
      <c r="F4" s="69"/>
      <c r="G4" s="69"/>
      <c r="H4" s="69"/>
      <c r="I4" s="69"/>
    </row>
    <row r="5" spans="1:10" ht="15" x14ac:dyDescent="0.25">
      <c r="A5" s="1">
        <f t="shared" si="0"/>
        <v>5</v>
      </c>
      <c r="C5" s="69" t="s">
        <v>198</v>
      </c>
      <c r="D5" s="69"/>
      <c r="E5" s="69"/>
      <c r="F5" s="69"/>
      <c r="G5" s="69"/>
      <c r="H5" s="69"/>
      <c r="I5" s="69"/>
    </row>
    <row r="6" spans="1:10" ht="15" x14ac:dyDescent="0.25">
      <c r="A6" s="1">
        <f t="shared" si="0"/>
        <v>6</v>
      </c>
      <c r="C6" s="69" t="s">
        <v>199</v>
      </c>
      <c r="D6" s="69"/>
      <c r="E6" s="69"/>
      <c r="F6" s="69"/>
      <c r="G6" s="69"/>
      <c r="H6" s="69"/>
      <c r="I6" s="69"/>
    </row>
    <row r="7" spans="1:10" x14ac:dyDescent="0.2">
      <c r="A7" s="1">
        <f t="shared" si="0"/>
        <v>7</v>
      </c>
    </row>
    <row r="8" spans="1:10" x14ac:dyDescent="0.2">
      <c r="A8" s="1">
        <f t="shared" si="0"/>
        <v>8</v>
      </c>
    </row>
    <row r="9" spans="1:10" x14ac:dyDescent="0.2">
      <c r="A9" s="1">
        <f t="shared" si="0"/>
        <v>9</v>
      </c>
      <c r="B9" s="34"/>
      <c r="C9" s="34"/>
      <c r="D9" s="35"/>
      <c r="I9" s="11"/>
      <c r="J9" s="12"/>
    </row>
    <row r="10" spans="1:10" x14ac:dyDescent="0.2">
      <c r="A10" s="1">
        <f t="shared" ref="A10:A62" si="1">A9+1</f>
        <v>10</v>
      </c>
      <c r="B10" s="34" t="s">
        <v>111</v>
      </c>
      <c r="C10" s="34"/>
      <c r="D10" s="36"/>
      <c r="E10" s="34"/>
      <c r="F10" s="34"/>
      <c r="G10" s="34"/>
    </row>
    <row r="11" spans="1:10" x14ac:dyDescent="0.2">
      <c r="A11" s="1">
        <f t="shared" si="1"/>
        <v>11</v>
      </c>
      <c r="B11" s="34"/>
      <c r="C11" t="s">
        <v>112</v>
      </c>
      <c r="D11" s="35">
        <f>D62</f>
        <v>1754100</v>
      </c>
      <c r="E11" s="34"/>
      <c r="F11" s="34"/>
      <c r="G11" s="11" t="s">
        <v>16</v>
      </c>
      <c r="H11" s="12">
        <v>1.5E-3</v>
      </c>
      <c r="I11" t="s">
        <v>18</v>
      </c>
    </row>
    <row r="12" spans="1:10" x14ac:dyDescent="0.2">
      <c r="A12" s="1">
        <f t="shared" si="1"/>
        <v>12</v>
      </c>
      <c r="B12" s="34"/>
      <c r="C12" t="s">
        <v>6</v>
      </c>
      <c r="D12" s="37">
        <f>G62</f>
        <v>17648040</v>
      </c>
      <c r="E12" s="34"/>
      <c r="H12" s="12">
        <v>1.1220000000000001E-2</v>
      </c>
      <c r="I12" t="s">
        <v>20</v>
      </c>
    </row>
    <row r="13" spans="1:10" x14ac:dyDescent="0.2">
      <c r="A13" s="1">
        <f t="shared" si="1"/>
        <v>13</v>
      </c>
      <c r="B13" s="34"/>
      <c r="C13" t="s">
        <v>23</v>
      </c>
      <c r="D13" s="35">
        <f>D11+D12</f>
        <v>19402140</v>
      </c>
      <c r="E13" s="34"/>
      <c r="H13" s="13">
        <v>8.633E-3</v>
      </c>
      <c r="I13" t="s">
        <v>19</v>
      </c>
    </row>
    <row r="14" spans="1:10" x14ac:dyDescent="0.2">
      <c r="A14" s="1">
        <f t="shared" si="1"/>
        <v>14</v>
      </c>
      <c r="B14" s="34"/>
      <c r="C14" t="s">
        <v>24</v>
      </c>
      <c r="D14" s="35"/>
      <c r="E14" s="34"/>
      <c r="H14" s="14">
        <v>7.0299999999999998E-3</v>
      </c>
      <c r="I14" t="s">
        <v>21</v>
      </c>
    </row>
    <row r="15" spans="1:10" x14ac:dyDescent="0.2">
      <c r="A15" s="1">
        <f t="shared" si="1"/>
        <v>15</v>
      </c>
      <c r="B15" s="34"/>
      <c r="C15" t="s">
        <v>125</v>
      </c>
      <c r="D15" s="35">
        <f>ROUND(D26*0.125,0)</f>
        <v>0</v>
      </c>
      <c r="E15" s="34"/>
      <c r="F15" s="41"/>
      <c r="G15" s="11" t="s">
        <v>17</v>
      </c>
      <c r="H15" s="12">
        <v>1.6999999999999999E-3</v>
      </c>
    </row>
    <row r="16" spans="1:10" x14ac:dyDescent="0.2">
      <c r="A16" s="1">
        <f t="shared" si="1"/>
        <v>16</v>
      </c>
      <c r="B16" s="34"/>
      <c r="C16" t="s">
        <v>26</v>
      </c>
      <c r="D16" s="35"/>
      <c r="E16" s="34"/>
      <c r="F16" s="41"/>
    </row>
    <row r="17" spans="1:8" x14ac:dyDescent="0.2">
      <c r="A17" s="1">
        <f t="shared" si="1"/>
        <v>17</v>
      </c>
      <c r="C17" t="s">
        <v>113</v>
      </c>
      <c r="D17" s="15">
        <f>E62</f>
        <v>164373</v>
      </c>
      <c r="E17" s="34"/>
      <c r="F17" s="41"/>
    </row>
    <row r="18" spans="1:8" ht="15" thickBot="1" x14ac:dyDescent="0.25">
      <c r="A18" s="1">
        <f t="shared" si="1"/>
        <v>18</v>
      </c>
      <c r="C18" t="s">
        <v>114</v>
      </c>
      <c r="D18" s="18">
        <f>D13+D15-D17</f>
        <v>19237767</v>
      </c>
      <c r="E18" s="34"/>
      <c r="F18" s="41"/>
    </row>
    <row r="19" spans="1:8" ht="15" thickTop="1" x14ac:dyDescent="0.2">
      <c r="A19" s="1">
        <f t="shared" si="1"/>
        <v>19</v>
      </c>
      <c r="E19" s="34"/>
      <c r="F19" s="34"/>
      <c r="H19" s="34"/>
    </row>
    <row r="20" spans="1:8" x14ac:dyDescent="0.2">
      <c r="A20" s="1">
        <f t="shared" si="1"/>
        <v>20</v>
      </c>
      <c r="C20" t="s">
        <v>124</v>
      </c>
      <c r="D20" s="22">
        <v>5.9749999999999998E-2</v>
      </c>
      <c r="F20" s="41"/>
      <c r="H20" s="34"/>
    </row>
    <row r="21" spans="1:8" x14ac:dyDescent="0.2">
      <c r="A21" s="1">
        <f t="shared" si="1"/>
        <v>21</v>
      </c>
      <c r="F21" s="34"/>
      <c r="H21" s="34"/>
    </row>
    <row r="22" spans="1:8" ht="15" thickBot="1" x14ac:dyDescent="0.25">
      <c r="A22" s="1">
        <f t="shared" si="1"/>
        <v>22</v>
      </c>
      <c r="C22" t="s">
        <v>34</v>
      </c>
      <c r="D22" s="16">
        <f>ROUND(D18*D20,0)</f>
        <v>1149457</v>
      </c>
      <c r="F22" s="41"/>
      <c r="H22" s="34"/>
    </row>
    <row r="23" spans="1:8" ht="15" thickTop="1" x14ac:dyDescent="0.2">
      <c r="A23" s="1">
        <f t="shared" si="1"/>
        <v>23</v>
      </c>
      <c r="F23" s="41"/>
    </row>
    <row r="24" spans="1:8" x14ac:dyDescent="0.2">
      <c r="A24" s="1">
        <f t="shared" si="1"/>
        <v>24</v>
      </c>
      <c r="B24" t="s">
        <v>115</v>
      </c>
      <c r="F24" s="41"/>
    </row>
    <row r="25" spans="1:8" x14ac:dyDescent="0.2">
      <c r="A25" s="1">
        <f t="shared" si="1"/>
        <v>25</v>
      </c>
      <c r="C25" t="s">
        <v>116</v>
      </c>
      <c r="D25" s="10">
        <f>J62</f>
        <v>54072</v>
      </c>
      <c r="E25" t="s">
        <v>187</v>
      </c>
      <c r="F25" s="41"/>
    </row>
    <row r="26" spans="1:8" x14ac:dyDescent="0.2">
      <c r="A26" s="1">
        <f t="shared" si="1"/>
        <v>26</v>
      </c>
      <c r="C26" t="s">
        <v>117</v>
      </c>
      <c r="D26" s="10">
        <v>0</v>
      </c>
      <c r="E26" t="s">
        <v>185</v>
      </c>
      <c r="F26" s="41"/>
      <c r="H26" s="34"/>
    </row>
    <row r="27" spans="1:8" x14ac:dyDescent="0.2">
      <c r="A27" s="1">
        <f t="shared" si="1"/>
        <v>27</v>
      </c>
      <c r="C27" t="s">
        <v>118</v>
      </c>
      <c r="D27" s="15">
        <f>H62+I62</f>
        <v>53947</v>
      </c>
      <c r="F27" s="41"/>
    </row>
    <row r="28" spans="1:8" ht="15" thickBot="1" x14ac:dyDescent="0.25">
      <c r="A28" s="1">
        <f t="shared" si="1"/>
        <v>28</v>
      </c>
      <c r="C28" t="s">
        <v>119</v>
      </c>
      <c r="D28" s="18">
        <f>SUM(D25:D27)</f>
        <v>108019</v>
      </c>
      <c r="F28" s="41"/>
    </row>
    <row r="29" spans="1:8" ht="15" thickTop="1" x14ac:dyDescent="0.2">
      <c r="A29" s="1">
        <f t="shared" si="1"/>
        <v>29</v>
      </c>
      <c r="F29" s="41"/>
    </row>
    <row r="30" spans="1:8" x14ac:dyDescent="0.2">
      <c r="A30" s="1">
        <f t="shared" si="1"/>
        <v>30</v>
      </c>
      <c r="B30" t="s">
        <v>120</v>
      </c>
      <c r="F30" s="41"/>
    </row>
    <row r="31" spans="1:8" x14ac:dyDescent="0.2">
      <c r="A31" s="1">
        <f t="shared" si="1"/>
        <v>31</v>
      </c>
      <c r="C31" t="s">
        <v>34</v>
      </c>
      <c r="D31" s="10">
        <f>D22</f>
        <v>1149457</v>
      </c>
      <c r="F31" s="41"/>
    </row>
    <row r="32" spans="1:8" x14ac:dyDescent="0.2">
      <c r="A32" s="1">
        <f t="shared" si="1"/>
        <v>32</v>
      </c>
      <c r="C32" t="s">
        <v>119</v>
      </c>
      <c r="D32" s="15">
        <f>D28</f>
        <v>108019</v>
      </c>
    </row>
    <row r="33" spans="1:16" x14ac:dyDescent="0.2">
      <c r="A33" s="1">
        <f t="shared" si="1"/>
        <v>33</v>
      </c>
      <c r="C33" t="s">
        <v>121</v>
      </c>
      <c r="D33" s="10">
        <f>D31+D32</f>
        <v>1257476</v>
      </c>
    </row>
    <row r="34" spans="1:16" x14ac:dyDescent="0.2">
      <c r="A34" s="1">
        <f t="shared" si="1"/>
        <v>34</v>
      </c>
      <c r="C34" t="s">
        <v>122</v>
      </c>
      <c r="D34" s="20">
        <v>0.99360000000000004</v>
      </c>
      <c r="G34" s="43"/>
      <c r="H34" s="44"/>
    </row>
    <row r="35" spans="1:16" x14ac:dyDescent="0.2">
      <c r="A35" s="1">
        <f t="shared" si="1"/>
        <v>35</v>
      </c>
      <c r="C35" t="s">
        <v>123</v>
      </c>
      <c r="F35" s="43"/>
      <c r="G35" s="44"/>
      <c r="J35" s="10"/>
      <c r="K35" s="10"/>
      <c r="L35" s="10"/>
      <c r="M35" s="10"/>
      <c r="N35" s="10"/>
      <c r="O35" s="10"/>
      <c r="P35" s="10"/>
    </row>
    <row r="36" spans="1:16" ht="15" thickBot="1" x14ac:dyDescent="0.25">
      <c r="A36" s="1">
        <f t="shared" si="1"/>
        <v>36</v>
      </c>
      <c r="C36" t="s">
        <v>105</v>
      </c>
      <c r="D36" s="16">
        <f>ROUND(D33*D34,0)</f>
        <v>1249428</v>
      </c>
      <c r="F36" s="43"/>
      <c r="G36" s="44"/>
    </row>
    <row r="37" spans="1:16" ht="15" thickTop="1" x14ac:dyDescent="0.2">
      <c r="A37" s="1">
        <f t="shared" si="1"/>
        <v>37</v>
      </c>
    </row>
    <row r="38" spans="1:16" x14ac:dyDescent="0.2">
      <c r="A38" s="1">
        <f t="shared" si="1"/>
        <v>38</v>
      </c>
    </row>
    <row r="39" spans="1:16" x14ac:dyDescent="0.2">
      <c r="A39" s="1">
        <f t="shared" si="1"/>
        <v>39</v>
      </c>
      <c r="B39" s="30" t="s">
        <v>184</v>
      </c>
    </row>
    <row r="40" spans="1:16" x14ac:dyDescent="0.2">
      <c r="A40" s="1">
        <f t="shared" si="1"/>
        <v>40</v>
      </c>
    </row>
    <row r="41" spans="1:16" x14ac:dyDescent="0.2">
      <c r="A41" s="1">
        <f t="shared" si="1"/>
        <v>41</v>
      </c>
      <c r="B41" s="3" t="s">
        <v>159</v>
      </c>
      <c r="C41" s="3"/>
      <c r="D41" s="3" t="s">
        <v>2</v>
      </c>
      <c r="E41" s="3" t="s">
        <v>4</v>
      </c>
      <c r="F41" s="3" t="s">
        <v>7</v>
      </c>
      <c r="G41" s="3"/>
      <c r="H41" s="21" t="s">
        <v>8</v>
      </c>
      <c r="I41" s="21" t="s">
        <v>8</v>
      </c>
      <c r="J41" s="42" t="s">
        <v>5</v>
      </c>
    </row>
    <row r="42" spans="1:16" ht="15" thickBot="1" x14ac:dyDescent="0.25">
      <c r="A42" s="1">
        <f t="shared" si="1"/>
        <v>42</v>
      </c>
      <c r="B42" s="5" t="s">
        <v>160</v>
      </c>
      <c r="C42" s="5" t="s">
        <v>1</v>
      </c>
      <c r="D42" s="5" t="s">
        <v>3</v>
      </c>
      <c r="E42" s="5" t="s">
        <v>5</v>
      </c>
      <c r="F42" s="5" t="s">
        <v>3</v>
      </c>
      <c r="G42" s="5" t="s">
        <v>6</v>
      </c>
      <c r="H42" s="5" t="s">
        <v>9</v>
      </c>
      <c r="I42" s="5" t="s">
        <v>10</v>
      </c>
      <c r="J42" s="5" t="s">
        <v>126</v>
      </c>
    </row>
    <row r="43" spans="1:16" x14ac:dyDescent="0.2">
      <c r="A43" s="1">
        <f t="shared" si="1"/>
        <v>43</v>
      </c>
    </row>
    <row r="44" spans="1:16" x14ac:dyDescent="0.2">
      <c r="A44" s="1">
        <f t="shared" si="1"/>
        <v>44</v>
      </c>
      <c r="B44" s="3" t="s">
        <v>167</v>
      </c>
      <c r="C44" s="41" t="s">
        <v>169</v>
      </c>
      <c r="D44" s="10">
        <v>0</v>
      </c>
      <c r="E44" s="10">
        <v>0</v>
      </c>
      <c r="F44" s="28">
        <f t="shared" ref="F44:F51" si="2">D44-E44</f>
        <v>0</v>
      </c>
      <c r="G44" s="10">
        <v>4596029</v>
      </c>
      <c r="H44" s="10">
        <f>ROUND((G44*0.5)*$H$11,0)</f>
        <v>3447</v>
      </c>
      <c r="I44" s="10">
        <v>0</v>
      </c>
      <c r="J44" s="10">
        <v>0</v>
      </c>
    </row>
    <row r="45" spans="1:16" x14ac:dyDescent="0.2">
      <c r="A45" s="1">
        <f t="shared" si="1"/>
        <v>45</v>
      </c>
      <c r="B45" s="3" t="s">
        <v>165</v>
      </c>
      <c r="C45" s="41" t="s">
        <v>170</v>
      </c>
      <c r="D45" s="10">
        <v>0</v>
      </c>
      <c r="E45" s="10">
        <v>0</v>
      </c>
      <c r="F45" s="28">
        <f t="shared" si="2"/>
        <v>0</v>
      </c>
      <c r="G45" s="10">
        <v>0</v>
      </c>
      <c r="H45" s="10">
        <v>0</v>
      </c>
      <c r="I45" s="10">
        <v>0</v>
      </c>
      <c r="J45" s="10">
        <v>0</v>
      </c>
    </row>
    <row r="46" spans="1:16" x14ac:dyDescent="0.2">
      <c r="A46" s="1">
        <f t="shared" si="1"/>
        <v>46</v>
      </c>
      <c r="B46" s="3" t="s">
        <v>166</v>
      </c>
      <c r="C46" s="41" t="s">
        <v>171</v>
      </c>
      <c r="D46" s="10">
        <v>224529</v>
      </c>
      <c r="E46" s="10">
        <v>19028</v>
      </c>
      <c r="F46" s="28">
        <f t="shared" si="2"/>
        <v>205501</v>
      </c>
      <c r="G46" s="10">
        <v>0</v>
      </c>
      <c r="H46" s="10">
        <f>ROUND(F46*$H$11,0)</f>
        <v>308</v>
      </c>
      <c r="I46" s="10">
        <f>ROUND(F46*$H$15,0)</f>
        <v>349</v>
      </c>
      <c r="J46" s="10">
        <v>6000</v>
      </c>
    </row>
    <row r="47" spans="1:16" x14ac:dyDescent="0.2">
      <c r="A47" s="1">
        <f t="shared" si="1"/>
        <v>47</v>
      </c>
      <c r="B47" s="3" t="s">
        <v>168</v>
      </c>
      <c r="C47" s="41" t="s">
        <v>172</v>
      </c>
      <c r="D47" s="10">
        <v>0</v>
      </c>
      <c r="E47" s="10">
        <v>0</v>
      </c>
      <c r="F47" s="28">
        <f t="shared" si="2"/>
        <v>0</v>
      </c>
      <c r="G47" s="10">
        <v>4602878</v>
      </c>
      <c r="H47" s="10">
        <f>ROUND((G47*0.5)*$H$11,0)</f>
        <v>3452</v>
      </c>
      <c r="I47" s="10">
        <v>0</v>
      </c>
      <c r="J47" s="10">
        <v>0</v>
      </c>
    </row>
    <row r="48" spans="1:16" x14ac:dyDescent="0.2">
      <c r="A48" s="1">
        <f t="shared" si="1"/>
        <v>48</v>
      </c>
      <c r="B48" s="3" t="s">
        <v>161</v>
      </c>
      <c r="C48" s="34" t="s">
        <v>173</v>
      </c>
      <c r="D48" s="10">
        <v>359709</v>
      </c>
      <c r="E48" s="10">
        <v>47134</v>
      </c>
      <c r="F48" s="10">
        <f t="shared" si="2"/>
        <v>312575</v>
      </c>
      <c r="G48" s="10">
        <v>0</v>
      </c>
      <c r="H48" s="10">
        <f>ROUND(F48*$H$14,0)</f>
        <v>2197</v>
      </c>
      <c r="I48" s="10">
        <f>ROUND(F48*$H$15,0)</f>
        <v>531</v>
      </c>
      <c r="J48" s="10">
        <v>14388</v>
      </c>
    </row>
    <row r="49" spans="1:10" x14ac:dyDescent="0.2">
      <c r="A49" s="1">
        <f t="shared" si="1"/>
        <v>49</v>
      </c>
      <c r="B49" s="3" t="s">
        <v>162</v>
      </c>
      <c r="C49" s="41" t="s">
        <v>174</v>
      </c>
      <c r="D49" s="10">
        <v>325446</v>
      </c>
      <c r="E49" s="10">
        <v>29937</v>
      </c>
      <c r="F49" s="28">
        <f t="shared" si="2"/>
        <v>295509</v>
      </c>
      <c r="G49" s="10">
        <v>0</v>
      </c>
      <c r="H49" s="10">
        <f>ROUND(F49*$H$13,0)</f>
        <v>2551</v>
      </c>
      <c r="I49" s="10">
        <f>ROUND(F49*$H$15,0)</f>
        <v>502</v>
      </c>
      <c r="J49" s="10">
        <v>7680</v>
      </c>
    </row>
    <row r="50" spans="1:10" x14ac:dyDescent="0.2">
      <c r="A50" s="1">
        <f t="shared" si="1"/>
        <v>50</v>
      </c>
      <c r="B50" s="3">
        <v>27</v>
      </c>
      <c r="C50" s="34" t="s">
        <v>80</v>
      </c>
      <c r="D50" s="10">
        <v>0</v>
      </c>
      <c r="E50" s="10">
        <v>0</v>
      </c>
      <c r="F50" s="28">
        <f t="shared" si="2"/>
        <v>0</v>
      </c>
      <c r="G50" s="10">
        <v>23188</v>
      </c>
      <c r="H50" s="10">
        <f>ROUND((G50*0.5)*$H$14,0)</f>
        <v>82</v>
      </c>
      <c r="I50" s="10">
        <v>0</v>
      </c>
      <c r="J50" s="10">
        <v>0</v>
      </c>
    </row>
    <row r="51" spans="1:10" x14ac:dyDescent="0.2">
      <c r="A51" s="1">
        <f t="shared" si="1"/>
        <v>51</v>
      </c>
      <c r="B51" s="3">
        <v>28</v>
      </c>
      <c r="C51" s="41" t="s">
        <v>175</v>
      </c>
      <c r="D51" s="10">
        <v>249045</v>
      </c>
      <c r="E51" s="10">
        <v>24243</v>
      </c>
      <c r="F51" s="28">
        <f t="shared" si="2"/>
        <v>224802</v>
      </c>
      <c r="G51" s="10">
        <v>0</v>
      </c>
      <c r="H51" s="10">
        <f>ROUND(F51*$H$12,0)</f>
        <v>2522</v>
      </c>
      <c r="I51" s="10">
        <f>ROUND(F51*$H$15,0)</f>
        <v>382</v>
      </c>
      <c r="J51" s="10">
        <v>7860</v>
      </c>
    </row>
    <row r="52" spans="1:10" x14ac:dyDescent="0.2">
      <c r="A52" s="1">
        <f t="shared" si="1"/>
        <v>52</v>
      </c>
      <c r="B52" s="3">
        <v>30</v>
      </c>
      <c r="C52" s="41" t="s">
        <v>176</v>
      </c>
      <c r="D52" s="10">
        <v>0</v>
      </c>
      <c r="E52" s="10">
        <v>0</v>
      </c>
      <c r="F52" s="28">
        <f t="shared" ref="F52:F59" si="3">D52-E52</f>
        <v>0</v>
      </c>
      <c r="G52" s="10">
        <v>0</v>
      </c>
      <c r="H52" s="10">
        <v>0</v>
      </c>
      <c r="I52" s="10">
        <v>0</v>
      </c>
      <c r="J52" s="10">
        <v>0</v>
      </c>
    </row>
    <row r="53" spans="1:10" x14ac:dyDescent="0.2">
      <c r="A53" s="1">
        <f t="shared" si="1"/>
        <v>53</v>
      </c>
      <c r="B53" s="3">
        <v>31</v>
      </c>
      <c r="C53" s="41" t="s">
        <v>177</v>
      </c>
      <c r="D53" s="10">
        <v>0</v>
      </c>
      <c r="E53" s="10">
        <v>0</v>
      </c>
      <c r="F53" s="28">
        <f t="shared" si="3"/>
        <v>0</v>
      </c>
      <c r="G53" s="10">
        <v>2347626</v>
      </c>
      <c r="H53" s="10">
        <f>ROUND((G53*0.5)*$H$11,0)</f>
        <v>1761</v>
      </c>
      <c r="I53" s="10">
        <v>0</v>
      </c>
      <c r="J53" s="10">
        <v>0</v>
      </c>
    </row>
    <row r="54" spans="1:10" x14ac:dyDescent="0.2">
      <c r="A54" s="1">
        <f t="shared" si="1"/>
        <v>54</v>
      </c>
      <c r="B54" s="3">
        <v>32</v>
      </c>
      <c r="C54" s="41" t="s">
        <v>86</v>
      </c>
      <c r="D54" s="10">
        <v>0</v>
      </c>
      <c r="E54" s="10">
        <v>0</v>
      </c>
      <c r="F54" s="28">
        <f t="shared" si="3"/>
        <v>0</v>
      </c>
      <c r="G54" s="10">
        <v>0</v>
      </c>
      <c r="H54" s="10">
        <v>0</v>
      </c>
      <c r="I54" s="10">
        <v>0</v>
      </c>
      <c r="J54" s="10">
        <v>0</v>
      </c>
    </row>
    <row r="55" spans="1:10" x14ac:dyDescent="0.2">
      <c r="A55" s="1">
        <f t="shared" si="1"/>
        <v>55</v>
      </c>
      <c r="B55" s="3">
        <v>34</v>
      </c>
      <c r="C55" s="41" t="s">
        <v>178</v>
      </c>
      <c r="D55" s="10">
        <v>127547</v>
      </c>
      <c r="E55" s="10">
        <v>9276</v>
      </c>
      <c r="F55" s="28">
        <f>D55-E55</f>
        <v>118271</v>
      </c>
      <c r="G55" s="10">
        <v>0</v>
      </c>
      <c r="H55" s="10">
        <f>ROUND(F55*$H$11,0)</f>
        <v>177</v>
      </c>
      <c r="I55" s="10">
        <f>ROUND(F55*$H$15,0)</f>
        <v>201</v>
      </c>
      <c r="J55" s="10">
        <v>4008</v>
      </c>
    </row>
    <row r="56" spans="1:10" x14ac:dyDescent="0.2">
      <c r="A56" s="1">
        <f t="shared" si="1"/>
        <v>56</v>
      </c>
      <c r="B56" s="3">
        <v>34</v>
      </c>
      <c r="C56" s="41" t="s">
        <v>179</v>
      </c>
      <c r="D56" s="10">
        <v>99165</v>
      </c>
      <c r="E56" s="10">
        <v>3513</v>
      </c>
      <c r="F56" s="28">
        <f>D56-E56</f>
        <v>95652</v>
      </c>
      <c r="G56" s="10">
        <v>0</v>
      </c>
      <c r="H56" s="10">
        <f>ROUND(F56*$H$11,0)</f>
        <v>143</v>
      </c>
      <c r="I56" s="10">
        <f>ROUND(F56*$H$15,0)</f>
        <v>163</v>
      </c>
      <c r="J56" s="10">
        <v>3636</v>
      </c>
    </row>
    <row r="57" spans="1:10" x14ac:dyDescent="0.2">
      <c r="A57" s="1">
        <f t="shared" si="1"/>
        <v>57</v>
      </c>
      <c r="B57" s="3">
        <v>35</v>
      </c>
      <c r="C57" s="41" t="s">
        <v>180</v>
      </c>
      <c r="D57" s="10">
        <v>368659</v>
      </c>
      <c r="E57" s="10">
        <v>31242</v>
      </c>
      <c r="F57" s="28">
        <f>D57-E57</f>
        <v>337417</v>
      </c>
      <c r="G57" s="10">
        <v>0</v>
      </c>
      <c r="H57" s="10">
        <f>ROUND(F57*$H$11,0)</f>
        <v>506</v>
      </c>
      <c r="I57" s="10">
        <f>ROUND(F57*$H$15,0)</f>
        <v>574</v>
      </c>
      <c r="J57" s="10">
        <v>10500</v>
      </c>
    </row>
    <row r="58" spans="1:10" x14ac:dyDescent="0.2">
      <c r="A58" s="1">
        <f t="shared" si="1"/>
        <v>58</v>
      </c>
      <c r="B58" s="3">
        <v>38</v>
      </c>
      <c r="C58" s="41" t="s">
        <v>181</v>
      </c>
      <c r="D58" s="28">
        <v>0</v>
      </c>
      <c r="E58" s="28">
        <v>0</v>
      </c>
      <c r="F58" s="28">
        <f t="shared" si="3"/>
        <v>0</v>
      </c>
      <c r="G58" s="28">
        <v>0</v>
      </c>
      <c r="H58" s="28">
        <v>0</v>
      </c>
      <c r="I58" s="28">
        <v>0</v>
      </c>
      <c r="J58" s="28">
        <v>0</v>
      </c>
    </row>
    <row r="59" spans="1:10" x14ac:dyDescent="0.2">
      <c r="A59" s="1">
        <f t="shared" si="1"/>
        <v>59</v>
      </c>
      <c r="B59" s="3">
        <v>39</v>
      </c>
      <c r="C59" s="41" t="s">
        <v>182</v>
      </c>
      <c r="D59" s="28">
        <v>0</v>
      </c>
      <c r="E59" s="28">
        <v>0</v>
      </c>
      <c r="F59" s="28">
        <f t="shared" si="3"/>
        <v>0</v>
      </c>
      <c r="G59" s="28">
        <v>6077174</v>
      </c>
      <c r="H59" s="28">
        <f>ROUND((G59*0.5)*$H$12,0)</f>
        <v>34093</v>
      </c>
      <c r="I59" s="28">
        <v>0</v>
      </c>
      <c r="J59" s="28">
        <v>0</v>
      </c>
    </row>
    <row r="60" spans="1:10" x14ac:dyDescent="0.2">
      <c r="A60" s="1">
        <f t="shared" si="1"/>
        <v>60</v>
      </c>
      <c r="B60" s="3">
        <v>40</v>
      </c>
      <c r="C60" s="41" t="s">
        <v>183</v>
      </c>
      <c r="D60" s="50">
        <v>0</v>
      </c>
      <c r="E60" s="50">
        <v>0</v>
      </c>
      <c r="F60" s="50">
        <v>0</v>
      </c>
      <c r="G60" s="50">
        <v>1145</v>
      </c>
      <c r="H60" s="15">
        <f>ROUND((G60*0.5)*$H$12,0)</f>
        <v>6</v>
      </c>
      <c r="I60" s="50">
        <v>0</v>
      </c>
      <c r="J60" s="50">
        <v>0</v>
      </c>
    </row>
    <row r="61" spans="1:10" x14ac:dyDescent="0.2">
      <c r="A61" s="1">
        <f t="shared" si="1"/>
        <v>61</v>
      </c>
    </row>
    <row r="62" spans="1:10" ht="15" thickBot="1" x14ac:dyDescent="0.25">
      <c r="A62" s="1">
        <f t="shared" si="1"/>
        <v>62</v>
      </c>
      <c r="C62" t="s">
        <v>15</v>
      </c>
      <c r="D62" s="16">
        <f t="shared" ref="D62:J62" si="4">SUM(D44:D60)</f>
        <v>1754100</v>
      </c>
      <c r="E62" s="16">
        <f t="shared" si="4"/>
        <v>164373</v>
      </c>
      <c r="F62" s="16">
        <f t="shared" si="4"/>
        <v>1589727</v>
      </c>
      <c r="G62" s="16">
        <f t="shared" si="4"/>
        <v>17648040</v>
      </c>
      <c r="H62" s="16">
        <f t="shared" si="4"/>
        <v>51245</v>
      </c>
      <c r="I62" s="16">
        <f t="shared" si="4"/>
        <v>2702</v>
      </c>
      <c r="J62" s="16">
        <f t="shared" si="4"/>
        <v>54072</v>
      </c>
    </row>
    <row r="63" spans="1:10" ht="15" thickTop="1" x14ac:dyDescent="0.2"/>
  </sheetData>
  <mergeCells count="3">
    <mergeCell ref="C4:I4"/>
    <mergeCell ref="C5:I5"/>
    <mergeCell ref="C6:I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Impacts</vt:lpstr>
      <vt:lpstr>Proposed - YE 2024</vt:lpstr>
      <vt:lpstr>Proposed - YE 2025</vt:lpstr>
      <vt:lpstr>Proposed - YE 2026</vt:lpstr>
      <vt:lpstr>Proposed - YE 2027</vt:lpstr>
      <vt:lpstr>BESF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Isaac Scott</cp:lastModifiedBy>
  <dcterms:created xsi:type="dcterms:W3CDTF">2023-02-24T16:15:37Z</dcterms:created>
  <dcterms:modified xsi:type="dcterms:W3CDTF">2023-06-09T20:12:29Z</dcterms:modified>
</cp:coreProperties>
</file>