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pricing\Rate Cases\KPCo\2023 Base Case\Discovery\Staff\Set 1\KPSC 1_16\"/>
    </mc:Choice>
  </mc:AlternateContent>
  <xr:revisionPtr revIDLastSave="0" documentId="8_{7C23ACA6-5ABF-4631-A533-936FAE0DABBD}" xr6:coauthVersionLast="47" xr6:coauthVersionMax="47" xr10:uidLastSave="{00000000-0000-0000-0000-000000000000}"/>
  <bookViews>
    <workbookView xWindow="28680" yWindow="-1245" windowWidth="29040" windowHeight="15720" tabRatio="829" firstSheet="1" activeTab="3" xr2:uid="{00000000-000D-0000-FFFF-FFFF00000000}"/>
  </bookViews>
  <sheets>
    <sheet name="HEAP" sheetId="74" state="hidden" r:id="rId1"/>
    <sheet name="Exhibit I" sheetId="135" r:id="rId2"/>
    <sheet name="Exhibit K" sheetId="131" r:id="rId3"/>
    <sheet name="Revenue Summary" sheetId="62" r:id="rId4"/>
    <sheet name="PB - ED" sheetId="61" state="hidden" r:id="rId5"/>
    <sheet name="PB Sum" sheetId="24" state="hidden" r:id="rId6"/>
    <sheet name="PB - SS" sheetId="53" state="hidden" r:id="rId7"/>
    <sheet name="PB - ES" sheetId="69" state="hidden" r:id="rId8"/>
    <sheet name="PB - BSRR" sheetId="88" state="hidden" r:id="rId9"/>
    <sheet name="PB - AF" sheetId="56" state="hidden" r:id="rId10"/>
    <sheet name="YEM" sheetId="47" state="hidden" r:id="rId11"/>
    <sheet name="Annualization Adj. P1" sheetId="63" state="hidden" r:id="rId12"/>
    <sheet name="Annualization Adj. P2" sheetId="48" state="hidden" r:id="rId13"/>
    <sheet name="SGS TOD NA" sheetId="58" state="hidden" r:id="rId14"/>
    <sheet name="CC Summary OLD" sheetId="54" state="hidden" r:id="rId15"/>
    <sheet name="RS" sheetId="1" r:id="rId16"/>
    <sheet name="RS LMTOD" sheetId="101" r:id="rId17"/>
    <sheet name="RS TOD" sheetId="102" r:id="rId18"/>
    <sheet name="SGS TOD" sheetId="106" r:id="rId19"/>
    <sheet name="GS-SEC" sheetId="104" r:id="rId20"/>
    <sheet name="GS-AF" sheetId="107" r:id="rId21"/>
    <sheet name="GS-NM" sheetId="105" r:id="rId22"/>
    <sheet name="GSLMTOD" sheetId="108" r:id="rId23"/>
    <sheet name="MGSTOD" sheetId="109" r:id="rId24"/>
    <sheet name="GS-PRI" sheetId="110" r:id="rId25"/>
    <sheet name="GS-SUB" sheetId="111" r:id="rId26"/>
    <sheet name="LGS-SEC" sheetId="113" r:id="rId27"/>
    <sheet name="LGSLMTOD" sheetId="114" r:id="rId28"/>
    <sheet name="LGS-PRI" sheetId="117" r:id="rId29"/>
    <sheet name="LGS-PRI TOD" sheetId="116" r:id="rId30"/>
    <sheet name="LGS-SUB" sheetId="118" r:id="rId31"/>
    <sheet name="LGS-TRAN" sheetId="119" r:id="rId32"/>
    <sheet name="LGS-SEC TOD" sheetId="115" r:id="rId33"/>
    <sheet name="PS-SEC" sheetId="121" r:id="rId34"/>
    <sheet name="PS-PRI" sheetId="122" r:id="rId35"/>
    <sheet name="IGS-SEC" sheetId="123" r:id="rId36"/>
    <sheet name="IGS-PRI" sheetId="124" r:id="rId37"/>
    <sheet name="IGS-SUB" sheetId="125" r:id="rId38"/>
    <sheet name="IGS-TRAN" sheetId="126" r:id="rId39"/>
    <sheet name="MW" sheetId="112" r:id="rId40"/>
    <sheet name="CS-IRP TRAN 321" sheetId="82" state="hidden" r:id="rId41"/>
    <sheet name="CS-IRP SUB 331" sheetId="83" state="hidden" r:id="rId42"/>
    <sheet name="OL" sheetId="127" r:id="rId43"/>
    <sheet name="SL" sheetId="128" r:id="rId44"/>
    <sheet name="Bill Units" sheetId="89" r:id="rId45"/>
    <sheet name="Rate Input" sheetId="90" r:id="rId46"/>
    <sheet name="Book2Bill" sheetId="129" r:id="rId47"/>
    <sheet name="Monthly # of Customers" sheetId="49" r:id="rId48"/>
    <sheet name="Envir FGD adj" sheetId="85" r:id="rId49"/>
    <sheet name="B&amp;A Surcharges" sheetId="32" r:id="rId50"/>
    <sheet name="Proposed Rates" sheetId="130" r:id="rId51"/>
    <sheet name="Fuel Summary" sheetId="57" r:id="rId52"/>
    <sheet name="kW Demands" sheetId="75" r:id="rId53"/>
    <sheet name="WNLA" sheetId="70" r:id="rId54"/>
    <sheet name="12 Months TS" sheetId="94" state="hidden" r:id="rId55"/>
    <sheet name="Realizations" sheetId="71" state="hidden" r:id="rId5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4">'12 Months TS'!$A$5:$E$32</definedName>
    <definedName name="_xlnm.Print_Area" localSheetId="1">'Exhibit I'!$A$1:$J$33</definedName>
    <definedName name="_xlnm.Print_Area" localSheetId="42">OL!$B$8:$L$56</definedName>
    <definedName name="_xlnm.Print_Area" localSheetId="5">'PB Sum'!$A$1:$E$76</definedName>
    <definedName name="_xlnm.Print_Area" localSheetId="43">SL!$A$1:$U$81</definedName>
    <definedName name="_xlnm.Print_Titles" localSheetId="54">'12 Months TS'!$1:$9</definedName>
    <definedName name="_xlnm.Print_Titles" localSheetId="47">'Monthly # of Customers'!$1:$8</definedName>
    <definedName name="Rate_Class">'Bill Units'!$F$1255:$F$1326</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5" i="125" l="1"/>
  <c r="D26" i="135" l="1"/>
  <c r="C26" i="135"/>
  <c r="D25" i="135"/>
  <c r="C25" i="135"/>
  <c r="E25" i="135" s="1"/>
  <c r="D24" i="135"/>
  <c r="D22" i="135"/>
  <c r="D20" i="135"/>
  <c r="D19" i="135"/>
  <c r="D18" i="135"/>
  <c r="D17" i="135"/>
  <c r="D16" i="135"/>
  <c r="D15" i="135"/>
  <c r="D14" i="135"/>
  <c r="D13" i="135"/>
  <c r="D12" i="135"/>
  <c r="D8" i="135"/>
  <c r="D7" i="135"/>
  <c r="D6" i="135"/>
  <c r="E26" i="135" l="1"/>
  <c r="D34" i="135"/>
  <c r="D35" i="135" s="1"/>
  <c r="P39" i="49" l="1"/>
  <c r="U50" i="62"/>
  <c r="Y33" i="62" l="1"/>
  <c r="Y37" i="62"/>
  <c r="Y43" i="62"/>
  <c r="Y24" i="62"/>
  <c r="S48" i="128" l="1"/>
  <c r="S47" i="128"/>
  <c r="S33" i="128"/>
  <c r="S21" i="128"/>
  <c r="S22" i="128"/>
  <c r="S23" i="128"/>
  <c r="S20" i="128"/>
  <c r="U48" i="127"/>
  <c r="U49" i="127"/>
  <c r="U50" i="127"/>
  <c r="U47" i="127"/>
  <c r="K25" i="125" l="1"/>
  <c r="K61" i="57" l="1"/>
  <c r="K17" i="57"/>
  <c r="F12" i="57" l="1"/>
  <c r="I12" i="57" s="1"/>
  <c r="F14" i="57"/>
  <c r="I14" i="57" s="1"/>
  <c r="F16" i="57"/>
  <c r="I16" i="57" s="1"/>
  <c r="F18" i="57"/>
  <c r="I18" i="57" s="1"/>
  <c r="F20" i="57"/>
  <c r="I20" i="57" s="1"/>
  <c r="F22" i="57"/>
  <c r="I22" i="57" s="1"/>
  <c r="F24" i="57"/>
  <c r="I24" i="57" s="1"/>
  <c r="F26" i="57"/>
  <c r="I26" i="57" s="1"/>
  <c r="F28" i="57"/>
  <c r="I28" i="57" s="1"/>
  <c r="F30" i="57"/>
  <c r="I30" i="57" s="1"/>
  <c r="F32" i="57"/>
  <c r="I32" i="57" s="1"/>
  <c r="F34" i="57"/>
  <c r="I34" i="57" s="1"/>
  <c r="F36" i="57"/>
  <c r="I36" i="57" s="1"/>
  <c r="F38" i="57"/>
  <c r="I38" i="57" s="1"/>
  <c r="F40" i="57"/>
  <c r="I40" i="57" s="1"/>
  <c r="F42" i="57"/>
  <c r="I42" i="57" s="1"/>
  <c r="F44" i="57"/>
  <c r="I44" i="57" s="1"/>
  <c r="F46" i="57"/>
  <c r="I46" i="57" s="1"/>
  <c r="F48" i="57"/>
  <c r="I48" i="57" s="1"/>
  <c r="F50" i="57"/>
  <c r="I50" i="57" s="1"/>
  <c r="F52" i="57"/>
  <c r="I52" i="57" s="1"/>
  <c r="F54" i="57"/>
  <c r="I54" i="57" s="1"/>
  <c r="F56" i="57"/>
  <c r="I56" i="57" s="1"/>
  <c r="F58" i="57"/>
  <c r="I58" i="57" s="1"/>
  <c r="F60" i="57"/>
  <c r="I60" i="57" s="1"/>
  <c r="F62" i="57"/>
  <c r="I62" i="57" s="1"/>
  <c r="E63" i="57"/>
  <c r="F63" i="57" s="1"/>
  <c r="E17" i="57"/>
  <c r="F17" i="57" s="1"/>
  <c r="E61" i="57"/>
  <c r="F61" i="57" s="1"/>
  <c r="E59" i="57"/>
  <c r="F59" i="57" s="1"/>
  <c r="E57" i="57"/>
  <c r="F57" i="57" s="1"/>
  <c r="E55" i="57"/>
  <c r="F55" i="57" s="1"/>
  <c r="E53" i="57"/>
  <c r="F53" i="57" s="1"/>
  <c r="E51" i="57"/>
  <c r="F51" i="57" s="1"/>
  <c r="E49" i="57"/>
  <c r="F49" i="57" s="1"/>
  <c r="E47" i="57"/>
  <c r="F47" i="57" s="1"/>
  <c r="E45" i="57"/>
  <c r="F45" i="57" s="1"/>
  <c r="E43" i="57"/>
  <c r="F43" i="57" s="1"/>
  <c r="E41" i="57"/>
  <c r="F41" i="57" s="1"/>
  <c r="E39" i="57"/>
  <c r="F39" i="57" s="1"/>
  <c r="E37" i="57"/>
  <c r="F37" i="57" s="1"/>
  <c r="E35" i="57"/>
  <c r="F35" i="57" s="1"/>
  <c r="E33" i="57"/>
  <c r="F33" i="57" s="1"/>
  <c r="E31" i="57"/>
  <c r="F31" i="57" s="1"/>
  <c r="E29" i="57"/>
  <c r="F29" i="57" s="1"/>
  <c r="E27" i="57"/>
  <c r="F27" i="57" s="1"/>
  <c r="E23" i="57"/>
  <c r="F23" i="57" s="1"/>
  <c r="E15" i="57"/>
  <c r="F15" i="57" s="1"/>
  <c r="E13" i="57"/>
  <c r="F13" i="57" s="1"/>
  <c r="E11" i="57"/>
  <c r="F11" i="57" s="1"/>
  <c r="G55" i="128"/>
  <c r="Q55" i="128" s="1"/>
  <c r="E15" i="127" l="1"/>
  <c r="E16" i="127"/>
  <c r="E17" i="127"/>
  <c r="E18" i="127"/>
  <c r="E19" i="127"/>
  <c r="E21" i="127"/>
  <c r="E22" i="127"/>
  <c r="E40" i="127"/>
  <c r="E41" i="127"/>
  <c r="E43" i="127"/>
  <c r="E44" i="127"/>
  <c r="E48" i="127"/>
  <c r="E49" i="127"/>
  <c r="E50" i="127"/>
  <c r="L20" i="127" l="1"/>
  <c r="M20" i="127" s="1"/>
  <c r="L23" i="127"/>
  <c r="M23" i="127" s="1"/>
  <c r="L24" i="127"/>
  <c r="M24" i="127" s="1"/>
  <c r="L25" i="127"/>
  <c r="M25" i="127" s="1"/>
  <c r="L30" i="127"/>
  <c r="M30" i="127" s="1"/>
  <c r="L31" i="127"/>
  <c r="M31" i="127" s="1"/>
  <c r="L33" i="127"/>
  <c r="M33" i="127" s="1"/>
  <c r="L34" i="127"/>
  <c r="M34" i="127" s="1"/>
  <c r="L35" i="127"/>
  <c r="M35" i="127" s="1"/>
  <c r="L38" i="127"/>
  <c r="M38" i="127" s="1"/>
  <c r="L39" i="127"/>
  <c r="M39" i="127" s="1"/>
  <c r="L45" i="127"/>
  <c r="M45" i="127" s="1"/>
  <c r="L46" i="127"/>
  <c r="M46" i="127" s="1"/>
  <c r="L51" i="127"/>
  <c r="L52" i="127"/>
  <c r="L53" i="127"/>
  <c r="D42" i="127"/>
  <c r="E42" i="127" s="1"/>
  <c r="D37" i="127"/>
  <c r="E37" i="127" s="1"/>
  <c r="D36" i="127"/>
  <c r="E36" i="127" s="1"/>
  <c r="D32" i="127"/>
  <c r="E32" i="127" s="1"/>
  <c r="D29" i="127"/>
  <c r="E29" i="127" s="1"/>
  <c r="D28" i="127"/>
  <c r="E28" i="127" s="1"/>
  <c r="D27" i="127"/>
  <c r="E27" i="127" s="1"/>
  <c r="D26" i="127"/>
  <c r="E26" i="127" s="1"/>
  <c r="Q20" i="127" l="1"/>
  <c r="Q23" i="127"/>
  <c r="Q24" i="127"/>
  <c r="Q25" i="127"/>
  <c r="Q30" i="127"/>
  <c r="Q31" i="127"/>
  <c r="Q33" i="127"/>
  <c r="Q34" i="127"/>
  <c r="Q35" i="127"/>
  <c r="Q38" i="127"/>
  <c r="Q39" i="127"/>
  <c r="Q45" i="127"/>
  <c r="Q46" i="127"/>
  <c r="O26" i="128" l="1"/>
  <c r="O27" i="128"/>
  <c r="O34" i="128"/>
  <c r="O35" i="128"/>
  <c r="O36" i="128"/>
  <c r="O37" i="128"/>
  <c r="O38" i="128"/>
  <c r="O40" i="128"/>
  <c r="J2" i="105"/>
  <c r="M12" i="57" l="1"/>
  <c r="O12" i="57" s="1"/>
  <c r="M14" i="57"/>
  <c r="O14" i="57" s="1"/>
  <c r="M16" i="57"/>
  <c r="O16" i="57" s="1"/>
  <c r="M18" i="57"/>
  <c r="O18" i="57" s="1"/>
  <c r="M20" i="57"/>
  <c r="O20" i="57" s="1"/>
  <c r="M22" i="57"/>
  <c r="O22" i="57" s="1"/>
  <c r="M24" i="57"/>
  <c r="O24" i="57" s="1"/>
  <c r="M26" i="57"/>
  <c r="O26" i="57" s="1"/>
  <c r="M28" i="57"/>
  <c r="O28" i="57" s="1"/>
  <c r="M30" i="57"/>
  <c r="O30" i="57" s="1"/>
  <c r="M32" i="57"/>
  <c r="O32" i="57" s="1"/>
  <c r="M34" i="57"/>
  <c r="O34" i="57" s="1"/>
  <c r="M36" i="57"/>
  <c r="O36" i="57" s="1"/>
  <c r="M38" i="57"/>
  <c r="O38" i="57" s="1"/>
  <c r="M40" i="57"/>
  <c r="O40" i="57" s="1"/>
  <c r="M42" i="57"/>
  <c r="O42" i="57" s="1"/>
  <c r="M44" i="57"/>
  <c r="O44" i="57" s="1"/>
  <c r="M46" i="57"/>
  <c r="O46" i="57" s="1"/>
  <c r="M48" i="57"/>
  <c r="O48" i="57" s="1"/>
  <c r="M50" i="57"/>
  <c r="O50" i="57" s="1"/>
  <c r="M52" i="57"/>
  <c r="O52" i="57" s="1"/>
  <c r="M54" i="57"/>
  <c r="O54" i="57" s="1"/>
  <c r="M56" i="57"/>
  <c r="O56" i="57" s="1"/>
  <c r="M58" i="57"/>
  <c r="O58" i="57" s="1"/>
  <c r="M60" i="57"/>
  <c r="O60" i="57" s="1"/>
  <c r="M62" i="57"/>
  <c r="O62" i="57" s="1"/>
  <c r="D112" i="89" l="1"/>
  <c r="H20" i="89" s="1"/>
  <c r="D111" i="89"/>
  <c r="H19" i="89" s="1"/>
  <c r="D108" i="89"/>
  <c r="D107" i="89"/>
  <c r="E19" i="57" l="1"/>
  <c r="F19" i="57" s="1"/>
  <c r="D104" i="89"/>
  <c r="L29" i="89" s="1"/>
  <c r="D103" i="89"/>
  <c r="L28" i="89" s="1"/>
  <c r="E25" i="57" l="1"/>
  <c r="F25" i="57" s="1"/>
  <c r="C47" i="127" l="1"/>
  <c r="E47" i="127" l="1"/>
  <c r="E59" i="127" s="1"/>
  <c r="AA55" i="32"/>
  <c r="H81" i="89" l="1"/>
  <c r="H82" i="89" s="1"/>
  <c r="C13" i="125" l="1"/>
  <c r="Q29" i="125" l="1"/>
  <c r="T29" i="125" s="1"/>
  <c r="G25" i="124" l="1"/>
  <c r="W11" i="32"/>
  <c r="G27" i="125" l="1"/>
  <c r="G21" i="117" l="1"/>
  <c r="Q21" i="117" s="1"/>
  <c r="T21" i="117" s="1"/>
  <c r="G25" i="125"/>
  <c r="Q25" i="125" l="1"/>
  <c r="Q25" i="124"/>
  <c r="T25" i="124" s="1"/>
  <c r="Q27" i="125"/>
  <c r="T27" i="125" s="1"/>
  <c r="W63" i="32" l="1"/>
  <c r="W61" i="32"/>
  <c r="W59" i="32"/>
  <c r="W57" i="32"/>
  <c r="W55" i="32"/>
  <c r="W53" i="32"/>
  <c r="W51" i="32"/>
  <c r="W49" i="32"/>
  <c r="W47" i="32"/>
  <c r="W45" i="32"/>
  <c r="W43" i="32"/>
  <c r="W41" i="32"/>
  <c r="W39" i="32"/>
  <c r="W37" i="32"/>
  <c r="W35" i="32"/>
  <c r="W33" i="32"/>
  <c r="W31" i="32"/>
  <c r="W29" i="32"/>
  <c r="W27" i="32"/>
  <c r="W25" i="32"/>
  <c r="W23" i="32"/>
  <c r="W21" i="32"/>
  <c r="W19" i="32"/>
  <c r="W17" i="32"/>
  <c r="W15" i="32"/>
  <c r="W13" i="32"/>
  <c r="AA11" i="32"/>
  <c r="K157" i="94"/>
  <c r="K158" i="94" s="1"/>
  <c r="K153" i="94"/>
  <c r="K154" i="94" s="1"/>
  <c r="K148" i="94"/>
  <c r="K147" i="94"/>
  <c r="K146" i="94"/>
  <c r="K145" i="94"/>
  <c r="K144" i="94"/>
  <c r="K143" i="94"/>
  <c r="K142" i="94"/>
  <c r="K141" i="94"/>
  <c r="K140" i="94"/>
  <c r="K139" i="94"/>
  <c r="K138" i="94"/>
  <c r="K137" i="94"/>
  <c r="K136" i="94"/>
  <c r="K135" i="94"/>
  <c r="K134" i="94"/>
  <c r="K133" i="94"/>
  <c r="K132" i="94"/>
  <c r="K131" i="94"/>
  <c r="K130" i="94"/>
  <c r="K129" i="94"/>
  <c r="K128" i="94"/>
  <c r="K127" i="94"/>
  <c r="K126" i="94"/>
  <c r="K125" i="94"/>
  <c r="K124" i="94"/>
  <c r="K123" i="94"/>
  <c r="K122" i="94"/>
  <c r="K121" i="94"/>
  <c r="K120" i="94"/>
  <c r="K115" i="94"/>
  <c r="K114" i="94"/>
  <c r="K113" i="94"/>
  <c r="K110" i="94"/>
  <c r="K109" i="94"/>
  <c r="K108" i="94"/>
  <c r="K107" i="94"/>
  <c r="K104" i="94"/>
  <c r="K103" i="94"/>
  <c r="K102" i="94"/>
  <c r="K99" i="94"/>
  <c r="K100" i="94" s="1"/>
  <c r="K94" i="94"/>
  <c r="K95" i="94" s="1"/>
  <c r="K91" i="94"/>
  <c r="K92" i="94" s="1"/>
  <c r="K86" i="94"/>
  <c r="K87" i="94" s="1"/>
  <c r="K83" i="94"/>
  <c r="K84" i="94" s="1"/>
  <c r="K80" i="94"/>
  <c r="K79" i="94"/>
  <c r="K76" i="94"/>
  <c r="K77" i="94" s="1"/>
  <c r="K73" i="94"/>
  <c r="K74" i="94" s="1"/>
  <c r="K70" i="94"/>
  <c r="K71" i="94" s="1"/>
  <c r="K67" i="94"/>
  <c r="K66" i="94"/>
  <c r="K61" i="94"/>
  <c r="K62" i="94" s="1"/>
  <c r="K58" i="94"/>
  <c r="K57" i="94"/>
  <c r="K54" i="94"/>
  <c r="K55" i="94" s="1"/>
  <c r="K51" i="94"/>
  <c r="K50" i="94"/>
  <c r="K47" i="94"/>
  <c r="K48" i="94" s="1"/>
  <c r="K44" i="94"/>
  <c r="K45" i="94" s="1"/>
  <c r="K41" i="94"/>
  <c r="K40" i="94"/>
  <c r="K37" i="94"/>
  <c r="K35" i="94"/>
  <c r="K34" i="94"/>
  <c r="K33" i="94"/>
  <c r="K28" i="94"/>
  <c r="K29" i="94" s="1"/>
  <c r="K25" i="94"/>
  <c r="K24" i="94"/>
  <c r="K23" i="94"/>
  <c r="K22" i="94"/>
  <c r="K18" i="94"/>
  <c r="K16" i="94"/>
  <c r="K15" i="94"/>
  <c r="K14" i="94"/>
  <c r="K13" i="94"/>
  <c r="K12" i="94"/>
  <c r="K11" i="94"/>
  <c r="G11" i="94"/>
  <c r="W94" i="94"/>
  <c r="K42" i="94" l="1"/>
  <c r="K52" i="94"/>
  <c r="K59" i="94"/>
  <c r="K81" i="94"/>
  <c r="K97" i="94"/>
  <c r="K26" i="94"/>
  <c r="K151" i="94"/>
  <c r="K68" i="94"/>
  <c r="K116" i="94"/>
  <c r="K38" i="94"/>
  <c r="K111" i="94"/>
  <c r="K105" i="94"/>
  <c r="K20" i="94"/>
  <c r="K89" i="94" l="1"/>
  <c r="K64" i="94"/>
  <c r="K31" i="94"/>
  <c r="K118" i="94"/>
  <c r="K161" i="94" l="1"/>
  <c r="K165" i="94" s="1"/>
  <c r="AA63" i="32" l="1"/>
  <c r="AA61" i="32"/>
  <c r="AA59" i="32"/>
  <c r="AA57" i="32"/>
  <c r="AA53" i="32"/>
  <c r="AA51" i="32"/>
  <c r="AA49" i="32"/>
  <c r="AA47" i="32"/>
  <c r="AA45" i="32"/>
  <c r="AA43" i="32"/>
  <c r="AA41" i="32"/>
  <c r="AA39" i="32"/>
  <c r="AA37" i="32"/>
  <c r="AA35" i="32"/>
  <c r="AA33" i="32"/>
  <c r="AA31" i="32"/>
  <c r="AA29" i="32"/>
  <c r="AA27" i="32"/>
  <c r="AA25" i="32"/>
  <c r="AA23" i="32"/>
  <c r="AA21" i="32"/>
  <c r="AA19" i="32"/>
  <c r="AA17" i="32"/>
  <c r="AA15" i="32"/>
  <c r="AA13" i="32"/>
  <c r="I149" i="94"/>
  <c r="G148" i="94"/>
  <c r="G147" i="94"/>
  <c r="G146" i="94"/>
  <c r="G145" i="94"/>
  <c r="G144" i="94"/>
  <c r="G143" i="94"/>
  <c r="G142" i="94"/>
  <c r="G141" i="94"/>
  <c r="G140" i="94"/>
  <c r="G139" i="94"/>
  <c r="G138" i="94"/>
  <c r="G137" i="94"/>
  <c r="G136" i="94"/>
  <c r="G135" i="94"/>
  <c r="G134" i="94"/>
  <c r="G133" i="94"/>
  <c r="G132" i="94"/>
  <c r="G131" i="94"/>
  <c r="G130" i="94"/>
  <c r="G129" i="94"/>
  <c r="G128" i="94"/>
  <c r="G127" i="94"/>
  <c r="G126" i="94"/>
  <c r="G125" i="94"/>
  <c r="G124" i="94"/>
  <c r="G123" i="94"/>
  <c r="G122" i="94"/>
  <c r="G121" i="94"/>
  <c r="G120" i="94"/>
  <c r="B121" i="94"/>
  <c r="B122" i="94"/>
  <c r="B123" i="94"/>
  <c r="B124" i="94"/>
  <c r="B125" i="94"/>
  <c r="B126" i="94"/>
  <c r="B127" i="94"/>
  <c r="B128" i="94"/>
  <c r="B129" i="94"/>
  <c r="B130" i="94"/>
  <c r="B131" i="94"/>
  <c r="B132" i="94"/>
  <c r="B133" i="94"/>
  <c r="B134" i="94"/>
  <c r="B135" i="94"/>
  <c r="B136" i="94"/>
  <c r="B137" i="94"/>
  <c r="B138" i="94"/>
  <c r="B139" i="94"/>
  <c r="B140" i="94"/>
  <c r="B141" i="94"/>
  <c r="B142" i="94"/>
  <c r="I142" i="94" s="1"/>
  <c r="B143" i="94"/>
  <c r="B144" i="94"/>
  <c r="I144" i="94" s="1"/>
  <c r="B145" i="94"/>
  <c r="B146" i="94"/>
  <c r="I146" i="94" s="1"/>
  <c r="B147" i="94"/>
  <c r="B148" i="94"/>
  <c r="G157" i="94"/>
  <c r="G153" i="94"/>
  <c r="G154" i="94" s="1"/>
  <c r="G115" i="94"/>
  <c r="G114" i="94"/>
  <c r="G113" i="94"/>
  <c r="G110" i="94"/>
  <c r="G109" i="94"/>
  <c r="G108" i="94"/>
  <c r="G107" i="94"/>
  <c r="G104" i="94"/>
  <c r="G103" i="94"/>
  <c r="G102" i="94"/>
  <c r="G99" i="94"/>
  <c r="G100" i="94" s="1"/>
  <c r="G94" i="94"/>
  <c r="G95" i="94" s="1"/>
  <c r="G91" i="94"/>
  <c r="G92" i="94" s="1"/>
  <c r="G86" i="94"/>
  <c r="G87" i="94" s="1"/>
  <c r="G83" i="94"/>
  <c r="G84" i="94" s="1"/>
  <c r="G80" i="94"/>
  <c r="G79" i="94"/>
  <c r="G76" i="94"/>
  <c r="G77" i="94" s="1"/>
  <c r="G73" i="94"/>
  <c r="G74" i="94" s="1"/>
  <c r="G70" i="94"/>
  <c r="G71" i="94" s="1"/>
  <c r="G67" i="94"/>
  <c r="G66" i="94"/>
  <c r="G61" i="94"/>
  <c r="G62" i="94" s="1"/>
  <c r="G58" i="94"/>
  <c r="G57" i="94"/>
  <c r="G54" i="94"/>
  <c r="G55" i="94" s="1"/>
  <c r="G51" i="94"/>
  <c r="G50" i="94"/>
  <c r="G47" i="94"/>
  <c r="G48" i="94" s="1"/>
  <c r="G44" i="94"/>
  <c r="G45" i="94" s="1"/>
  <c r="G41" i="94"/>
  <c r="G40" i="94"/>
  <c r="G37" i="94"/>
  <c r="G35" i="94"/>
  <c r="G34" i="94"/>
  <c r="G33" i="94"/>
  <c r="G28" i="94"/>
  <c r="G29" i="94" s="1"/>
  <c r="G25" i="94"/>
  <c r="G24" i="94"/>
  <c r="G23" i="94"/>
  <c r="G22" i="94"/>
  <c r="G18" i="94"/>
  <c r="G16" i="94"/>
  <c r="G15" i="94"/>
  <c r="G14" i="94"/>
  <c r="G13" i="94"/>
  <c r="G12" i="94"/>
  <c r="S94" i="94"/>
  <c r="N94" i="94"/>
  <c r="B157" i="94"/>
  <c r="B153" i="94"/>
  <c r="B120" i="94"/>
  <c r="B115" i="94"/>
  <c r="B114" i="94"/>
  <c r="B113" i="94"/>
  <c r="B110" i="94"/>
  <c r="B109" i="94"/>
  <c r="B108" i="94"/>
  <c r="B107" i="94"/>
  <c r="B104" i="94"/>
  <c r="B103" i="94"/>
  <c r="B102" i="94"/>
  <c r="B99" i="94"/>
  <c r="B94" i="94"/>
  <c r="B91" i="94"/>
  <c r="B86" i="94"/>
  <c r="B83" i="94"/>
  <c r="B80" i="94"/>
  <c r="B79" i="94"/>
  <c r="B76" i="94"/>
  <c r="B73" i="94"/>
  <c r="B70" i="94"/>
  <c r="B67" i="94"/>
  <c r="B66" i="94"/>
  <c r="B61" i="94"/>
  <c r="B58" i="94"/>
  <c r="B54" i="94"/>
  <c r="B51" i="94"/>
  <c r="B50" i="94"/>
  <c r="B47" i="94"/>
  <c r="B44" i="94"/>
  <c r="B41" i="94"/>
  <c r="B40" i="94"/>
  <c r="B37" i="94"/>
  <c r="B57" i="94"/>
  <c r="B35" i="94"/>
  <c r="B34" i="94"/>
  <c r="B33" i="94"/>
  <c r="B28" i="94"/>
  <c r="B23" i="94"/>
  <c r="B24" i="94"/>
  <c r="B25" i="94"/>
  <c r="B22" i="94"/>
  <c r="B18" i="94"/>
  <c r="B12" i="94"/>
  <c r="B13" i="94"/>
  <c r="B14" i="94"/>
  <c r="B15" i="94"/>
  <c r="B16" i="94"/>
  <c r="B11" i="94"/>
  <c r="I11" i="94" s="1"/>
  <c r="I150" i="94"/>
  <c r="I36" i="94"/>
  <c r="I17" i="94"/>
  <c r="I19" i="94"/>
  <c r="H45" i="94"/>
  <c r="H42" i="94"/>
  <c r="H38" i="94"/>
  <c r="H29" i="94"/>
  <c r="H26" i="94"/>
  <c r="H20" i="94"/>
  <c r="Z47" i="32" l="1"/>
  <c r="U47" i="32" s="1"/>
  <c r="I138" i="94"/>
  <c r="I148" i="94"/>
  <c r="I140" i="94"/>
  <c r="I120" i="94"/>
  <c r="I147" i="94"/>
  <c r="I143" i="94"/>
  <c r="I139" i="94"/>
  <c r="I131" i="94"/>
  <c r="I141" i="94"/>
  <c r="I145" i="94"/>
  <c r="I134" i="94"/>
  <c r="I130" i="94"/>
  <c r="I126" i="94"/>
  <c r="I122" i="94"/>
  <c r="I157" i="94"/>
  <c r="I158" i="94" s="1"/>
  <c r="I57" i="94"/>
  <c r="I67" i="94"/>
  <c r="I79" i="94"/>
  <c r="I91" i="94"/>
  <c r="I92" i="94" s="1"/>
  <c r="I103" i="94"/>
  <c r="I109" i="94"/>
  <c r="I115" i="94"/>
  <c r="I135" i="94"/>
  <c r="I127" i="94"/>
  <c r="I123" i="94"/>
  <c r="G42" i="94"/>
  <c r="G116" i="94"/>
  <c r="I153" i="94"/>
  <c r="I154" i="94" s="1"/>
  <c r="I23" i="94"/>
  <c r="I12" i="94"/>
  <c r="I58" i="94"/>
  <c r="I70" i="94"/>
  <c r="I71" i="94" s="1"/>
  <c r="I24" i="94"/>
  <c r="I83" i="94"/>
  <c r="I84" i="94" s="1"/>
  <c r="I80" i="94"/>
  <c r="I66" i="94"/>
  <c r="I102" i="94"/>
  <c r="G111" i="94"/>
  <c r="I44" i="94"/>
  <c r="I45" i="94" s="1"/>
  <c r="I54" i="94"/>
  <c r="I55" i="94" s="1"/>
  <c r="G26" i="94"/>
  <c r="I13" i="94"/>
  <c r="I25" i="94"/>
  <c r="I94" i="94"/>
  <c r="I95" i="94" s="1"/>
  <c r="I104" i="94"/>
  <c r="I110" i="94"/>
  <c r="I14" i="94"/>
  <c r="I22" i="94"/>
  <c r="I28" i="94"/>
  <c r="I29" i="94" s="1"/>
  <c r="G20" i="94"/>
  <c r="G38" i="94"/>
  <c r="G52" i="94"/>
  <c r="G59" i="94"/>
  <c r="G68" i="94"/>
  <c r="G81" i="94"/>
  <c r="I47" i="94"/>
  <c r="I48" i="94" s="1"/>
  <c r="G105" i="94"/>
  <c r="I37" i="94"/>
  <c r="I107" i="94"/>
  <c r="I137" i="94"/>
  <c r="I133" i="94"/>
  <c r="I129" i="94"/>
  <c r="I125" i="94"/>
  <c r="I121" i="94"/>
  <c r="G151" i="94"/>
  <c r="G97" i="94"/>
  <c r="I33" i="94"/>
  <c r="I16" i="94"/>
  <c r="I34" i="94"/>
  <c r="I40" i="94"/>
  <c r="I50" i="94"/>
  <c r="I61" i="94"/>
  <c r="I62" i="94" s="1"/>
  <c r="I73" i="94"/>
  <c r="I74" i="94" s="1"/>
  <c r="I99" i="94"/>
  <c r="I100" i="94" s="1"/>
  <c r="I113" i="94"/>
  <c r="G158" i="94"/>
  <c r="I15" i="94"/>
  <c r="I18" i="94"/>
  <c r="I35" i="94"/>
  <c r="I41" i="94"/>
  <c r="I51" i="94"/>
  <c r="I76" i="94"/>
  <c r="I77" i="94" s="1"/>
  <c r="I86" i="94"/>
  <c r="I87" i="94" s="1"/>
  <c r="I108" i="94"/>
  <c r="I114" i="94"/>
  <c r="I136" i="94"/>
  <c r="I132" i="94"/>
  <c r="I128" i="94"/>
  <c r="I124" i="94"/>
  <c r="B151" i="94"/>
  <c r="H31" i="94"/>
  <c r="G118" i="94" l="1"/>
  <c r="I105" i="94"/>
  <c r="I151" i="94"/>
  <c r="I97" i="94"/>
  <c r="I59" i="94"/>
  <c r="I68" i="94"/>
  <c r="I81" i="94"/>
  <c r="I26" i="94"/>
  <c r="I20" i="94"/>
  <c r="G31" i="94"/>
  <c r="I52" i="94"/>
  <c r="I111" i="94"/>
  <c r="G89" i="94"/>
  <c r="I42" i="94"/>
  <c r="G64" i="94"/>
  <c r="I116" i="94"/>
  <c r="I38" i="94"/>
  <c r="I89" i="94" l="1"/>
  <c r="I31" i="94"/>
  <c r="I118" i="94"/>
  <c r="I64" i="94"/>
  <c r="G161" i="94"/>
  <c r="G165" i="94" s="1"/>
  <c r="I161" i="94" l="1"/>
  <c r="K34" i="128" l="1"/>
  <c r="T34" i="128" s="1"/>
  <c r="K35" i="128"/>
  <c r="T35" i="128" s="1"/>
  <c r="K36" i="128"/>
  <c r="T36" i="128" s="1"/>
  <c r="K37" i="128"/>
  <c r="T37" i="128" s="1"/>
  <c r="K38" i="128"/>
  <c r="T38" i="128" s="1"/>
  <c r="G47" i="128"/>
  <c r="G48" i="128"/>
  <c r="G49" i="128"/>
  <c r="G50" i="128"/>
  <c r="Q50" i="128" s="1"/>
  <c r="G51" i="128"/>
  <c r="Q51" i="128" s="1"/>
  <c r="G46" i="128"/>
  <c r="G34" i="128"/>
  <c r="Q34" i="128" s="1"/>
  <c r="G35" i="128"/>
  <c r="Q35" i="128" s="1"/>
  <c r="G36" i="128"/>
  <c r="Q36" i="128" s="1"/>
  <c r="G37" i="128"/>
  <c r="Q37" i="128" s="1"/>
  <c r="G38" i="128"/>
  <c r="Q38" i="128" s="1"/>
  <c r="G33" i="128"/>
  <c r="G21" i="128"/>
  <c r="G22" i="128"/>
  <c r="G23" i="128"/>
  <c r="G24" i="128"/>
  <c r="G25" i="128"/>
  <c r="G20" i="128"/>
  <c r="H49" i="127" l="1"/>
  <c r="H50" i="127"/>
  <c r="B2" i="127" l="1"/>
  <c r="H48" i="127"/>
  <c r="H47" i="127"/>
  <c r="P136" i="49" l="1"/>
  <c r="P137" i="49"/>
  <c r="P138" i="49"/>
  <c r="P139" i="49"/>
  <c r="P140" i="49"/>
  <c r="P141" i="49"/>
  <c r="P142" i="49"/>
  <c r="P143" i="49"/>
  <c r="P144" i="49"/>
  <c r="N136" i="49"/>
  <c r="N137" i="49"/>
  <c r="N138" i="49"/>
  <c r="N139" i="49"/>
  <c r="N140" i="49"/>
  <c r="N141" i="49"/>
  <c r="N142" i="49"/>
  <c r="N143" i="49"/>
  <c r="N144" i="49"/>
  <c r="Q141" i="49" l="1"/>
  <c r="R141" i="49" s="1"/>
  <c r="J48" i="127" s="1"/>
  <c r="L48" i="127" s="1"/>
  <c r="Q143" i="49"/>
  <c r="R143" i="49" s="1"/>
  <c r="J50" i="127" s="1"/>
  <c r="L50" i="127" s="1"/>
  <c r="Q139" i="49"/>
  <c r="R139" i="49" s="1"/>
  <c r="Q137" i="49"/>
  <c r="Q142" i="49"/>
  <c r="R142" i="49" s="1"/>
  <c r="J49" i="127" s="1"/>
  <c r="L49" i="127" s="1"/>
  <c r="Q138" i="49"/>
  <c r="R138" i="49" s="1"/>
  <c r="Q144" i="49"/>
  <c r="R144" i="49" s="1"/>
  <c r="Q140" i="49"/>
  <c r="R140" i="49" s="1"/>
  <c r="Q136" i="49"/>
  <c r="R136" i="49" s="1"/>
  <c r="J44" i="127" s="1"/>
  <c r="Q44" i="127" s="1"/>
  <c r="M48" i="127" l="1"/>
  <c r="V48" i="127"/>
  <c r="M49" i="127"/>
  <c r="V49" i="127"/>
  <c r="M50" i="127"/>
  <c r="V50" i="127"/>
  <c r="R137" i="49"/>
  <c r="U140" i="49"/>
  <c r="J47" i="127" s="1"/>
  <c r="L47" i="127" s="1"/>
  <c r="M47" i="127" l="1"/>
  <c r="V47" i="127"/>
  <c r="H59" i="127" l="1"/>
  <c r="S59" i="127" s="1"/>
  <c r="B20" i="75"/>
  <c r="M17" i="57" l="1"/>
  <c r="O17" i="57" s="1"/>
  <c r="U19" i="127"/>
  <c r="V59" i="127"/>
  <c r="T55" i="128"/>
  <c r="S14" i="116" l="1"/>
  <c r="O46" i="62" l="1"/>
  <c r="V52" i="127" l="1"/>
  <c r="V14" i="127"/>
  <c r="V20" i="127"/>
  <c r="V23" i="127"/>
  <c r="V24" i="127"/>
  <c r="V25" i="127"/>
  <c r="V30" i="127"/>
  <c r="V31" i="127"/>
  <c r="V33" i="127"/>
  <c r="V34" i="127"/>
  <c r="V35" i="127"/>
  <c r="V38" i="127"/>
  <c r="V39" i="127"/>
  <c r="V53" i="127"/>
  <c r="V57" i="127"/>
  <c r="V13" i="127"/>
  <c r="T40" i="128"/>
  <c r="S21" i="126"/>
  <c r="S19" i="126"/>
  <c r="S13" i="126"/>
  <c r="T29" i="126"/>
  <c r="T28" i="126"/>
  <c r="T27" i="126"/>
  <c r="T26" i="126"/>
  <c r="T25" i="126"/>
  <c r="T24" i="126"/>
  <c r="T22" i="126"/>
  <c r="T20" i="126"/>
  <c r="T18" i="126"/>
  <c r="T14" i="126"/>
  <c r="S21" i="125"/>
  <c r="S19" i="125"/>
  <c r="S13" i="125"/>
  <c r="T30" i="125"/>
  <c r="T28" i="125"/>
  <c r="T26" i="125"/>
  <c r="T24" i="125"/>
  <c r="T22" i="125"/>
  <c r="T20" i="125"/>
  <c r="T18" i="125"/>
  <c r="T14" i="125"/>
  <c r="S21" i="124"/>
  <c r="S19" i="124"/>
  <c r="S13" i="124"/>
  <c r="T29" i="124"/>
  <c r="T28" i="124"/>
  <c r="T27" i="124"/>
  <c r="T26" i="124"/>
  <c r="T24" i="124"/>
  <c r="T22" i="124"/>
  <c r="T20" i="124"/>
  <c r="T18" i="124"/>
  <c r="T14" i="124"/>
  <c r="S21" i="123"/>
  <c r="S19" i="123"/>
  <c r="S13" i="123"/>
  <c r="T29" i="123"/>
  <c r="T28" i="123"/>
  <c r="T27" i="123"/>
  <c r="T26" i="123"/>
  <c r="T25" i="123"/>
  <c r="T24" i="123"/>
  <c r="T23" i="123"/>
  <c r="T22" i="123"/>
  <c r="T20" i="123"/>
  <c r="T18" i="123"/>
  <c r="T14" i="123"/>
  <c r="S19" i="122"/>
  <c r="S17" i="122"/>
  <c r="S15" i="122"/>
  <c r="T29" i="122"/>
  <c r="T28" i="122"/>
  <c r="T27" i="122"/>
  <c r="T26" i="122"/>
  <c r="T25" i="122"/>
  <c r="T24" i="122"/>
  <c r="T23" i="122"/>
  <c r="T22" i="122"/>
  <c r="T21" i="122"/>
  <c r="T20" i="122"/>
  <c r="T18" i="122"/>
  <c r="T16" i="122"/>
  <c r="T14" i="122"/>
  <c r="S19" i="121"/>
  <c r="S17" i="121"/>
  <c r="S15" i="121"/>
  <c r="T29" i="121"/>
  <c r="T28" i="121"/>
  <c r="T27" i="121"/>
  <c r="T26" i="121"/>
  <c r="T25" i="121"/>
  <c r="T24" i="121"/>
  <c r="T23" i="121"/>
  <c r="T22" i="121"/>
  <c r="T21" i="121"/>
  <c r="T20" i="121"/>
  <c r="T18" i="121"/>
  <c r="T16" i="121"/>
  <c r="T14" i="121"/>
  <c r="S19" i="118"/>
  <c r="S17" i="118"/>
  <c r="T29" i="118"/>
  <c r="T28" i="118"/>
  <c r="T27" i="118"/>
  <c r="T26" i="118"/>
  <c r="T25" i="118"/>
  <c r="T24" i="118"/>
  <c r="T23" i="118"/>
  <c r="T22" i="118"/>
  <c r="T21" i="118"/>
  <c r="T20" i="118"/>
  <c r="T18" i="118"/>
  <c r="T16" i="118"/>
  <c r="T14" i="118"/>
  <c r="S19" i="117"/>
  <c r="S17" i="117"/>
  <c r="S15" i="117"/>
  <c r="T29" i="117"/>
  <c r="T28" i="117"/>
  <c r="T27" i="117"/>
  <c r="T26" i="117"/>
  <c r="T25" i="117"/>
  <c r="T24" i="117"/>
  <c r="T23" i="117"/>
  <c r="T22" i="117"/>
  <c r="T20" i="117"/>
  <c r="T18" i="117"/>
  <c r="T16" i="117"/>
  <c r="T14" i="117"/>
  <c r="S20" i="116"/>
  <c r="S18" i="116"/>
  <c r="T29" i="116"/>
  <c r="T28" i="116"/>
  <c r="T27" i="116"/>
  <c r="T26" i="116"/>
  <c r="T25" i="116"/>
  <c r="T24" i="116"/>
  <c r="T23" i="116"/>
  <c r="T22" i="116"/>
  <c r="T21" i="116"/>
  <c r="T19" i="116"/>
  <c r="T17" i="116"/>
  <c r="T15" i="116"/>
  <c r="S20" i="115"/>
  <c r="S18" i="115"/>
  <c r="S14" i="115"/>
  <c r="T29" i="115"/>
  <c r="T28" i="115"/>
  <c r="T27" i="115"/>
  <c r="T26" i="115"/>
  <c r="T25" i="115"/>
  <c r="T24" i="115"/>
  <c r="T23" i="115"/>
  <c r="T22" i="115"/>
  <c r="T21" i="115"/>
  <c r="T19" i="115"/>
  <c r="T17" i="115"/>
  <c r="T15" i="115"/>
  <c r="S16" i="114"/>
  <c r="S14" i="114"/>
  <c r="S13" i="114"/>
  <c r="T29" i="114"/>
  <c r="T28" i="114"/>
  <c r="T27" i="114"/>
  <c r="T26" i="114"/>
  <c r="T25" i="114"/>
  <c r="T24" i="114"/>
  <c r="T23" i="114"/>
  <c r="T22" i="114"/>
  <c r="T21" i="114"/>
  <c r="T20" i="114"/>
  <c r="T19" i="114"/>
  <c r="T18" i="114"/>
  <c r="T17" i="114"/>
  <c r="T15" i="114"/>
  <c r="S19" i="113"/>
  <c r="S17" i="113"/>
  <c r="S15" i="113"/>
  <c r="T29" i="113"/>
  <c r="T28" i="113"/>
  <c r="T27" i="113"/>
  <c r="T26" i="113"/>
  <c r="T25" i="113"/>
  <c r="T24" i="113"/>
  <c r="T23" i="113"/>
  <c r="T22" i="113"/>
  <c r="T21" i="113"/>
  <c r="T20" i="113"/>
  <c r="T18" i="113"/>
  <c r="T16" i="113"/>
  <c r="T14" i="113"/>
  <c r="S18" i="111"/>
  <c r="S14" i="111"/>
  <c r="S13" i="111"/>
  <c r="T29" i="111"/>
  <c r="T28" i="111"/>
  <c r="T27" i="111"/>
  <c r="T26" i="111"/>
  <c r="T25" i="111"/>
  <c r="T24" i="111"/>
  <c r="T23" i="111"/>
  <c r="T22" i="111"/>
  <c r="T21" i="111"/>
  <c r="T20" i="111"/>
  <c r="T19" i="111"/>
  <c r="T17" i="111"/>
  <c r="T15" i="111"/>
  <c r="S18" i="110"/>
  <c r="S14" i="110"/>
  <c r="S13" i="110"/>
  <c r="T29" i="110"/>
  <c r="T28" i="110"/>
  <c r="T27" i="110"/>
  <c r="T26" i="110"/>
  <c r="T25" i="110"/>
  <c r="T24" i="110"/>
  <c r="T23" i="110"/>
  <c r="T22" i="110"/>
  <c r="T21" i="110"/>
  <c r="T20" i="110"/>
  <c r="T19" i="110"/>
  <c r="T17" i="110"/>
  <c r="T15" i="110"/>
  <c r="S16" i="109"/>
  <c r="T29" i="109"/>
  <c r="T28" i="109"/>
  <c r="T27" i="109"/>
  <c r="T26" i="109"/>
  <c r="T25" i="109"/>
  <c r="T24" i="109"/>
  <c r="T23" i="109"/>
  <c r="T22" i="109"/>
  <c r="T21" i="109"/>
  <c r="T20" i="109"/>
  <c r="T19" i="109"/>
  <c r="T18" i="109"/>
  <c r="T17" i="109"/>
  <c r="T15" i="109"/>
  <c r="S16" i="108"/>
  <c r="T29" i="108"/>
  <c r="T28" i="108"/>
  <c r="T27" i="108"/>
  <c r="T26" i="108"/>
  <c r="T25" i="108"/>
  <c r="T24" i="108"/>
  <c r="T23" i="108"/>
  <c r="T22" i="108"/>
  <c r="T21" i="108"/>
  <c r="T20" i="108"/>
  <c r="T19" i="108"/>
  <c r="T18" i="108"/>
  <c r="T17" i="108"/>
  <c r="T15" i="108"/>
  <c r="S15" i="107"/>
  <c r="T29" i="107"/>
  <c r="T28" i="107"/>
  <c r="T27" i="107"/>
  <c r="T26" i="107"/>
  <c r="T25" i="107"/>
  <c r="T24" i="107"/>
  <c r="T23" i="107"/>
  <c r="T22" i="107"/>
  <c r="T21" i="107"/>
  <c r="T20" i="107"/>
  <c r="T19" i="107"/>
  <c r="T18" i="107"/>
  <c r="T17" i="107"/>
  <c r="T16" i="107"/>
  <c r="T14" i="107"/>
  <c r="S17" i="106"/>
  <c r="T29" i="106"/>
  <c r="T28" i="106"/>
  <c r="T27" i="106"/>
  <c r="T26" i="106"/>
  <c r="T25" i="106"/>
  <c r="T24" i="106"/>
  <c r="T23" i="106"/>
  <c r="T22" i="106"/>
  <c r="T21" i="106"/>
  <c r="T20" i="106"/>
  <c r="T19" i="106"/>
  <c r="T18" i="106"/>
  <c r="T16" i="106"/>
  <c r="S18" i="104"/>
  <c r="S14" i="104"/>
  <c r="S13" i="104"/>
  <c r="T29" i="104"/>
  <c r="T28" i="104"/>
  <c r="T27" i="104"/>
  <c r="T26" i="104"/>
  <c r="T25" i="104"/>
  <c r="T24" i="104"/>
  <c r="T23" i="104"/>
  <c r="T22" i="104"/>
  <c r="T21" i="104"/>
  <c r="T20" i="104"/>
  <c r="T19" i="104"/>
  <c r="T17" i="104"/>
  <c r="T15" i="104"/>
  <c r="S16" i="102"/>
  <c r="S14" i="102"/>
  <c r="T29" i="102"/>
  <c r="T28" i="102"/>
  <c r="T27" i="102"/>
  <c r="T26" i="102"/>
  <c r="T25" i="102"/>
  <c r="T24" i="102"/>
  <c r="T23" i="102"/>
  <c r="T22" i="102"/>
  <c r="T21" i="102"/>
  <c r="T20" i="102"/>
  <c r="T19" i="102"/>
  <c r="T18" i="102"/>
  <c r="T17" i="102"/>
  <c r="T15" i="102"/>
  <c r="T29" i="101"/>
  <c r="S19" i="101"/>
  <c r="S20" i="101"/>
  <c r="S14" i="101"/>
  <c r="S16" i="105"/>
  <c r="S14" i="105"/>
  <c r="S13" i="105"/>
  <c r="T19" i="105"/>
  <c r="S19" i="119"/>
  <c r="S17" i="119"/>
  <c r="S17" i="112"/>
  <c r="S15" i="112"/>
  <c r="S13" i="112"/>
  <c r="T19" i="112"/>
  <c r="S17" i="1" l="1"/>
  <c r="S15" i="1"/>
  <c r="B56" i="62" l="1"/>
  <c r="F80" i="128" l="1"/>
  <c r="F79" i="128"/>
  <c r="F81" i="128" l="1"/>
  <c r="G15" i="128" l="1"/>
  <c r="F13" i="116" l="1"/>
  <c r="F14" i="116"/>
  <c r="F20" i="116"/>
  <c r="E20" i="116"/>
  <c r="N20" i="116" s="1"/>
  <c r="F18" i="116"/>
  <c r="E18" i="116"/>
  <c r="N18" i="116" s="1"/>
  <c r="F16" i="116"/>
  <c r="E16" i="116"/>
  <c r="N16" i="116" s="1"/>
  <c r="C16" i="105"/>
  <c r="J3" i="105" s="1"/>
  <c r="E13" i="124"/>
  <c r="D16" i="104" l="1"/>
  <c r="C16" i="104"/>
  <c r="C13" i="1" l="1"/>
  <c r="C14" i="129"/>
  <c r="C25" i="129"/>
  <c r="C34" i="129"/>
  <c r="I49" i="129"/>
  <c r="I47" i="129"/>
  <c r="I46" i="129"/>
  <c r="I43" i="129"/>
  <c r="I42" i="129"/>
  <c r="I41" i="129"/>
  <c r="I40" i="129"/>
  <c r="I37" i="129"/>
  <c r="I36" i="129"/>
  <c r="I33" i="129"/>
  <c r="I32" i="129"/>
  <c r="I31" i="129"/>
  <c r="I27" i="129"/>
  <c r="I28" i="129"/>
  <c r="I30" i="129"/>
  <c r="I29" i="129"/>
  <c r="I24" i="129"/>
  <c r="I23" i="129"/>
  <c r="I22" i="129"/>
  <c r="I21" i="129"/>
  <c r="I20" i="129"/>
  <c r="I19" i="129"/>
  <c r="I18" i="129"/>
  <c r="I17" i="129"/>
  <c r="C44" i="129"/>
  <c r="C38" i="129"/>
  <c r="C51" i="129" l="1"/>
  <c r="I38" i="129"/>
  <c r="I25" i="129"/>
  <c r="I44" i="129"/>
  <c r="I34" i="129"/>
  <c r="C40" i="70"/>
  <c r="P43" i="128" l="1"/>
  <c r="P42" i="128"/>
  <c r="P41" i="128"/>
  <c r="H28" i="127" l="1"/>
  <c r="R28" i="127"/>
  <c r="R27" i="127"/>
  <c r="R26" i="127"/>
  <c r="H27" i="127"/>
  <c r="H26" i="127"/>
  <c r="P44" i="128" l="1"/>
  <c r="P28" i="128"/>
  <c r="G44" i="128"/>
  <c r="G43" i="128"/>
  <c r="G42" i="128"/>
  <c r="G41" i="128"/>
  <c r="G28" i="128"/>
  <c r="P31" i="128" l="1"/>
  <c r="G31" i="128"/>
  <c r="P30" i="128"/>
  <c r="G30" i="128"/>
  <c r="P29" i="128"/>
  <c r="G29" i="128"/>
  <c r="P18" i="128"/>
  <c r="G18" i="128"/>
  <c r="P17" i="128"/>
  <c r="G17" i="128"/>
  <c r="P16" i="128"/>
  <c r="G16" i="128"/>
  <c r="P15" i="128"/>
  <c r="Q11" i="128"/>
  <c r="P11" i="128"/>
  <c r="O11" i="128"/>
  <c r="N11" i="128"/>
  <c r="M11" i="128"/>
  <c r="L11" i="128"/>
  <c r="K11" i="128"/>
  <c r="J11" i="128"/>
  <c r="I11" i="128"/>
  <c r="H11" i="128"/>
  <c r="G11" i="128"/>
  <c r="F11" i="128"/>
  <c r="E11" i="128"/>
  <c r="D11" i="128"/>
  <c r="C11" i="128"/>
  <c r="B11" i="128"/>
  <c r="Q10" i="128"/>
  <c r="P10" i="128"/>
  <c r="O10" i="128"/>
  <c r="N10" i="128"/>
  <c r="M10" i="128"/>
  <c r="L10" i="128"/>
  <c r="K10" i="128"/>
  <c r="J10" i="128"/>
  <c r="I10" i="128"/>
  <c r="H10" i="128"/>
  <c r="G10" i="128"/>
  <c r="F10" i="128"/>
  <c r="E10" i="128"/>
  <c r="D10" i="128"/>
  <c r="C10" i="128"/>
  <c r="B10" i="128"/>
  <c r="Q9" i="128"/>
  <c r="P9" i="128"/>
  <c r="O9" i="128"/>
  <c r="N9" i="128"/>
  <c r="M9" i="128"/>
  <c r="L9" i="128"/>
  <c r="K9" i="128"/>
  <c r="J9" i="128"/>
  <c r="I9" i="128"/>
  <c r="H9" i="128"/>
  <c r="G9" i="128"/>
  <c r="F9" i="128"/>
  <c r="E9" i="128"/>
  <c r="D9" i="128"/>
  <c r="C9" i="128"/>
  <c r="L8" i="128"/>
  <c r="H8" i="128"/>
  <c r="B4" i="128"/>
  <c r="B3" i="128"/>
  <c r="B2" i="128"/>
  <c r="R56" i="127"/>
  <c r="R55" i="127"/>
  <c r="R54" i="127"/>
  <c r="R44" i="127"/>
  <c r="R43" i="127"/>
  <c r="R42" i="127"/>
  <c r="R41" i="127"/>
  <c r="R40" i="127"/>
  <c r="R37" i="127"/>
  <c r="R36" i="127"/>
  <c r="R32" i="127"/>
  <c r="R16" i="127"/>
  <c r="R17" i="127"/>
  <c r="R18" i="127"/>
  <c r="R19" i="127"/>
  <c r="R29" i="127"/>
  <c r="R21" i="127"/>
  <c r="R22" i="127"/>
  <c r="H16" i="127"/>
  <c r="H17" i="127"/>
  <c r="H18" i="127"/>
  <c r="H19" i="127"/>
  <c r="H29" i="127"/>
  <c r="H21" i="127"/>
  <c r="H22" i="127"/>
  <c r="H32" i="127"/>
  <c r="H36" i="127"/>
  <c r="H37" i="127"/>
  <c r="H40" i="127"/>
  <c r="H41" i="127"/>
  <c r="H42" i="127"/>
  <c r="H43" i="127"/>
  <c r="H44" i="127"/>
  <c r="H54" i="127"/>
  <c r="H55" i="127"/>
  <c r="H56" i="127"/>
  <c r="R15" i="127"/>
  <c r="S11" i="127"/>
  <c r="R11" i="127"/>
  <c r="Q11" i="127"/>
  <c r="P11" i="127"/>
  <c r="O11" i="127"/>
  <c r="N11" i="127"/>
  <c r="L11" i="127"/>
  <c r="K11" i="127"/>
  <c r="J11" i="127"/>
  <c r="I11" i="127"/>
  <c r="H11" i="127"/>
  <c r="G11" i="127"/>
  <c r="F11" i="127"/>
  <c r="C11" i="127"/>
  <c r="B11" i="127"/>
  <c r="S10" i="127"/>
  <c r="R10" i="127"/>
  <c r="Q10" i="127"/>
  <c r="P10" i="127"/>
  <c r="O10" i="127"/>
  <c r="N10" i="127"/>
  <c r="L10" i="127"/>
  <c r="K10" i="127"/>
  <c r="J10" i="127"/>
  <c r="I10" i="127"/>
  <c r="H10" i="127"/>
  <c r="G10" i="127"/>
  <c r="F10" i="127"/>
  <c r="C10" i="127"/>
  <c r="B10" i="127"/>
  <c r="S9" i="127"/>
  <c r="R9" i="127"/>
  <c r="Q9" i="127"/>
  <c r="P9" i="127"/>
  <c r="O9" i="127"/>
  <c r="N9" i="127"/>
  <c r="L9" i="127"/>
  <c r="K9" i="127"/>
  <c r="J9" i="127"/>
  <c r="I9" i="127"/>
  <c r="H9" i="127"/>
  <c r="G9" i="127"/>
  <c r="F9" i="127"/>
  <c r="C9" i="127"/>
  <c r="N8" i="127"/>
  <c r="I8" i="127"/>
  <c r="B4" i="127"/>
  <c r="B3" i="127"/>
  <c r="R81" i="127" l="1"/>
  <c r="Q45" i="62" s="1"/>
  <c r="M77" i="128"/>
  <c r="N46" i="62" s="1"/>
  <c r="P77" i="128"/>
  <c r="Q46" i="62" s="1"/>
  <c r="O81" i="127"/>
  <c r="N45" i="62" s="1"/>
  <c r="H15" i="127"/>
  <c r="C20" i="94" l="1"/>
  <c r="C26" i="94"/>
  <c r="C29" i="94"/>
  <c r="C38" i="94"/>
  <c r="C42" i="94"/>
  <c r="C45" i="94"/>
  <c r="C48" i="94"/>
  <c r="C52" i="94"/>
  <c r="C55" i="94"/>
  <c r="C59" i="94"/>
  <c r="C62" i="94"/>
  <c r="C68" i="94"/>
  <c r="C71" i="94"/>
  <c r="C74" i="94"/>
  <c r="C77" i="94"/>
  <c r="C81" i="94"/>
  <c r="C84" i="94"/>
  <c r="C87" i="94"/>
  <c r="C92" i="94"/>
  <c r="C95" i="94"/>
  <c r="C100" i="94"/>
  <c r="C105" i="94"/>
  <c r="C111" i="94"/>
  <c r="C116" i="94"/>
  <c r="C151" i="94"/>
  <c r="C154" i="94"/>
  <c r="C158" i="94"/>
  <c r="D11" i="94"/>
  <c r="P53" i="1"/>
  <c r="Q10" i="62" s="1"/>
  <c r="C97" i="94" l="1"/>
  <c r="C89" i="94"/>
  <c r="C118" i="94"/>
  <c r="C64" i="94"/>
  <c r="C31" i="94"/>
  <c r="C161" i="94" l="1"/>
  <c r="F13" i="126"/>
  <c r="P13" i="126" s="1"/>
  <c r="F15" i="126"/>
  <c r="F16" i="126"/>
  <c r="P16" i="126" s="1"/>
  <c r="F17" i="126"/>
  <c r="P17" i="126" s="1"/>
  <c r="F19" i="126"/>
  <c r="F21" i="126"/>
  <c r="P21" i="126" s="1"/>
  <c r="F23" i="126"/>
  <c r="E15" i="126"/>
  <c r="E19" i="126"/>
  <c r="E21" i="126"/>
  <c r="E23" i="126"/>
  <c r="S23" i="126" s="1"/>
  <c r="E16" i="126"/>
  <c r="E17" i="126"/>
  <c r="E13" i="126"/>
  <c r="D13" i="126"/>
  <c r="D15" i="126"/>
  <c r="D16" i="126"/>
  <c r="D17" i="126"/>
  <c r="D19" i="126"/>
  <c r="D21" i="126"/>
  <c r="D23" i="126"/>
  <c r="C19" i="126"/>
  <c r="C21" i="126"/>
  <c r="C23" i="126"/>
  <c r="C15" i="126"/>
  <c r="C16" i="126"/>
  <c r="C17" i="126"/>
  <c r="C13" i="126"/>
  <c r="P19" i="126"/>
  <c r="P15" i="126"/>
  <c r="Q11" i="126"/>
  <c r="P11" i="126"/>
  <c r="O11" i="126"/>
  <c r="N11" i="126"/>
  <c r="M11" i="126"/>
  <c r="L11" i="126"/>
  <c r="K11" i="126"/>
  <c r="J11" i="126"/>
  <c r="I11" i="126"/>
  <c r="H11" i="126"/>
  <c r="G11" i="126"/>
  <c r="F11" i="126"/>
  <c r="E11" i="126"/>
  <c r="D11" i="126"/>
  <c r="C11" i="126"/>
  <c r="B11" i="126"/>
  <c r="Q10" i="126"/>
  <c r="P10" i="126"/>
  <c r="O10" i="126"/>
  <c r="N10" i="126"/>
  <c r="M10" i="126"/>
  <c r="L10" i="126"/>
  <c r="K10" i="126"/>
  <c r="J10" i="126"/>
  <c r="I10" i="126"/>
  <c r="H10" i="126"/>
  <c r="G10" i="126"/>
  <c r="F10" i="126"/>
  <c r="E10" i="126"/>
  <c r="D10" i="126"/>
  <c r="C10" i="126"/>
  <c r="B10" i="126"/>
  <c r="Q9" i="126"/>
  <c r="P9" i="126"/>
  <c r="O9" i="126"/>
  <c r="N9" i="126"/>
  <c r="M9" i="126"/>
  <c r="L9" i="126"/>
  <c r="K9" i="126"/>
  <c r="J9" i="126"/>
  <c r="I9" i="126"/>
  <c r="H9" i="126"/>
  <c r="G9" i="126"/>
  <c r="F9" i="126"/>
  <c r="E9" i="126"/>
  <c r="D9" i="126"/>
  <c r="C9" i="126"/>
  <c r="L8" i="126"/>
  <c r="H8" i="126"/>
  <c r="B4" i="126"/>
  <c r="B3" i="126"/>
  <c r="B2" i="126"/>
  <c r="T149" i="49"/>
  <c r="P23" i="126" l="1"/>
  <c r="P53" i="126" s="1"/>
  <c r="Q42" i="62" s="1"/>
  <c r="N15" i="126"/>
  <c r="G16" i="126"/>
  <c r="N17" i="126"/>
  <c r="N19" i="126"/>
  <c r="G21" i="126"/>
  <c r="G13" i="126"/>
  <c r="G15" i="126"/>
  <c r="N16" i="126"/>
  <c r="G17" i="126"/>
  <c r="G19" i="126"/>
  <c r="N21" i="126"/>
  <c r="G23" i="126"/>
  <c r="N23" i="126"/>
  <c r="F13" i="125"/>
  <c r="P13" i="125" s="1"/>
  <c r="F15" i="125"/>
  <c r="N15" i="125" s="1"/>
  <c r="F16" i="125"/>
  <c r="N16" i="125" s="1"/>
  <c r="F17" i="125"/>
  <c r="F19" i="125"/>
  <c r="P19" i="125" s="1"/>
  <c r="F21" i="125"/>
  <c r="N21" i="125" s="1"/>
  <c r="F23" i="125"/>
  <c r="E19" i="125"/>
  <c r="E21" i="125"/>
  <c r="E23" i="125"/>
  <c r="S23" i="125" s="1"/>
  <c r="E15" i="125"/>
  <c r="E16" i="125"/>
  <c r="E17" i="125"/>
  <c r="E13" i="125"/>
  <c r="D13" i="125"/>
  <c r="D15" i="125"/>
  <c r="D16" i="125"/>
  <c r="D17" i="125"/>
  <c r="D19" i="125"/>
  <c r="D21" i="125"/>
  <c r="D23" i="125"/>
  <c r="C19" i="125"/>
  <c r="C21" i="125"/>
  <c r="C23" i="125"/>
  <c r="C15" i="125"/>
  <c r="C16" i="125"/>
  <c r="C17" i="125"/>
  <c r="Q11" i="125"/>
  <c r="P11" i="125"/>
  <c r="O11" i="125"/>
  <c r="N11" i="125"/>
  <c r="M11" i="125"/>
  <c r="L11" i="125"/>
  <c r="K11" i="125"/>
  <c r="J11" i="125"/>
  <c r="I11" i="125"/>
  <c r="H11" i="125"/>
  <c r="G11" i="125"/>
  <c r="F11" i="125"/>
  <c r="E11" i="125"/>
  <c r="D11" i="125"/>
  <c r="C11" i="125"/>
  <c r="B11" i="125"/>
  <c r="Q10" i="125"/>
  <c r="P10" i="125"/>
  <c r="O10" i="125"/>
  <c r="N10" i="125"/>
  <c r="M10" i="125"/>
  <c r="L10" i="125"/>
  <c r="K10" i="125"/>
  <c r="J10" i="125"/>
  <c r="I10" i="125"/>
  <c r="H10" i="125"/>
  <c r="G10" i="125"/>
  <c r="F10" i="125"/>
  <c r="E10" i="125"/>
  <c r="D10" i="125"/>
  <c r="C10" i="125"/>
  <c r="B10" i="125"/>
  <c r="Q9" i="125"/>
  <c r="P9" i="125"/>
  <c r="O9" i="125"/>
  <c r="N9" i="125"/>
  <c r="M9" i="125"/>
  <c r="L9" i="125"/>
  <c r="K9" i="125"/>
  <c r="J9" i="125"/>
  <c r="I9" i="125"/>
  <c r="H9" i="125"/>
  <c r="G9" i="125"/>
  <c r="F9" i="125"/>
  <c r="E9" i="125"/>
  <c r="D9" i="125"/>
  <c r="C9" i="125"/>
  <c r="L8" i="125"/>
  <c r="H8" i="125"/>
  <c r="B4" i="125"/>
  <c r="B3" i="125"/>
  <c r="B2" i="125"/>
  <c r="F13" i="124"/>
  <c r="P13" i="124" s="1"/>
  <c r="F15" i="124"/>
  <c r="N15" i="124" s="1"/>
  <c r="F16" i="124"/>
  <c r="F17" i="124"/>
  <c r="P17" i="124" s="1"/>
  <c r="F19" i="124"/>
  <c r="P19" i="124" s="1"/>
  <c r="F21" i="124"/>
  <c r="P21" i="124" s="1"/>
  <c r="S23" i="124"/>
  <c r="E19" i="124"/>
  <c r="E21" i="124"/>
  <c r="E23" i="124"/>
  <c r="E15" i="124"/>
  <c r="E16" i="124"/>
  <c r="E17" i="124"/>
  <c r="D13" i="124"/>
  <c r="D15" i="124"/>
  <c r="D16" i="124"/>
  <c r="D17" i="124"/>
  <c r="D19" i="124"/>
  <c r="D21" i="124"/>
  <c r="D23" i="124"/>
  <c r="C19" i="124"/>
  <c r="C21" i="124"/>
  <c r="C23" i="124"/>
  <c r="C15" i="124"/>
  <c r="C16" i="124"/>
  <c r="C17" i="124"/>
  <c r="C13" i="124"/>
  <c r="Q11" i="124"/>
  <c r="P11" i="124"/>
  <c r="O11" i="124"/>
  <c r="N11" i="124"/>
  <c r="M11" i="124"/>
  <c r="L11" i="124"/>
  <c r="K11" i="124"/>
  <c r="J11" i="124"/>
  <c r="I11" i="124"/>
  <c r="H11" i="124"/>
  <c r="G11" i="124"/>
  <c r="F11" i="124"/>
  <c r="E11" i="124"/>
  <c r="D11" i="124"/>
  <c r="C11" i="124"/>
  <c r="B11" i="124"/>
  <c r="Q10" i="124"/>
  <c r="P10" i="124"/>
  <c r="O10" i="124"/>
  <c r="N10" i="124"/>
  <c r="M10" i="124"/>
  <c r="L10" i="124"/>
  <c r="K10" i="124"/>
  <c r="J10" i="124"/>
  <c r="I10" i="124"/>
  <c r="H10" i="124"/>
  <c r="G10" i="124"/>
  <c r="F10" i="124"/>
  <c r="E10" i="124"/>
  <c r="D10" i="124"/>
  <c r="C10" i="124"/>
  <c r="B10" i="124"/>
  <c r="Q9" i="124"/>
  <c r="P9" i="124"/>
  <c r="O9" i="124"/>
  <c r="N9" i="124"/>
  <c r="M9" i="124"/>
  <c r="L9" i="124"/>
  <c r="K9" i="124"/>
  <c r="J9" i="124"/>
  <c r="I9" i="124"/>
  <c r="H9" i="124"/>
  <c r="G9" i="124"/>
  <c r="F9" i="124"/>
  <c r="E9" i="124"/>
  <c r="D9" i="124"/>
  <c r="C9" i="124"/>
  <c r="L8" i="124"/>
  <c r="H8" i="124"/>
  <c r="B4" i="124"/>
  <c r="B3" i="124"/>
  <c r="B2" i="124"/>
  <c r="F13" i="123"/>
  <c r="P13" i="123" s="1"/>
  <c r="F15" i="123"/>
  <c r="P15" i="123" s="1"/>
  <c r="F16" i="123"/>
  <c r="P16" i="123" s="1"/>
  <c r="F17" i="123"/>
  <c r="P17" i="123" s="1"/>
  <c r="F19" i="123"/>
  <c r="P19" i="123" s="1"/>
  <c r="F21" i="123"/>
  <c r="P21" i="123" s="1"/>
  <c r="E19" i="123"/>
  <c r="E21" i="123"/>
  <c r="E15" i="123"/>
  <c r="E16" i="123"/>
  <c r="E17" i="123"/>
  <c r="E13" i="123"/>
  <c r="D13" i="123"/>
  <c r="D15" i="123"/>
  <c r="D16" i="123"/>
  <c r="D17" i="123"/>
  <c r="D19" i="123"/>
  <c r="D21" i="123"/>
  <c r="C19" i="123"/>
  <c r="C21" i="123"/>
  <c r="C17" i="123"/>
  <c r="C15" i="123"/>
  <c r="C16" i="123"/>
  <c r="C13" i="123"/>
  <c r="Q11" i="123"/>
  <c r="P11" i="123"/>
  <c r="O11" i="123"/>
  <c r="N11" i="123"/>
  <c r="M11" i="123"/>
  <c r="L11" i="123"/>
  <c r="K11" i="123"/>
  <c r="J11" i="123"/>
  <c r="I11" i="123"/>
  <c r="H11" i="123"/>
  <c r="G11" i="123"/>
  <c r="F11" i="123"/>
  <c r="E11" i="123"/>
  <c r="D11" i="123"/>
  <c r="C11" i="123"/>
  <c r="B11" i="123"/>
  <c r="Q10" i="123"/>
  <c r="P10" i="123"/>
  <c r="O10" i="123"/>
  <c r="N10" i="123"/>
  <c r="M10" i="123"/>
  <c r="L10" i="123"/>
  <c r="K10" i="123"/>
  <c r="J10" i="123"/>
  <c r="I10" i="123"/>
  <c r="H10" i="123"/>
  <c r="G10" i="123"/>
  <c r="F10" i="123"/>
  <c r="E10" i="123"/>
  <c r="D10" i="123"/>
  <c r="C10" i="123"/>
  <c r="B10" i="123"/>
  <c r="Q9" i="123"/>
  <c r="P9" i="123"/>
  <c r="O9" i="123"/>
  <c r="N9" i="123"/>
  <c r="M9" i="123"/>
  <c r="L9" i="123"/>
  <c r="K9" i="123"/>
  <c r="J9" i="123"/>
  <c r="I9" i="123"/>
  <c r="H9" i="123"/>
  <c r="G9" i="123"/>
  <c r="F9" i="123"/>
  <c r="E9" i="123"/>
  <c r="D9" i="123"/>
  <c r="C9" i="123"/>
  <c r="L8" i="123"/>
  <c r="H8" i="123"/>
  <c r="B4" i="123"/>
  <c r="B3" i="123"/>
  <c r="B2" i="123"/>
  <c r="D13" i="122"/>
  <c r="D15" i="122"/>
  <c r="D17" i="122"/>
  <c r="D19" i="122"/>
  <c r="C15" i="122"/>
  <c r="C17" i="122"/>
  <c r="C19" i="122"/>
  <c r="C13" i="122"/>
  <c r="Q11" i="122"/>
  <c r="P11" i="122"/>
  <c r="O11" i="122"/>
  <c r="N11" i="122"/>
  <c r="M11" i="122"/>
  <c r="L11" i="122"/>
  <c r="K11" i="122"/>
  <c r="J11" i="122"/>
  <c r="I11" i="122"/>
  <c r="H11" i="122"/>
  <c r="G11" i="122"/>
  <c r="F11" i="122"/>
  <c r="E11" i="122"/>
  <c r="D11" i="122"/>
  <c r="C11" i="122"/>
  <c r="B11" i="122"/>
  <c r="Q10" i="122"/>
  <c r="P10" i="122"/>
  <c r="O10" i="122"/>
  <c r="N10" i="122"/>
  <c r="M10" i="122"/>
  <c r="L10" i="122"/>
  <c r="K10" i="122"/>
  <c r="J10" i="122"/>
  <c r="I10" i="122"/>
  <c r="H10" i="122"/>
  <c r="G10" i="122"/>
  <c r="F10" i="122"/>
  <c r="E10" i="122"/>
  <c r="D10" i="122"/>
  <c r="C10" i="122"/>
  <c r="B10" i="122"/>
  <c r="Q9" i="122"/>
  <c r="P9" i="122"/>
  <c r="O9" i="122"/>
  <c r="N9" i="122"/>
  <c r="M9" i="122"/>
  <c r="L9" i="122"/>
  <c r="K9" i="122"/>
  <c r="J9" i="122"/>
  <c r="I9" i="122"/>
  <c r="H9" i="122"/>
  <c r="G9" i="122"/>
  <c r="F9" i="122"/>
  <c r="E9" i="122"/>
  <c r="D9" i="122"/>
  <c r="C9" i="122"/>
  <c r="L8" i="122"/>
  <c r="H8" i="122"/>
  <c r="B4" i="122"/>
  <c r="B3" i="122"/>
  <c r="B2" i="122"/>
  <c r="D13" i="121"/>
  <c r="D15" i="121"/>
  <c r="D17" i="121"/>
  <c r="D19" i="121"/>
  <c r="C15" i="121"/>
  <c r="C17" i="121"/>
  <c r="C19" i="121"/>
  <c r="C13" i="121"/>
  <c r="Q11" i="121"/>
  <c r="P11" i="121"/>
  <c r="O11" i="121"/>
  <c r="N11" i="121"/>
  <c r="M11" i="121"/>
  <c r="L11" i="121"/>
  <c r="K11" i="121"/>
  <c r="J11" i="121"/>
  <c r="I11" i="121"/>
  <c r="H11" i="121"/>
  <c r="G11" i="121"/>
  <c r="F11" i="121"/>
  <c r="E11" i="121"/>
  <c r="D11" i="121"/>
  <c r="C11" i="121"/>
  <c r="B11" i="121"/>
  <c r="Q10" i="121"/>
  <c r="P10" i="121"/>
  <c r="O10" i="121"/>
  <c r="N10" i="121"/>
  <c r="M10" i="121"/>
  <c r="L10" i="121"/>
  <c r="K10" i="121"/>
  <c r="J10" i="121"/>
  <c r="I10" i="121"/>
  <c r="H10" i="121"/>
  <c r="G10" i="121"/>
  <c r="F10" i="121"/>
  <c r="E10" i="121"/>
  <c r="D10" i="121"/>
  <c r="C10" i="121"/>
  <c r="B10" i="121"/>
  <c r="Q9" i="121"/>
  <c r="P9" i="121"/>
  <c r="O9" i="121"/>
  <c r="N9" i="121"/>
  <c r="M9" i="121"/>
  <c r="L9" i="121"/>
  <c r="K9" i="121"/>
  <c r="J9" i="121"/>
  <c r="I9" i="121"/>
  <c r="H9" i="121"/>
  <c r="G9" i="121"/>
  <c r="F9" i="121"/>
  <c r="E9" i="121"/>
  <c r="D9" i="121"/>
  <c r="C9" i="121"/>
  <c r="L8" i="121"/>
  <c r="H8" i="121"/>
  <c r="B4" i="121"/>
  <c r="B3" i="121"/>
  <c r="B2" i="121"/>
  <c r="C13" i="119"/>
  <c r="F13" i="119"/>
  <c r="P13" i="119" s="1"/>
  <c r="F15" i="119"/>
  <c r="P15" i="119" s="1"/>
  <c r="F17" i="119"/>
  <c r="P17" i="119" s="1"/>
  <c r="F19" i="119"/>
  <c r="P19" i="119" s="1"/>
  <c r="E15" i="119"/>
  <c r="E17" i="119"/>
  <c r="E19" i="119"/>
  <c r="E13" i="119"/>
  <c r="D13" i="119"/>
  <c r="D15" i="119"/>
  <c r="D17" i="119"/>
  <c r="D19" i="119"/>
  <c r="C15" i="119"/>
  <c r="C17" i="119"/>
  <c r="C19" i="119"/>
  <c r="Q11" i="119"/>
  <c r="P11" i="119"/>
  <c r="O11" i="119"/>
  <c r="N11" i="119"/>
  <c r="M11" i="119"/>
  <c r="L11" i="119"/>
  <c r="K11" i="119"/>
  <c r="J11" i="119"/>
  <c r="I11" i="119"/>
  <c r="H11" i="119"/>
  <c r="G11" i="119"/>
  <c r="F11" i="119"/>
  <c r="E11" i="119"/>
  <c r="D11" i="119"/>
  <c r="C11" i="119"/>
  <c r="B11" i="119"/>
  <c r="Q10" i="119"/>
  <c r="P10" i="119"/>
  <c r="O10" i="119"/>
  <c r="N10" i="119"/>
  <c r="M10" i="119"/>
  <c r="L10" i="119"/>
  <c r="K10" i="119"/>
  <c r="J10" i="119"/>
  <c r="I10" i="119"/>
  <c r="H10" i="119"/>
  <c r="G10" i="119"/>
  <c r="F10" i="119"/>
  <c r="E10" i="119"/>
  <c r="D10" i="119"/>
  <c r="C10" i="119"/>
  <c r="B10" i="119"/>
  <c r="Q9" i="119"/>
  <c r="P9" i="119"/>
  <c r="O9" i="119"/>
  <c r="N9" i="119"/>
  <c r="M9" i="119"/>
  <c r="L9" i="119"/>
  <c r="K9" i="119"/>
  <c r="J9" i="119"/>
  <c r="I9" i="119"/>
  <c r="H9" i="119"/>
  <c r="G9" i="119"/>
  <c r="F9" i="119"/>
  <c r="E9" i="119"/>
  <c r="D9" i="119"/>
  <c r="C9" i="119"/>
  <c r="L8" i="119"/>
  <c r="H8" i="119"/>
  <c r="B4" i="119"/>
  <c r="B3" i="119"/>
  <c r="B2" i="119"/>
  <c r="F13" i="118"/>
  <c r="P13" i="118" s="1"/>
  <c r="F15" i="118"/>
  <c r="N15" i="118" s="1"/>
  <c r="F17" i="118"/>
  <c r="P17" i="118" s="1"/>
  <c r="F19" i="118"/>
  <c r="P19" i="118" s="1"/>
  <c r="E15" i="118"/>
  <c r="E17" i="118"/>
  <c r="E19" i="118"/>
  <c r="E13" i="118"/>
  <c r="D13" i="118"/>
  <c r="D15" i="118"/>
  <c r="D17" i="118"/>
  <c r="D19" i="118"/>
  <c r="C15" i="118"/>
  <c r="C17" i="118"/>
  <c r="C19" i="118"/>
  <c r="C13" i="118"/>
  <c r="Q11" i="118"/>
  <c r="P11" i="118"/>
  <c r="O11" i="118"/>
  <c r="N11" i="118"/>
  <c r="M11" i="118"/>
  <c r="L11" i="118"/>
  <c r="K11" i="118"/>
  <c r="J11" i="118"/>
  <c r="I11" i="118"/>
  <c r="H11" i="118"/>
  <c r="G11" i="118"/>
  <c r="F11" i="118"/>
  <c r="E11" i="118"/>
  <c r="D11" i="118"/>
  <c r="C11" i="118"/>
  <c r="B11" i="118"/>
  <c r="Q10" i="118"/>
  <c r="P10" i="118"/>
  <c r="O10" i="118"/>
  <c r="N10" i="118"/>
  <c r="M10" i="118"/>
  <c r="L10" i="118"/>
  <c r="K10" i="118"/>
  <c r="J10" i="118"/>
  <c r="I10" i="118"/>
  <c r="H10" i="118"/>
  <c r="G10" i="118"/>
  <c r="F10" i="118"/>
  <c r="E10" i="118"/>
  <c r="D10" i="118"/>
  <c r="C10" i="118"/>
  <c r="B10" i="118"/>
  <c r="Q9" i="118"/>
  <c r="P9" i="118"/>
  <c r="O9" i="118"/>
  <c r="N9" i="118"/>
  <c r="M9" i="118"/>
  <c r="L9" i="118"/>
  <c r="K9" i="118"/>
  <c r="J9" i="118"/>
  <c r="I9" i="118"/>
  <c r="H9" i="118"/>
  <c r="G9" i="118"/>
  <c r="F9" i="118"/>
  <c r="E9" i="118"/>
  <c r="D9" i="118"/>
  <c r="C9" i="118"/>
  <c r="L8" i="118"/>
  <c r="H8" i="118"/>
  <c r="B4" i="118"/>
  <c r="B3" i="118"/>
  <c r="B2" i="118"/>
  <c r="F13" i="117"/>
  <c r="P13" i="117" s="1"/>
  <c r="F15" i="117"/>
  <c r="F17" i="117"/>
  <c r="P17" i="117" s="1"/>
  <c r="F19" i="117"/>
  <c r="P19" i="117" s="1"/>
  <c r="E15" i="117"/>
  <c r="E17" i="117"/>
  <c r="E19" i="117"/>
  <c r="E13" i="117"/>
  <c r="D13" i="117"/>
  <c r="D15" i="117"/>
  <c r="D17" i="117"/>
  <c r="D19" i="117"/>
  <c r="C15" i="117"/>
  <c r="C17" i="117"/>
  <c r="C19" i="117"/>
  <c r="C13" i="117"/>
  <c r="Q11" i="117"/>
  <c r="P11" i="117"/>
  <c r="O11" i="117"/>
  <c r="N11" i="117"/>
  <c r="M11" i="117"/>
  <c r="L11" i="117"/>
  <c r="K11" i="117"/>
  <c r="J11" i="117"/>
  <c r="I11" i="117"/>
  <c r="H11" i="117"/>
  <c r="G11" i="117"/>
  <c r="F11" i="117"/>
  <c r="E11" i="117"/>
  <c r="D11" i="117"/>
  <c r="C11" i="117"/>
  <c r="B11" i="117"/>
  <c r="Q10" i="117"/>
  <c r="P10" i="117"/>
  <c r="O10" i="117"/>
  <c r="N10" i="117"/>
  <c r="M10" i="117"/>
  <c r="L10" i="117"/>
  <c r="K10" i="117"/>
  <c r="J10" i="117"/>
  <c r="I10" i="117"/>
  <c r="H10" i="117"/>
  <c r="G10" i="117"/>
  <c r="F10" i="117"/>
  <c r="E10" i="117"/>
  <c r="D10" i="117"/>
  <c r="C10" i="117"/>
  <c r="B10" i="117"/>
  <c r="Q9" i="117"/>
  <c r="P9" i="117"/>
  <c r="O9" i="117"/>
  <c r="N9" i="117"/>
  <c r="M9" i="117"/>
  <c r="L9" i="117"/>
  <c r="K9" i="117"/>
  <c r="J9" i="117"/>
  <c r="I9" i="117"/>
  <c r="H9" i="117"/>
  <c r="G9" i="117"/>
  <c r="F9" i="117"/>
  <c r="E9" i="117"/>
  <c r="D9" i="117"/>
  <c r="C9" i="117"/>
  <c r="L8" i="117"/>
  <c r="H8" i="117"/>
  <c r="B4" i="117"/>
  <c r="B3" i="117"/>
  <c r="B2" i="117"/>
  <c r="D20" i="116"/>
  <c r="C20" i="116"/>
  <c r="D18" i="116"/>
  <c r="C18" i="116"/>
  <c r="D16" i="116"/>
  <c r="C16" i="116"/>
  <c r="C14" i="116"/>
  <c r="D14" i="116"/>
  <c r="D13" i="116"/>
  <c r="C13" i="116"/>
  <c r="P20" i="116"/>
  <c r="P18" i="116"/>
  <c r="P16" i="116"/>
  <c r="P14" i="116"/>
  <c r="Q11" i="116"/>
  <c r="P11" i="116"/>
  <c r="O11" i="116"/>
  <c r="N11" i="116"/>
  <c r="M11" i="116"/>
  <c r="L11" i="116"/>
  <c r="K11" i="116"/>
  <c r="J11" i="116"/>
  <c r="I11" i="116"/>
  <c r="H11" i="116"/>
  <c r="G11" i="116"/>
  <c r="F11" i="116"/>
  <c r="E11" i="116"/>
  <c r="D11" i="116"/>
  <c r="C11" i="116"/>
  <c r="B11" i="116"/>
  <c r="Q10" i="116"/>
  <c r="P10" i="116"/>
  <c r="O10" i="116"/>
  <c r="N10" i="116"/>
  <c r="M10" i="116"/>
  <c r="L10" i="116"/>
  <c r="K10" i="116"/>
  <c r="J10" i="116"/>
  <c r="I10" i="116"/>
  <c r="H10" i="116"/>
  <c r="G10" i="116"/>
  <c r="F10" i="116"/>
  <c r="E10" i="116"/>
  <c r="D10" i="116"/>
  <c r="C10" i="116"/>
  <c r="B10" i="116"/>
  <c r="Q9" i="116"/>
  <c r="P9" i="116"/>
  <c r="O9" i="116"/>
  <c r="N9" i="116"/>
  <c r="M9" i="116"/>
  <c r="L9" i="116"/>
  <c r="K9" i="116"/>
  <c r="J9" i="116"/>
  <c r="I9" i="116"/>
  <c r="H9" i="116"/>
  <c r="G9" i="116"/>
  <c r="F9" i="116"/>
  <c r="E9" i="116"/>
  <c r="D9" i="116"/>
  <c r="C9" i="116"/>
  <c r="L8" i="116"/>
  <c r="H8" i="116"/>
  <c r="B4" i="116"/>
  <c r="B3" i="116"/>
  <c r="B2" i="116"/>
  <c r="F13" i="115"/>
  <c r="P13" i="115" s="1"/>
  <c r="F14" i="115"/>
  <c r="P14" i="115" s="1"/>
  <c r="F16" i="115"/>
  <c r="P16" i="115" s="1"/>
  <c r="F18" i="115"/>
  <c r="P18" i="115" s="1"/>
  <c r="F20" i="115"/>
  <c r="E13" i="115"/>
  <c r="E16" i="115"/>
  <c r="E14" i="115"/>
  <c r="E18" i="115"/>
  <c r="E20" i="115"/>
  <c r="D13" i="115"/>
  <c r="D14" i="115"/>
  <c r="D16" i="115"/>
  <c r="D18" i="115"/>
  <c r="D20" i="115"/>
  <c r="C16" i="115"/>
  <c r="C13" i="115"/>
  <c r="C14" i="115"/>
  <c r="C18" i="115"/>
  <c r="C20" i="115"/>
  <c r="P20" i="115"/>
  <c r="Q11" i="115"/>
  <c r="P11" i="115"/>
  <c r="O11" i="115"/>
  <c r="N11" i="115"/>
  <c r="M11" i="115"/>
  <c r="L11" i="115"/>
  <c r="K11" i="115"/>
  <c r="J11" i="115"/>
  <c r="I11" i="115"/>
  <c r="H11" i="115"/>
  <c r="G11" i="115"/>
  <c r="F11" i="115"/>
  <c r="E11" i="115"/>
  <c r="D11" i="115"/>
  <c r="C11" i="115"/>
  <c r="B11" i="115"/>
  <c r="Q10" i="115"/>
  <c r="P10" i="115"/>
  <c r="O10" i="115"/>
  <c r="N10" i="115"/>
  <c r="M10" i="115"/>
  <c r="L10" i="115"/>
  <c r="K10" i="115"/>
  <c r="J10" i="115"/>
  <c r="I10" i="115"/>
  <c r="H10" i="115"/>
  <c r="G10" i="115"/>
  <c r="F10" i="115"/>
  <c r="E10" i="115"/>
  <c r="D10" i="115"/>
  <c r="C10" i="115"/>
  <c r="B10" i="115"/>
  <c r="Q9" i="115"/>
  <c r="P9" i="115"/>
  <c r="O9" i="115"/>
  <c r="N9" i="115"/>
  <c r="M9" i="115"/>
  <c r="L9" i="115"/>
  <c r="K9" i="115"/>
  <c r="J9" i="115"/>
  <c r="I9" i="115"/>
  <c r="H9" i="115"/>
  <c r="G9" i="115"/>
  <c r="F9" i="115"/>
  <c r="E9" i="115"/>
  <c r="D9" i="115"/>
  <c r="C9" i="115"/>
  <c r="L8" i="115"/>
  <c r="H8" i="115"/>
  <c r="B4" i="115"/>
  <c r="B3" i="115"/>
  <c r="B2" i="115"/>
  <c r="E14" i="114"/>
  <c r="F14" i="114"/>
  <c r="P14" i="114" s="1"/>
  <c r="E16" i="114"/>
  <c r="F16" i="114"/>
  <c r="P16" i="114" s="1"/>
  <c r="F13" i="114"/>
  <c r="P13" i="114" s="1"/>
  <c r="E13" i="114"/>
  <c r="C14" i="114"/>
  <c r="D14" i="114"/>
  <c r="C16" i="114"/>
  <c r="D16" i="114"/>
  <c r="D13" i="114"/>
  <c r="C13" i="114"/>
  <c r="Q11" i="114"/>
  <c r="P11" i="114"/>
  <c r="O11" i="114"/>
  <c r="N11" i="114"/>
  <c r="M11" i="114"/>
  <c r="L11" i="114"/>
  <c r="K11" i="114"/>
  <c r="J11" i="114"/>
  <c r="I11" i="114"/>
  <c r="H11" i="114"/>
  <c r="G11" i="114"/>
  <c r="F11" i="114"/>
  <c r="E11" i="114"/>
  <c r="D11" i="114"/>
  <c r="C11" i="114"/>
  <c r="B11" i="114"/>
  <c r="Q10" i="114"/>
  <c r="P10" i="114"/>
  <c r="O10" i="114"/>
  <c r="N10" i="114"/>
  <c r="M10" i="114"/>
  <c r="L10" i="114"/>
  <c r="K10" i="114"/>
  <c r="J10" i="114"/>
  <c r="I10" i="114"/>
  <c r="H10" i="114"/>
  <c r="G10" i="114"/>
  <c r="F10" i="114"/>
  <c r="E10" i="114"/>
  <c r="D10" i="114"/>
  <c r="C10" i="114"/>
  <c r="B10" i="114"/>
  <c r="Q9" i="114"/>
  <c r="P9" i="114"/>
  <c r="O9" i="114"/>
  <c r="N9" i="114"/>
  <c r="M9" i="114"/>
  <c r="L9" i="114"/>
  <c r="K9" i="114"/>
  <c r="J9" i="114"/>
  <c r="I9" i="114"/>
  <c r="H9" i="114"/>
  <c r="G9" i="114"/>
  <c r="F9" i="114"/>
  <c r="E9" i="114"/>
  <c r="D9" i="114"/>
  <c r="C9" i="114"/>
  <c r="L8" i="114"/>
  <c r="H8" i="114"/>
  <c r="B4" i="114"/>
  <c r="B3" i="114"/>
  <c r="B2" i="114"/>
  <c r="F15" i="113"/>
  <c r="N15" i="113" s="1"/>
  <c r="E15" i="113"/>
  <c r="F17" i="113"/>
  <c r="P17" i="113" s="1"/>
  <c r="E17" i="113"/>
  <c r="F19" i="113"/>
  <c r="P19" i="113" s="1"/>
  <c r="E19" i="113"/>
  <c r="F13" i="113"/>
  <c r="P13" i="113" s="1"/>
  <c r="E13" i="113"/>
  <c r="D15" i="113"/>
  <c r="C15" i="113"/>
  <c r="D17" i="113"/>
  <c r="C17" i="113"/>
  <c r="D19" i="113"/>
  <c r="C19" i="113"/>
  <c r="D13" i="113"/>
  <c r="C13" i="113"/>
  <c r="Q11" i="113"/>
  <c r="P11" i="113"/>
  <c r="O11" i="113"/>
  <c r="N11" i="113"/>
  <c r="M11" i="113"/>
  <c r="L11" i="113"/>
  <c r="K11" i="113"/>
  <c r="J11" i="113"/>
  <c r="I11" i="113"/>
  <c r="H11" i="113"/>
  <c r="G11" i="113"/>
  <c r="F11" i="113"/>
  <c r="E11" i="113"/>
  <c r="D11" i="113"/>
  <c r="C11" i="113"/>
  <c r="B11" i="113"/>
  <c r="Q10" i="113"/>
  <c r="P10" i="113"/>
  <c r="O10" i="113"/>
  <c r="N10" i="113"/>
  <c r="M10" i="113"/>
  <c r="L10" i="113"/>
  <c r="K10" i="113"/>
  <c r="J10" i="113"/>
  <c r="I10" i="113"/>
  <c r="H10" i="113"/>
  <c r="G10" i="113"/>
  <c r="F10" i="113"/>
  <c r="E10" i="113"/>
  <c r="D10" i="113"/>
  <c r="C10" i="113"/>
  <c r="B10" i="113"/>
  <c r="Q9" i="113"/>
  <c r="P9" i="113"/>
  <c r="O9" i="113"/>
  <c r="N9" i="113"/>
  <c r="M9" i="113"/>
  <c r="L9" i="113"/>
  <c r="K9" i="113"/>
  <c r="J9" i="113"/>
  <c r="I9" i="113"/>
  <c r="H9" i="113"/>
  <c r="G9" i="113"/>
  <c r="F9" i="113"/>
  <c r="E9" i="113"/>
  <c r="D9" i="113"/>
  <c r="C9" i="113"/>
  <c r="L8" i="113"/>
  <c r="H8" i="113"/>
  <c r="B4" i="113"/>
  <c r="B3" i="113"/>
  <c r="B2" i="113"/>
  <c r="F17" i="112"/>
  <c r="P17" i="112" s="1"/>
  <c r="E17" i="112"/>
  <c r="F15" i="112"/>
  <c r="P15" i="112" s="1"/>
  <c r="E15" i="112"/>
  <c r="F13" i="112"/>
  <c r="P13" i="112" s="1"/>
  <c r="E13" i="112"/>
  <c r="D17" i="112"/>
  <c r="C17" i="112"/>
  <c r="D15" i="112"/>
  <c r="C15" i="112"/>
  <c r="D13" i="112"/>
  <c r="C13" i="112"/>
  <c r="Q11" i="112"/>
  <c r="P11" i="112"/>
  <c r="O11" i="112"/>
  <c r="N11" i="112"/>
  <c r="M11" i="112"/>
  <c r="L11" i="112"/>
  <c r="K11" i="112"/>
  <c r="J11" i="112"/>
  <c r="I11" i="112"/>
  <c r="H11" i="112"/>
  <c r="G11" i="112"/>
  <c r="F11" i="112"/>
  <c r="E11" i="112"/>
  <c r="D11" i="112"/>
  <c r="C11" i="112"/>
  <c r="B11" i="112"/>
  <c r="Q10" i="112"/>
  <c r="P10" i="112"/>
  <c r="O10" i="112"/>
  <c r="N10" i="112"/>
  <c r="M10" i="112"/>
  <c r="L10" i="112"/>
  <c r="K10" i="112"/>
  <c r="J10" i="112"/>
  <c r="I10" i="112"/>
  <c r="H10" i="112"/>
  <c r="G10" i="112"/>
  <c r="F10" i="112"/>
  <c r="E10" i="112"/>
  <c r="D10" i="112"/>
  <c r="C10" i="112"/>
  <c r="B10" i="112"/>
  <c r="Q9" i="112"/>
  <c r="P9" i="112"/>
  <c r="O9" i="112"/>
  <c r="N9" i="112"/>
  <c r="M9" i="112"/>
  <c r="L9" i="112"/>
  <c r="K9" i="112"/>
  <c r="J9" i="112"/>
  <c r="I9" i="112"/>
  <c r="H9" i="112"/>
  <c r="G9" i="112"/>
  <c r="F9" i="112"/>
  <c r="E9" i="112"/>
  <c r="D9" i="112"/>
  <c r="C9" i="112"/>
  <c r="L8" i="112"/>
  <c r="H8" i="112"/>
  <c r="B4" i="112"/>
  <c r="B3" i="112"/>
  <c r="B2" i="112"/>
  <c r="E14" i="111"/>
  <c r="G64" i="111" s="1"/>
  <c r="F14" i="111"/>
  <c r="P14" i="111" s="1"/>
  <c r="E16" i="111"/>
  <c r="F60" i="111" s="1"/>
  <c r="F16" i="111"/>
  <c r="P16" i="111" s="1"/>
  <c r="E18" i="111"/>
  <c r="F18" i="111"/>
  <c r="P18" i="111" s="1"/>
  <c r="F13" i="111"/>
  <c r="P13" i="111" s="1"/>
  <c r="E13" i="111"/>
  <c r="G63" i="111" s="1"/>
  <c r="C14" i="111"/>
  <c r="D14" i="111"/>
  <c r="C16" i="111"/>
  <c r="D16" i="111"/>
  <c r="C18" i="111"/>
  <c r="D18" i="111"/>
  <c r="D13" i="111"/>
  <c r="C13" i="111"/>
  <c r="Q11" i="111"/>
  <c r="P11" i="111"/>
  <c r="O11" i="111"/>
  <c r="N11" i="111"/>
  <c r="M11" i="111"/>
  <c r="L11" i="111"/>
  <c r="K11" i="111"/>
  <c r="J11" i="111"/>
  <c r="I11" i="111"/>
  <c r="H11" i="111"/>
  <c r="G11" i="111"/>
  <c r="F11" i="111"/>
  <c r="E11" i="111"/>
  <c r="D11" i="111"/>
  <c r="C11" i="111"/>
  <c r="B11" i="111"/>
  <c r="Q10" i="111"/>
  <c r="P10" i="111"/>
  <c r="O10" i="111"/>
  <c r="N10" i="111"/>
  <c r="M10" i="111"/>
  <c r="L10" i="111"/>
  <c r="K10" i="111"/>
  <c r="J10" i="111"/>
  <c r="I10" i="111"/>
  <c r="H10" i="111"/>
  <c r="G10" i="111"/>
  <c r="F10" i="111"/>
  <c r="E10" i="111"/>
  <c r="D10" i="111"/>
  <c r="C10" i="111"/>
  <c r="B10" i="111"/>
  <c r="Q9" i="111"/>
  <c r="P9" i="111"/>
  <c r="O9" i="111"/>
  <c r="N9" i="111"/>
  <c r="M9" i="111"/>
  <c r="L9" i="111"/>
  <c r="K9" i="111"/>
  <c r="J9" i="111"/>
  <c r="I9" i="111"/>
  <c r="H9" i="111"/>
  <c r="G9" i="111"/>
  <c r="F9" i="111"/>
  <c r="E9" i="111"/>
  <c r="D9" i="111"/>
  <c r="C9" i="111"/>
  <c r="L8" i="111"/>
  <c r="H8" i="111"/>
  <c r="B4" i="111"/>
  <c r="B3" i="111"/>
  <c r="B2" i="111"/>
  <c r="E14" i="110"/>
  <c r="F14" i="110"/>
  <c r="P14" i="110" s="1"/>
  <c r="E16" i="110"/>
  <c r="F16" i="110"/>
  <c r="P16" i="110" s="1"/>
  <c r="E18" i="110"/>
  <c r="F18" i="110"/>
  <c r="P18" i="110" s="1"/>
  <c r="F13" i="110"/>
  <c r="P13" i="110" s="1"/>
  <c r="E13" i="110"/>
  <c r="C14" i="110"/>
  <c r="D14" i="110"/>
  <c r="C16" i="110"/>
  <c r="D16" i="110"/>
  <c r="C18" i="110"/>
  <c r="D18" i="110"/>
  <c r="D13" i="110"/>
  <c r="C13" i="110"/>
  <c r="Q11" i="110"/>
  <c r="P11" i="110"/>
  <c r="O11" i="110"/>
  <c r="N11" i="110"/>
  <c r="M11" i="110"/>
  <c r="L11" i="110"/>
  <c r="K11" i="110"/>
  <c r="J11" i="110"/>
  <c r="I11" i="110"/>
  <c r="H11" i="110"/>
  <c r="G11" i="110"/>
  <c r="F11" i="110"/>
  <c r="E11" i="110"/>
  <c r="D11" i="110"/>
  <c r="C11" i="110"/>
  <c r="B11" i="110"/>
  <c r="Q10" i="110"/>
  <c r="P10" i="110"/>
  <c r="O10" i="110"/>
  <c r="N10" i="110"/>
  <c r="M10" i="110"/>
  <c r="L10" i="110"/>
  <c r="K10" i="110"/>
  <c r="J10" i="110"/>
  <c r="I10" i="110"/>
  <c r="H10" i="110"/>
  <c r="G10" i="110"/>
  <c r="F10" i="110"/>
  <c r="E10" i="110"/>
  <c r="D10" i="110"/>
  <c r="C10" i="110"/>
  <c r="B10" i="110"/>
  <c r="Q9" i="110"/>
  <c r="P9" i="110"/>
  <c r="O9" i="110"/>
  <c r="N9" i="110"/>
  <c r="M9" i="110"/>
  <c r="L9" i="110"/>
  <c r="K9" i="110"/>
  <c r="J9" i="110"/>
  <c r="I9" i="110"/>
  <c r="H9" i="110"/>
  <c r="G9" i="110"/>
  <c r="F9" i="110"/>
  <c r="E9" i="110"/>
  <c r="D9" i="110"/>
  <c r="C9" i="110"/>
  <c r="L8" i="110"/>
  <c r="H8" i="110"/>
  <c r="B4" i="110"/>
  <c r="B3" i="110"/>
  <c r="B2" i="110"/>
  <c r="E14" i="109"/>
  <c r="F14" i="109"/>
  <c r="P14" i="109" s="1"/>
  <c r="E16" i="109"/>
  <c r="F16" i="109"/>
  <c r="F13" i="109"/>
  <c r="P13" i="109" s="1"/>
  <c r="E13" i="109"/>
  <c r="C14" i="109"/>
  <c r="D14" i="109"/>
  <c r="C16" i="109"/>
  <c r="D16" i="109"/>
  <c r="D13" i="109"/>
  <c r="C13" i="109"/>
  <c r="Q11" i="109"/>
  <c r="P11" i="109"/>
  <c r="O11" i="109"/>
  <c r="N11" i="109"/>
  <c r="M11" i="109"/>
  <c r="L11" i="109"/>
  <c r="K11" i="109"/>
  <c r="J11" i="109"/>
  <c r="I11" i="109"/>
  <c r="H11" i="109"/>
  <c r="G11" i="109"/>
  <c r="F11" i="109"/>
  <c r="E11" i="109"/>
  <c r="D11" i="109"/>
  <c r="C11" i="109"/>
  <c r="B11" i="109"/>
  <c r="Q10" i="109"/>
  <c r="P10" i="109"/>
  <c r="O10" i="109"/>
  <c r="N10" i="109"/>
  <c r="M10" i="109"/>
  <c r="L10" i="109"/>
  <c r="K10" i="109"/>
  <c r="J10" i="109"/>
  <c r="I10" i="109"/>
  <c r="H10" i="109"/>
  <c r="G10" i="109"/>
  <c r="F10" i="109"/>
  <c r="E10" i="109"/>
  <c r="D10" i="109"/>
  <c r="C10" i="109"/>
  <c r="B10" i="109"/>
  <c r="Q9" i="109"/>
  <c r="P9" i="109"/>
  <c r="O9" i="109"/>
  <c r="N9" i="109"/>
  <c r="M9" i="109"/>
  <c r="L9" i="109"/>
  <c r="K9" i="109"/>
  <c r="J9" i="109"/>
  <c r="I9" i="109"/>
  <c r="H9" i="109"/>
  <c r="G9" i="109"/>
  <c r="F9" i="109"/>
  <c r="E9" i="109"/>
  <c r="D9" i="109"/>
  <c r="C9" i="109"/>
  <c r="L8" i="109"/>
  <c r="H8" i="109"/>
  <c r="B4" i="109"/>
  <c r="B3" i="109"/>
  <c r="B2" i="109"/>
  <c r="E14" i="108"/>
  <c r="F14" i="108"/>
  <c r="P14" i="108" s="1"/>
  <c r="E16" i="108"/>
  <c r="F16" i="108"/>
  <c r="F13" i="108"/>
  <c r="P13" i="108" s="1"/>
  <c r="E13" i="108"/>
  <c r="C16" i="108"/>
  <c r="D16" i="108"/>
  <c r="Q11" i="108"/>
  <c r="P11" i="108"/>
  <c r="O11" i="108"/>
  <c r="N11" i="108"/>
  <c r="M11" i="108"/>
  <c r="L11" i="108"/>
  <c r="K11" i="108"/>
  <c r="J11" i="108"/>
  <c r="I11" i="108"/>
  <c r="H11" i="108"/>
  <c r="G11" i="108"/>
  <c r="F11" i="108"/>
  <c r="E11" i="108"/>
  <c r="D11" i="108"/>
  <c r="C11" i="108"/>
  <c r="B11" i="108"/>
  <c r="Q10" i="108"/>
  <c r="P10" i="108"/>
  <c r="O10" i="108"/>
  <c r="N10" i="108"/>
  <c r="M10" i="108"/>
  <c r="L10" i="108"/>
  <c r="K10" i="108"/>
  <c r="J10" i="108"/>
  <c r="I10" i="108"/>
  <c r="H10" i="108"/>
  <c r="G10" i="108"/>
  <c r="F10" i="108"/>
  <c r="E10" i="108"/>
  <c r="D10" i="108"/>
  <c r="C10" i="108"/>
  <c r="B10" i="108"/>
  <c r="Q9" i="108"/>
  <c r="P9" i="108"/>
  <c r="O9" i="108"/>
  <c r="N9" i="108"/>
  <c r="M9" i="108"/>
  <c r="L9" i="108"/>
  <c r="K9" i="108"/>
  <c r="J9" i="108"/>
  <c r="I9" i="108"/>
  <c r="H9" i="108"/>
  <c r="G9" i="108"/>
  <c r="F9" i="108"/>
  <c r="E9" i="108"/>
  <c r="D9" i="108"/>
  <c r="C9" i="108"/>
  <c r="L8" i="108"/>
  <c r="H8" i="108"/>
  <c r="B4" i="108"/>
  <c r="B3" i="108"/>
  <c r="B2" i="108"/>
  <c r="E15" i="107"/>
  <c r="F15" i="107"/>
  <c r="F13" i="107"/>
  <c r="P13" i="107" s="1"/>
  <c r="E13" i="107"/>
  <c r="D13" i="107"/>
  <c r="D15" i="107"/>
  <c r="C15" i="107"/>
  <c r="C13" i="107"/>
  <c r="Q11" i="107"/>
  <c r="P11" i="107"/>
  <c r="O11" i="107"/>
  <c r="N11" i="107"/>
  <c r="M11" i="107"/>
  <c r="L11" i="107"/>
  <c r="K11" i="107"/>
  <c r="J11" i="107"/>
  <c r="I11" i="107"/>
  <c r="H11" i="107"/>
  <c r="G11" i="107"/>
  <c r="F11" i="107"/>
  <c r="E11" i="107"/>
  <c r="D11" i="107"/>
  <c r="C11" i="107"/>
  <c r="B11" i="107"/>
  <c r="Q10" i="107"/>
  <c r="P10" i="107"/>
  <c r="O10" i="107"/>
  <c r="N10" i="107"/>
  <c r="M10" i="107"/>
  <c r="L10" i="107"/>
  <c r="K10" i="107"/>
  <c r="J10" i="107"/>
  <c r="I10" i="107"/>
  <c r="H10" i="107"/>
  <c r="G10" i="107"/>
  <c r="F10" i="107"/>
  <c r="E10" i="107"/>
  <c r="D10" i="107"/>
  <c r="C10" i="107"/>
  <c r="B10" i="107"/>
  <c r="Q9" i="107"/>
  <c r="P9" i="107"/>
  <c r="O9" i="107"/>
  <c r="N9" i="107"/>
  <c r="M9" i="107"/>
  <c r="L9" i="107"/>
  <c r="K9" i="107"/>
  <c r="J9" i="107"/>
  <c r="I9" i="107"/>
  <c r="H9" i="107"/>
  <c r="G9" i="107"/>
  <c r="F9" i="107"/>
  <c r="E9" i="107"/>
  <c r="D9" i="107"/>
  <c r="C9" i="107"/>
  <c r="L8" i="107"/>
  <c r="H8" i="107"/>
  <c r="B4" i="107"/>
  <c r="B3" i="107"/>
  <c r="B2" i="107"/>
  <c r="E14" i="106"/>
  <c r="F14" i="106"/>
  <c r="P14" i="106" s="1"/>
  <c r="E15" i="106"/>
  <c r="F15" i="106"/>
  <c r="P15" i="106" s="1"/>
  <c r="E17" i="106"/>
  <c r="F17" i="106"/>
  <c r="P17" i="106" s="1"/>
  <c r="F13" i="106"/>
  <c r="P13" i="106" s="1"/>
  <c r="E13" i="106"/>
  <c r="C14" i="106"/>
  <c r="D14" i="106"/>
  <c r="C15" i="106"/>
  <c r="D15" i="106"/>
  <c r="C17" i="106"/>
  <c r="D17" i="106"/>
  <c r="D13" i="106"/>
  <c r="C13" i="106"/>
  <c r="Q11" i="106"/>
  <c r="P11" i="106"/>
  <c r="O11" i="106"/>
  <c r="N11" i="106"/>
  <c r="M11" i="106"/>
  <c r="L11" i="106"/>
  <c r="K11" i="106"/>
  <c r="J11" i="106"/>
  <c r="I11" i="106"/>
  <c r="H11" i="106"/>
  <c r="G11" i="106"/>
  <c r="F11" i="106"/>
  <c r="E11" i="106"/>
  <c r="D11" i="106"/>
  <c r="C11" i="106"/>
  <c r="B11" i="106"/>
  <c r="Q10" i="106"/>
  <c r="P10" i="106"/>
  <c r="O10" i="106"/>
  <c r="N10" i="106"/>
  <c r="M10" i="106"/>
  <c r="L10" i="106"/>
  <c r="K10" i="106"/>
  <c r="J10" i="106"/>
  <c r="I10" i="106"/>
  <c r="H10" i="106"/>
  <c r="G10" i="106"/>
  <c r="F10" i="106"/>
  <c r="E10" i="106"/>
  <c r="D10" i="106"/>
  <c r="C10" i="106"/>
  <c r="B10" i="106"/>
  <c r="Q9" i="106"/>
  <c r="P9" i="106"/>
  <c r="O9" i="106"/>
  <c r="N9" i="106"/>
  <c r="M9" i="106"/>
  <c r="L9" i="106"/>
  <c r="K9" i="106"/>
  <c r="J9" i="106"/>
  <c r="I9" i="106"/>
  <c r="H9" i="106"/>
  <c r="G9" i="106"/>
  <c r="F9" i="106"/>
  <c r="E9" i="106"/>
  <c r="D9" i="106"/>
  <c r="C9" i="106"/>
  <c r="L8" i="106"/>
  <c r="H8" i="106"/>
  <c r="B4" i="106"/>
  <c r="B3" i="106"/>
  <c r="B2" i="106"/>
  <c r="E14" i="105"/>
  <c r="F14" i="105"/>
  <c r="P14" i="105" s="1"/>
  <c r="E16" i="105"/>
  <c r="F16" i="105"/>
  <c r="P16" i="105" s="1"/>
  <c r="F13" i="105"/>
  <c r="P13" i="105" s="1"/>
  <c r="E13" i="105"/>
  <c r="C14" i="105"/>
  <c r="D14" i="105"/>
  <c r="D16" i="105"/>
  <c r="D13" i="105"/>
  <c r="C13" i="105"/>
  <c r="Q11" i="105"/>
  <c r="P11" i="105"/>
  <c r="O11" i="105"/>
  <c r="N11" i="105"/>
  <c r="M11" i="105"/>
  <c r="L11" i="105"/>
  <c r="K11" i="105"/>
  <c r="J11" i="105"/>
  <c r="I11" i="105"/>
  <c r="H11" i="105"/>
  <c r="G11" i="105"/>
  <c r="F11" i="105"/>
  <c r="E11" i="105"/>
  <c r="D11" i="105"/>
  <c r="C11" i="105"/>
  <c r="B11" i="105"/>
  <c r="Q10" i="105"/>
  <c r="P10" i="105"/>
  <c r="O10" i="105"/>
  <c r="N10" i="105"/>
  <c r="M10" i="105"/>
  <c r="L10" i="105"/>
  <c r="K10" i="105"/>
  <c r="J10" i="105"/>
  <c r="I10" i="105"/>
  <c r="H10" i="105"/>
  <c r="G10" i="105"/>
  <c r="F10" i="105"/>
  <c r="E10" i="105"/>
  <c r="D10" i="105"/>
  <c r="C10" i="105"/>
  <c r="B10" i="105"/>
  <c r="Q9" i="105"/>
  <c r="P9" i="105"/>
  <c r="O9" i="105"/>
  <c r="N9" i="105"/>
  <c r="M9" i="105"/>
  <c r="L9" i="105"/>
  <c r="K9" i="105"/>
  <c r="J9" i="105"/>
  <c r="I9" i="105"/>
  <c r="H9" i="105"/>
  <c r="G9" i="105"/>
  <c r="F9" i="105"/>
  <c r="E9" i="105"/>
  <c r="D9" i="105"/>
  <c r="C9" i="105"/>
  <c r="L8" i="105"/>
  <c r="H8" i="105"/>
  <c r="B4" i="105"/>
  <c r="B3" i="105"/>
  <c r="B2" i="105"/>
  <c r="E14" i="104"/>
  <c r="F14" i="104"/>
  <c r="P14" i="104" s="1"/>
  <c r="E16" i="104"/>
  <c r="E61" i="104" s="1"/>
  <c r="F16" i="104"/>
  <c r="P16" i="104" s="1"/>
  <c r="E18" i="104"/>
  <c r="F18" i="104"/>
  <c r="P18" i="104" s="1"/>
  <c r="F13" i="104"/>
  <c r="P13" i="104" s="1"/>
  <c r="E13" i="104"/>
  <c r="C18" i="104"/>
  <c r="D18" i="104"/>
  <c r="D13" i="104"/>
  <c r="D14" i="104"/>
  <c r="Q11" i="104"/>
  <c r="P11" i="104"/>
  <c r="O11" i="104"/>
  <c r="N11" i="104"/>
  <c r="M11" i="104"/>
  <c r="L11" i="104"/>
  <c r="K11" i="104"/>
  <c r="J11" i="104"/>
  <c r="I11" i="104"/>
  <c r="H11" i="104"/>
  <c r="G11" i="104"/>
  <c r="F11" i="104"/>
  <c r="E11" i="104"/>
  <c r="D11" i="104"/>
  <c r="C11" i="104"/>
  <c r="B11" i="104"/>
  <c r="Q10" i="104"/>
  <c r="P10" i="104"/>
  <c r="O10" i="104"/>
  <c r="N10" i="104"/>
  <c r="M10" i="104"/>
  <c r="L10" i="104"/>
  <c r="K10" i="104"/>
  <c r="J10" i="104"/>
  <c r="I10" i="104"/>
  <c r="H10" i="104"/>
  <c r="G10" i="104"/>
  <c r="F10" i="104"/>
  <c r="E10" i="104"/>
  <c r="D10" i="104"/>
  <c r="C10" i="104"/>
  <c r="B10" i="104"/>
  <c r="Q9" i="104"/>
  <c r="P9" i="104"/>
  <c r="O9" i="104"/>
  <c r="N9" i="104"/>
  <c r="M9" i="104"/>
  <c r="L9" i="104"/>
  <c r="K9" i="104"/>
  <c r="J9" i="104"/>
  <c r="I9" i="104"/>
  <c r="H9" i="104"/>
  <c r="G9" i="104"/>
  <c r="F9" i="104"/>
  <c r="E9" i="104"/>
  <c r="D9" i="104"/>
  <c r="C9" i="104"/>
  <c r="L8" i="104"/>
  <c r="H8" i="104"/>
  <c r="B4" i="104"/>
  <c r="B3" i="104"/>
  <c r="B2" i="104"/>
  <c r="E16" i="102"/>
  <c r="F16" i="102"/>
  <c r="P16" i="102" s="1"/>
  <c r="E14" i="102"/>
  <c r="F14" i="102"/>
  <c r="P14" i="102" s="1"/>
  <c r="F13" i="102"/>
  <c r="P13" i="102" s="1"/>
  <c r="E13" i="102"/>
  <c r="C14" i="102"/>
  <c r="D14" i="102"/>
  <c r="C16" i="102"/>
  <c r="D16" i="102"/>
  <c r="D13" i="102"/>
  <c r="C13" i="102"/>
  <c r="Q11" i="102"/>
  <c r="P11" i="102"/>
  <c r="O11" i="102"/>
  <c r="N11" i="102"/>
  <c r="M11" i="102"/>
  <c r="L11" i="102"/>
  <c r="K11" i="102"/>
  <c r="J11" i="102"/>
  <c r="I11" i="102"/>
  <c r="H11" i="102"/>
  <c r="G11" i="102"/>
  <c r="F11" i="102"/>
  <c r="E11" i="102"/>
  <c r="D11" i="102"/>
  <c r="C11" i="102"/>
  <c r="B11" i="102"/>
  <c r="Q10" i="102"/>
  <c r="P10" i="102"/>
  <c r="O10" i="102"/>
  <c r="N10" i="102"/>
  <c r="M10" i="102"/>
  <c r="L10" i="102"/>
  <c r="K10" i="102"/>
  <c r="J10" i="102"/>
  <c r="I10" i="102"/>
  <c r="H10" i="102"/>
  <c r="G10" i="102"/>
  <c r="F10" i="102"/>
  <c r="E10" i="102"/>
  <c r="D10" i="102"/>
  <c r="C10" i="102"/>
  <c r="B10" i="102"/>
  <c r="Q9" i="102"/>
  <c r="P9" i="102"/>
  <c r="O9" i="102"/>
  <c r="N9" i="102"/>
  <c r="M9" i="102"/>
  <c r="L9" i="102"/>
  <c r="K9" i="102"/>
  <c r="J9" i="102"/>
  <c r="I9" i="102"/>
  <c r="H9" i="102"/>
  <c r="G9" i="102"/>
  <c r="F9" i="102"/>
  <c r="E9" i="102"/>
  <c r="D9" i="102"/>
  <c r="C9" i="102"/>
  <c r="L8" i="102"/>
  <c r="H8" i="102"/>
  <c r="B4" i="102"/>
  <c r="B3" i="102"/>
  <c r="B2" i="102"/>
  <c r="N16" i="105" l="1"/>
  <c r="G17" i="124"/>
  <c r="G21" i="124"/>
  <c r="G16" i="124"/>
  <c r="G19" i="124"/>
  <c r="G15" i="124"/>
  <c r="G13" i="123"/>
  <c r="G13" i="124"/>
  <c r="G23" i="124"/>
  <c r="P15" i="118"/>
  <c r="P53" i="118" s="1"/>
  <c r="Q31" i="62" s="1"/>
  <c r="N17" i="113"/>
  <c r="G20" i="116"/>
  <c r="N15" i="119"/>
  <c r="N18" i="104"/>
  <c r="N21" i="123"/>
  <c r="N23" i="124"/>
  <c r="P23" i="124"/>
  <c r="G23" i="125"/>
  <c r="P21" i="125"/>
  <c r="N19" i="125"/>
  <c r="G21" i="123"/>
  <c r="N17" i="123"/>
  <c r="M15" i="119"/>
  <c r="G17" i="113"/>
  <c r="N18" i="111"/>
  <c r="N18" i="110"/>
  <c r="P53" i="106"/>
  <c r="Q18" i="62" s="1"/>
  <c r="G17" i="119"/>
  <c r="G20" i="115"/>
  <c r="G16" i="108"/>
  <c r="G18" i="104"/>
  <c r="G16" i="102"/>
  <c r="N21" i="124"/>
  <c r="P15" i="124"/>
  <c r="N19" i="113"/>
  <c r="P23" i="125"/>
  <c r="P53" i="110"/>
  <c r="Q22" i="62" s="1"/>
  <c r="G18" i="116"/>
  <c r="N15" i="123"/>
  <c r="D8" i="124"/>
  <c r="N23" i="125"/>
  <c r="P15" i="125"/>
  <c r="G16" i="104"/>
  <c r="N17" i="106"/>
  <c r="P53" i="102"/>
  <c r="Q12" i="62" s="1"/>
  <c r="G18" i="111"/>
  <c r="P53" i="112"/>
  <c r="Q48" i="62" s="1"/>
  <c r="G19" i="119"/>
  <c r="C8" i="124"/>
  <c r="P16" i="125"/>
  <c r="G13" i="102"/>
  <c r="G16" i="125"/>
  <c r="P53" i="105"/>
  <c r="Q17" i="62" s="1"/>
  <c r="N20" i="115"/>
  <c r="P53" i="115"/>
  <c r="Q28" i="62" s="1"/>
  <c r="N17" i="125"/>
  <c r="P17" i="125"/>
  <c r="G19" i="113"/>
  <c r="G15" i="107"/>
  <c r="P16" i="109"/>
  <c r="P53" i="109" s="1"/>
  <c r="Q21" i="62" s="1"/>
  <c r="N16" i="109"/>
  <c r="P53" i="114"/>
  <c r="Q27" i="62" s="1"/>
  <c r="G15" i="123"/>
  <c r="P53" i="123"/>
  <c r="Q39" i="62" s="1"/>
  <c r="P16" i="108"/>
  <c r="P53" i="108" s="1"/>
  <c r="Q20" i="62" s="1"/>
  <c r="N16" i="108"/>
  <c r="P53" i="104"/>
  <c r="Q16" i="62" s="1"/>
  <c r="G16" i="105"/>
  <c r="G13" i="111"/>
  <c r="P13" i="116"/>
  <c r="P53" i="116" s="1"/>
  <c r="Q29" i="62" s="1"/>
  <c r="P15" i="117"/>
  <c r="P53" i="117" s="1"/>
  <c r="Q30" i="62" s="1"/>
  <c r="N15" i="117"/>
  <c r="G17" i="118"/>
  <c r="P53" i="119"/>
  <c r="Q32" i="62" s="1"/>
  <c r="G16" i="109"/>
  <c r="P53" i="111"/>
  <c r="Q23" i="62" s="1"/>
  <c r="G16" i="116"/>
  <c r="G19" i="118"/>
  <c r="P16" i="124"/>
  <c r="M53" i="126"/>
  <c r="N42" i="62" s="1"/>
  <c r="G15" i="125"/>
  <c r="G13" i="125"/>
  <c r="G17" i="125"/>
  <c r="G19" i="125"/>
  <c r="G21" i="125"/>
  <c r="N17" i="124"/>
  <c r="N16" i="124"/>
  <c r="N19" i="124"/>
  <c r="G17" i="123"/>
  <c r="G14" i="123"/>
  <c r="G16" i="123"/>
  <c r="N16" i="123"/>
  <c r="G19" i="123"/>
  <c r="N19" i="123"/>
  <c r="M13" i="119"/>
  <c r="M19" i="119"/>
  <c r="G13" i="119"/>
  <c r="G15" i="119"/>
  <c r="N17" i="119"/>
  <c r="N19" i="119"/>
  <c r="M17" i="119"/>
  <c r="G13" i="118"/>
  <c r="G15" i="118"/>
  <c r="N17" i="118"/>
  <c r="N19" i="118"/>
  <c r="G13" i="117"/>
  <c r="G15" i="117"/>
  <c r="G17" i="117"/>
  <c r="N17" i="117"/>
  <c r="G19" i="117"/>
  <c r="N19" i="117"/>
  <c r="G13" i="115"/>
  <c r="G16" i="115"/>
  <c r="N16" i="115"/>
  <c r="G18" i="115"/>
  <c r="N18" i="115"/>
  <c r="G14" i="115"/>
  <c r="G13" i="114"/>
  <c r="G16" i="114"/>
  <c r="N16" i="114"/>
  <c r="G14" i="114"/>
  <c r="P15" i="113"/>
  <c r="P53" i="113" s="1"/>
  <c r="Q26" i="62" s="1"/>
  <c r="G15" i="113"/>
  <c r="G13" i="113"/>
  <c r="N15" i="112"/>
  <c r="G15" i="112"/>
  <c r="G17" i="112"/>
  <c r="N17" i="112"/>
  <c r="G13" i="112"/>
  <c r="N16" i="111"/>
  <c r="G16" i="111"/>
  <c r="G14" i="111"/>
  <c r="G18" i="110"/>
  <c r="G13" i="110"/>
  <c r="G16" i="110"/>
  <c r="N16" i="110"/>
  <c r="G14" i="110"/>
  <c r="G13" i="109"/>
  <c r="G14" i="109"/>
  <c r="P15" i="107"/>
  <c r="P53" i="107" s="1"/>
  <c r="Q19" i="62" s="1"/>
  <c r="N15" i="107"/>
  <c r="G13" i="107"/>
  <c r="G15" i="106"/>
  <c r="G17" i="106"/>
  <c r="G13" i="106"/>
  <c r="G14" i="106"/>
  <c r="G13" i="105"/>
  <c r="G14" i="105"/>
  <c r="N16" i="104"/>
  <c r="N16" i="102"/>
  <c r="G14" i="102"/>
  <c r="P15" i="101"/>
  <c r="P16" i="101"/>
  <c r="P18" i="101"/>
  <c r="P21" i="101"/>
  <c r="P22" i="101"/>
  <c r="P23" i="101"/>
  <c r="P24" i="101"/>
  <c r="P25" i="101"/>
  <c r="P26" i="101"/>
  <c r="P27" i="101"/>
  <c r="P28" i="101"/>
  <c r="N15" i="101"/>
  <c r="N16" i="101"/>
  <c r="N18" i="101"/>
  <c r="N21" i="101"/>
  <c r="N22" i="101"/>
  <c r="N23" i="101"/>
  <c r="N24" i="101"/>
  <c r="N25" i="101"/>
  <c r="N26" i="101"/>
  <c r="N27" i="101"/>
  <c r="N28" i="101"/>
  <c r="M22" i="101"/>
  <c r="M23" i="101"/>
  <c r="M24" i="101"/>
  <c r="M25" i="101"/>
  <c r="M26" i="101"/>
  <c r="M27" i="101"/>
  <c r="M28" i="101"/>
  <c r="B2" i="101"/>
  <c r="B3" i="101"/>
  <c r="B4" i="101"/>
  <c r="H8" i="101"/>
  <c r="L8" i="101"/>
  <c r="C9" i="101"/>
  <c r="D9" i="101"/>
  <c r="E9" i="101"/>
  <c r="F9" i="101"/>
  <c r="G9" i="101"/>
  <c r="H9" i="101"/>
  <c r="I9" i="101"/>
  <c r="J9" i="101"/>
  <c r="K9" i="101"/>
  <c r="L9" i="101"/>
  <c r="M9" i="101"/>
  <c r="N9" i="101"/>
  <c r="O9" i="101"/>
  <c r="P9" i="101"/>
  <c r="Q9" i="101"/>
  <c r="B10" i="101"/>
  <c r="C10" i="101"/>
  <c r="D10" i="101"/>
  <c r="E10" i="101"/>
  <c r="F10" i="101"/>
  <c r="G10" i="101"/>
  <c r="H10" i="101"/>
  <c r="I10" i="101"/>
  <c r="J10" i="101"/>
  <c r="K10" i="101"/>
  <c r="L10" i="101"/>
  <c r="M10" i="101"/>
  <c r="N10" i="101"/>
  <c r="O10" i="101"/>
  <c r="P10" i="101"/>
  <c r="Q10" i="101"/>
  <c r="B11" i="101"/>
  <c r="C11" i="101"/>
  <c r="D11" i="101"/>
  <c r="E11" i="101"/>
  <c r="F11" i="101"/>
  <c r="G11" i="101"/>
  <c r="H11" i="101"/>
  <c r="I11" i="101"/>
  <c r="J11" i="101"/>
  <c r="K11" i="101"/>
  <c r="L11" i="101"/>
  <c r="M11" i="101"/>
  <c r="N11" i="101"/>
  <c r="O11" i="101"/>
  <c r="P11" i="101"/>
  <c r="Q11" i="101"/>
  <c r="C13" i="101"/>
  <c r="D13" i="101"/>
  <c r="E13" i="101"/>
  <c r="F13" i="101"/>
  <c r="P13" i="101" s="1"/>
  <c r="C14" i="101"/>
  <c r="D14" i="101"/>
  <c r="E14" i="101"/>
  <c r="F14" i="101"/>
  <c r="P14" i="101" s="1"/>
  <c r="C15" i="101"/>
  <c r="D15" i="101"/>
  <c r="G16" i="101"/>
  <c r="C17" i="101"/>
  <c r="D17" i="101"/>
  <c r="E17" i="101"/>
  <c r="F17" i="101"/>
  <c r="P17" i="101" s="1"/>
  <c r="G18" i="101"/>
  <c r="G21" i="101"/>
  <c r="G22" i="101"/>
  <c r="G23" i="101"/>
  <c r="G24" i="101"/>
  <c r="G25" i="101"/>
  <c r="G26" i="101"/>
  <c r="G27" i="101"/>
  <c r="G28" i="101"/>
  <c r="E20" i="101"/>
  <c r="F20" i="101"/>
  <c r="P20" i="101" s="1"/>
  <c r="F19" i="101"/>
  <c r="N19" i="101" s="1"/>
  <c r="E19" i="101"/>
  <c r="C20" i="101"/>
  <c r="D20" i="101"/>
  <c r="D19" i="101"/>
  <c r="C19" i="101"/>
  <c r="P19" i="101" l="1"/>
  <c r="P53" i="101" s="1"/>
  <c r="Q11" i="62" s="1"/>
  <c r="G19" i="101"/>
  <c r="G14" i="101"/>
  <c r="G13" i="101"/>
  <c r="G17" i="101"/>
  <c r="M53" i="109"/>
  <c r="N21" i="62" s="1"/>
  <c r="P53" i="124"/>
  <c r="Q40" i="62" s="1"/>
  <c r="P54" i="125"/>
  <c r="Q41" i="62" s="1"/>
  <c r="N20" i="101"/>
  <c r="G20" i="101"/>
  <c r="G15" i="101"/>
  <c r="N17" i="101"/>
  <c r="M53" i="114"/>
  <c r="N27" i="62" s="1"/>
  <c r="M54" i="125"/>
  <c r="N41" i="62" s="1"/>
  <c r="M53" i="124"/>
  <c r="N40" i="62" s="1"/>
  <c r="M53" i="123"/>
  <c r="N39" i="62" s="1"/>
  <c r="M53" i="119"/>
  <c r="N32" i="62" s="1"/>
  <c r="M53" i="118"/>
  <c r="N31" i="62" s="1"/>
  <c r="M53" i="117"/>
  <c r="N30" i="62" s="1"/>
  <c r="M53" i="115"/>
  <c r="N28" i="62" s="1"/>
  <c r="M53" i="113"/>
  <c r="N26" i="62" s="1"/>
  <c r="M53" i="112"/>
  <c r="N48" i="62" s="1"/>
  <c r="M53" i="111"/>
  <c r="N23" i="62" s="1"/>
  <c r="M53" i="110"/>
  <c r="N22" i="62" s="1"/>
  <c r="M53" i="107"/>
  <c r="N19" i="62" s="1"/>
  <c r="M53" i="106"/>
  <c r="N18" i="62" s="1"/>
  <c r="M53" i="105"/>
  <c r="N17" i="62" s="1"/>
  <c r="M53" i="104"/>
  <c r="N16" i="62" s="1"/>
  <c r="M53" i="102"/>
  <c r="N12" i="62" s="1"/>
  <c r="D76" i="94" l="1"/>
  <c r="M53" i="101" l="1"/>
  <c r="N11" i="62" s="1"/>
  <c r="A1" i="75" l="1"/>
  <c r="B116" i="94"/>
  <c r="Q43" i="62" l="1"/>
  <c r="Q33" i="62"/>
  <c r="Q24" i="62"/>
  <c r="N43" i="62"/>
  <c r="A1" i="62" l="1"/>
  <c r="P74" i="49"/>
  <c r="K75" i="49"/>
  <c r="I75" i="49"/>
  <c r="G75" i="49"/>
  <c r="E75" i="49"/>
  <c r="C75" i="49"/>
  <c r="B75" i="49"/>
  <c r="O152" i="49"/>
  <c r="O149" i="49"/>
  <c r="O146" i="49"/>
  <c r="O114" i="49"/>
  <c r="O109" i="49"/>
  <c r="O103" i="49"/>
  <c r="O98" i="49"/>
  <c r="O93" i="49"/>
  <c r="O90" i="49"/>
  <c r="O85" i="49"/>
  <c r="O82" i="49"/>
  <c r="O79" i="49"/>
  <c r="D75" i="49"/>
  <c r="F75" i="49"/>
  <c r="H75" i="49"/>
  <c r="J75" i="49"/>
  <c r="L75" i="49"/>
  <c r="O75" i="49"/>
  <c r="O72" i="49"/>
  <c r="O69" i="49"/>
  <c r="O66" i="49"/>
  <c r="O60" i="49"/>
  <c r="O57" i="49"/>
  <c r="O53" i="49"/>
  <c r="S53" i="49"/>
  <c r="O50" i="49"/>
  <c r="O46" i="49"/>
  <c r="O43" i="49"/>
  <c r="O40" i="49"/>
  <c r="O36" i="49"/>
  <c r="O27" i="49"/>
  <c r="O24" i="49"/>
  <c r="L60" i="49"/>
  <c r="K60" i="49"/>
  <c r="J60" i="49"/>
  <c r="I60" i="49"/>
  <c r="H60" i="49"/>
  <c r="G60" i="49"/>
  <c r="F60" i="49"/>
  <c r="E60" i="49"/>
  <c r="D60" i="49"/>
  <c r="C60" i="49"/>
  <c r="P151" i="49"/>
  <c r="P152" i="49" s="1"/>
  <c r="L152" i="49"/>
  <c r="K152" i="49"/>
  <c r="J152" i="49"/>
  <c r="I152" i="49"/>
  <c r="H152" i="49"/>
  <c r="G152" i="49"/>
  <c r="F152" i="49"/>
  <c r="E152" i="49"/>
  <c r="D152" i="49"/>
  <c r="C152" i="49"/>
  <c r="P148" i="49"/>
  <c r="P149" i="49" s="1"/>
  <c r="L149" i="49"/>
  <c r="K149" i="49"/>
  <c r="J149" i="49"/>
  <c r="I149" i="49"/>
  <c r="H149" i="49"/>
  <c r="G149" i="49"/>
  <c r="F149" i="49"/>
  <c r="E149" i="49"/>
  <c r="D149" i="49"/>
  <c r="C149" i="49"/>
  <c r="P145" i="49"/>
  <c r="P135" i="49"/>
  <c r="P134" i="49"/>
  <c r="P133" i="49"/>
  <c r="P132" i="49"/>
  <c r="P131" i="49"/>
  <c r="P130" i="49"/>
  <c r="P129" i="49"/>
  <c r="P128" i="49"/>
  <c r="P127" i="49"/>
  <c r="P126" i="49"/>
  <c r="P125" i="49"/>
  <c r="P124" i="49"/>
  <c r="P123" i="49"/>
  <c r="P122" i="49"/>
  <c r="P121" i="49"/>
  <c r="P120" i="49"/>
  <c r="P119" i="49"/>
  <c r="P118" i="49"/>
  <c r="L146" i="49"/>
  <c r="J146" i="49"/>
  <c r="I146" i="49"/>
  <c r="H146" i="49"/>
  <c r="F146" i="49"/>
  <c r="E146" i="49"/>
  <c r="D146" i="49"/>
  <c r="B146" i="49"/>
  <c r="P113" i="49"/>
  <c r="P112" i="49"/>
  <c r="P111" i="49"/>
  <c r="L114" i="49"/>
  <c r="K114" i="49"/>
  <c r="J114" i="49"/>
  <c r="I114" i="49"/>
  <c r="H114" i="49"/>
  <c r="G114" i="49"/>
  <c r="F114" i="49"/>
  <c r="E114" i="49"/>
  <c r="D114" i="49"/>
  <c r="C114" i="49"/>
  <c r="B114" i="49"/>
  <c r="P108" i="49"/>
  <c r="P107" i="49"/>
  <c r="P106" i="49"/>
  <c r="P105" i="49"/>
  <c r="K109" i="49"/>
  <c r="J109" i="49"/>
  <c r="I109" i="49"/>
  <c r="H109" i="49"/>
  <c r="G109" i="49"/>
  <c r="F109" i="49"/>
  <c r="E109" i="49"/>
  <c r="C109" i="49"/>
  <c r="B109" i="49"/>
  <c r="P102" i="49"/>
  <c r="P101" i="49"/>
  <c r="P100" i="49"/>
  <c r="L103" i="49"/>
  <c r="K103" i="49"/>
  <c r="J103" i="49"/>
  <c r="I103" i="49"/>
  <c r="H103" i="49"/>
  <c r="G103" i="49"/>
  <c r="F103" i="49"/>
  <c r="E103" i="49"/>
  <c r="D103" i="49"/>
  <c r="C103" i="49"/>
  <c r="B103" i="49"/>
  <c r="P97" i="49"/>
  <c r="P98" i="49" s="1"/>
  <c r="L98" i="49"/>
  <c r="K98" i="49"/>
  <c r="J98" i="49"/>
  <c r="I98" i="49"/>
  <c r="H98" i="49"/>
  <c r="G98" i="49"/>
  <c r="F98" i="49"/>
  <c r="E98" i="49"/>
  <c r="D98" i="49"/>
  <c r="C98" i="49"/>
  <c r="B98" i="49"/>
  <c r="P92" i="49"/>
  <c r="P93" i="49" s="1"/>
  <c r="L93" i="49"/>
  <c r="K93" i="49"/>
  <c r="J93" i="49"/>
  <c r="I93" i="49"/>
  <c r="H93" i="49"/>
  <c r="G93" i="49"/>
  <c r="F93" i="49"/>
  <c r="E93" i="49"/>
  <c r="D93" i="49"/>
  <c r="C93" i="49"/>
  <c r="B93" i="49"/>
  <c r="P89" i="49"/>
  <c r="P90" i="49" s="1"/>
  <c r="L90" i="49"/>
  <c r="K90" i="49"/>
  <c r="J90" i="49"/>
  <c r="I90" i="49"/>
  <c r="H90" i="49"/>
  <c r="G90" i="49"/>
  <c r="F90" i="49"/>
  <c r="E90" i="49"/>
  <c r="D90" i="49"/>
  <c r="C90" i="49"/>
  <c r="C95" i="49" s="1"/>
  <c r="B90" i="49"/>
  <c r="P84" i="49"/>
  <c r="P85" i="49" s="1"/>
  <c r="L85" i="49"/>
  <c r="K85" i="49"/>
  <c r="J85" i="49"/>
  <c r="I85" i="49"/>
  <c r="H85" i="49"/>
  <c r="G85" i="49"/>
  <c r="F85" i="49"/>
  <c r="E85" i="49"/>
  <c r="D85" i="49"/>
  <c r="C85" i="49"/>
  <c r="B85" i="49"/>
  <c r="P81" i="49"/>
  <c r="L82" i="49"/>
  <c r="K82" i="49"/>
  <c r="J82" i="49"/>
  <c r="I82" i="49"/>
  <c r="H82" i="49"/>
  <c r="G82" i="49"/>
  <c r="F82" i="49"/>
  <c r="E82" i="49"/>
  <c r="D82" i="49"/>
  <c r="C82" i="49"/>
  <c r="B82" i="49"/>
  <c r="P78" i="49"/>
  <c r="P77" i="49"/>
  <c r="L79" i="49"/>
  <c r="K79" i="49"/>
  <c r="J79" i="49"/>
  <c r="I79" i="49"/>
  <c r="H79" i="49"/>
  <c r="G79" i="49"/>
  <c r="F79" i="49"/>
  <c r="E79" i="49"/>
  <c r="D79" i="49"/>
  <c r="C79" i="49"/>
  <c r="B79" i="49"/>
  <c r="L72" i="49"/>
  <c r="K72" i="49"/>
  <c r="J72" i="49"/>
  <c r="I72" i="49"/>
  <c r="H72" i="49"/>
  <c r="G72" i="49"/>
  <c r="F72" i="49"/>
  <c r="E72" i="49"/>
  <c r="D72" i="49"/>
  <c r="C72" i="49"/>
  <c r="B72" i="49"/>
  <c r="L69" i="49"/>
  <c r="K69" i="49"/>
  <c r="J69" i="49"/>
  <c r="I69" i="49"/>
  <c r="H69" i="49"/>
  <c r="G69" i="49"/>
  <c r="F69" i="49"/>
  <c r="E69" i="49"/>
  <c r="D69" i="49"/>
  <c r="C69" i="49"/>
  <c r="B69" i="49"/>
  <c r="P65" i="49"/>
  <c r="L66" i="49"/>
  <c r="K66" i="49"/>
  <c r="J66" i="49"/>
  <c r="I66" i="49"/>
  <c r="H66" i="49"/>
  <c r="G66" i="49"/>
  <c r="F66" i="49"/>
  <c r="E66" i="49"/>
  <c r="D66" i="49"/>
  <c r="C66" i="49"/>
  <c r="B66" i="49"/>
  <c r="P56" i="49"/>
  <c r="L57" i="49"/>
  <c r="K57" i="49"/>
  <c r="J57" i="49"/>
  <c r="I57" i="49"/>
  <c r="H57" i="49"/>
  <c r="G57" i="49"/>
  <c r="F57" i="49"/>
  <c r="E57" i="49"/>
  <c r="D57" i="49"/>
  <c r="C57" i="49"/>
  <c r="B57" i="49"/>
  <c r="P52" i="49"/>
  <c r="P53" i="49" s="1"/>
  <c r="L53" i="49"/>
  <c r="K53" i="49"/>
  <c r="J53" i="49"/>
  <c r="I53" i="49"/>
  <c r="H53" i="49"/>
  <c r="G53" i="49"/>
  <c r="F53" i="49"/>
  <c r="E53" i="49"/>
  <c r="D53" i="49"/>
  <c r="C53" i="49"/>
  <c r="B53" i="49"/>
  <c r="P49" i="49"/>
  <c r="P48" i="49"/>
  <c r="L50" i="49"/>
  <c r="K50" i="49"/>
  <c r="J50" i="49"/>
  <c r="I50" i="49"/>
  <c r="H50" i="49"/>
  <c r="G50" i="49"/>
  <c r="F50" i="49"/>
  <c r="E50" i="49"/>
  <c r="D50" i="49"/>
  <c r="C50" i="49"/>
  <c r="B50" i="49"/>
  <c r="P45" i="49"/>
  <c r="P46" i="49" s="1"/>
  <c r="L46" i="49"/>
  <c r="K46" i="49"/>
  <c r="J46" i="49"/>
  <c r="I46" i="49"/>
  <c r="H46" i="49"/>
  <c r="G46" i="49"/>
  <c r="F46" i="49"/>
  <c r="E46" i="49"/>
  <c r="D46" i="49"/>
  <c r="C46" i="49"/>
  <c r="B46" i="49"/>
  <c r="P42" i="49"/>
  <c r="P43" i="49" s="1"/>
  <c r="L43" i="49"/>
  <c r="K43" i="49"/>
  <c r="J43" i="49"/>
  <c r="I43" i="49"/>
  <c r="H43" i="49"/>
  <c r="G43" i="49"/>
  <c r="F43" i="49"/>
  <c r="E43" i="49"/>
  <c r="D43" i="49"/>
  <c r="C43" i="49"/>
  <c r="B43" i="49"/>
  <c r="P38" i="49"/>
  <c r="L40" i="49"/>
  <c r="K40" i="49"/>
  <c r="J40" i="49"/>
  <c r="I40" i="49"/>
  <c r="H40" i="49"/>
  <c r="G40" i="49"/>
  <c r="F40" i="49"/>
  <c r="E40" i="49"/>
  <c r="D40" i="49"/>
  <c r="C40" i="49"/>
  <c r="B40" i="49"/>
  <c r="P35" i="49"/>
  <c r="P34" i="49"/>
  <c r="P33" i="49"/>
  <c r="P32" i="49"/>
  <c r="P31" i="49"/>
  <c r="L36" i="49"/>
  <c r="K36" i="49"/>
  <c r="I36" i="49"/>
  <c r="H36" i="49"/>
  <c r="G36" i="49"/>
  <c r="E36" i="49"/>
  <c r="D36" i="49"/>
  <c r="C36" i="49"/>
  <c r="P26" i="49"/>
  <c r="P27" i="49" s="1"/>
  <c r="L27" i="49"/>
  <c r="K27" i="49"/>
  <c r="J27" i="49"/>
  <c r="I27" i="49"/>
  <c r="H27" i="49"/>
  <c r="G27" i="49"/>
  <c r="F27" i="49"/>
  <c r="E27" i="49"/>
  <c r="D27" i="49"/>
  <c r="C27" i="49"/>
  <c r="P23" i="49"/>
  <c r="P22" i="49"/>
  <c r="P21" i="49"/>
  <c r="M24" i="49"/>
  <c r="L24" i="49"/>
  <c r="K24" i="49"/>
  <c r="J24" i="49"/>
  <c r="I24" i="49"/>
  <c r="H24" i="49"/>
  <c r="G24" i="49"/>
  <c r="F24" i="49"/>
  <c r="E24" i="49"/>
  <c r="D24" i="49"/>
  <c r="C24" i="49"/>
  <c r="P10" i="49"/>
  <c r="P11" i="49"/>
  <c r="P12" i="49"/>
  <c r="P13" i="49"/>
  <c r="P14" i="49"/>
  <c r="P15" i="49"/>
  <c r="P16" i="49"/>
  <c r="P17" i="49"/>
  <c r="P9" i="49"/>
  <c r="K95" i="49" l="1"/>
  <c r="B95" i="49"/>
  <c r="P114" i="49"/>
  <c r="J95" i="49"/>
  <c r="J116" i="49"/>
  <c r="E95" i="49"/>
  <c r="F95" i="49"/>
  <c r="F116" i="49"/>
  <c r="G95" i="49"/>
  <c r="H95" i="49"/>
  <c r="P50" i="49"/>
  <c r="I95" i="49"/>
  <c r="P82" i="49"/>
  <c r="P103" i="49"/>
  <c r="G62" i="49"/>
  <c r="C116" i="49"/>
  <c r="I116" i="49"/>
  <c r="O95" i="49"/>
  <c r="P109" i="49"/>
  <c r="B116" i="49"/>
  <c r="G116" i="49"/>
  <c r="K116" i="49"/>
  <c r="P95" i="49"/>
  <c r="P79" i="49"/>
  <c r="C62" i="49"/>
  <c r="K62" i="49"/>
  <c r="E62" i="49"/>
  <c r="I62" i="49"/>
  <c r="M75" i="49"/>
  <c r="O116" i="49"/>
  <c r="B87" i="49"/>
  <c r="O29" i="49"/>
  <c r="O62" i="49"/>
  <c r="B24" i="49"/>
  <c r="P36" i="49"/>
  <c r="D87" i="49"/>
  <c r="H87" i="49"/>
  <c r="L87" i="49"/>
  <c r="D95" i="49"/>
  <c r="L95" i="49"/>
  <c r="D109" i="49"/>
  <c r="D116" i="49" s="1"/>
  <c r="L109" i="49"/>
  <c r="L116" i="49" s="1"/>
  <c r="N9" i="49"/>
  <c r="Q9" i="49" s="1"/>
  <c r="R9" i="49" s="1"/>
  <c r="N26" i="49"/>
  <c r="N27" i="49" s="1"/>
  <c r="N31" i="49"/>
  <c r="Q31" i="49" s="1"/>
  <c r="R31" i="49" s="1"/>
  <c r="F36" i="49"/>
  <c r="F62" i="49" s="1"/>
  <c r="J36" i="49"/>
  <c r="J62" i="49" s="1"/>
  <c r="N32" i="49"/>
  <c r="Q32" i="49" s="1"/>
  <c r="E116" i="49"/>
  <c r="P146" i="49"/>
  <c r="M114" i="49"/>
  <c r="O87" i="49"/>
  <c r="M152" i="49"/>
  <c r="D62" i="49"/>
  <c r="H62" i="49"/>
  <c r="L62" i="49"/>
  <c r="P55" i="49"/>
  <c r="P57" i="49" s="1"/>
  <c r="M57" i="49"/>
  <c r="P68" i="49"/>
  <c r="P69" i="49" s="1"/>
  <c r="M69" i="49"/>
  <c r="B27" i="49"/>
  <c r="M53" i="49"/>
  <c r="I87" i="49"/>
  <c r="H116" i="49"/>
  <c r="P64" i="49"/>
  <c r="P66" i="49" s="1"/>
  <c r="M66" i="49"/>
  <c r="N106" i="49"/>
  <c r="Q106" i="49" s="1"/>
  <c r="R106" i="49" s="1"/>
  <c r="M27" i="49"/>
  <c r="M79" i="49"/>
  <c r="M98" i="49"/>
  <c r="C87" i="49"/>
  <c r="G87" i="49"/>
  <c r="K87" i="49"/>
  <c r="N11" i="49"/>
  <c r="Q11" i="49" s="1"/>
  <c r="R11" i="49" s="1"/>
  <c r="P20" i="49"/>
  <c r="N120" i="49"/>
  <c r="Q120" i="49" s="1"/>
  <c r="R120" i="49" s="1"/>
  <c r="J22" i="127" s="1"/>
  <c r="Q22" i="127" s="1"/>
  <c r="N121" i="49"/>
  <c r="Q121" i="49" s="1"/>
  <c r="R121" i="49" s="1"/>
  <c r="J17" i="127" s="1"/>
  <c r="Q17" i="127" s="1"/>
  <c r="N122" i="49"/>
  <c r="Q122" i="49" s="1"/>
  <c r="R122" i="49" s="1"/>
  <c r="J18" i="127" s="1"/>
  <c r="Q18" i="127" s="1"/>
  <c r="P59" i="49"/>
  <c r="M60" i="49"/>
  <c r="B36" i="49"/>
  <c r="M82" i="49"/>
  <c r="M90" i="49"/>
  <c r="M103" i="49"/>
  <c r="M146" i="49"/>
  <c r="P71" i="49"/>
  <c r="P72" i="49" s="1"/>
  <c r="M72" i="49"/>
  <c r="C146" i="49"/>
  <c r="G146" i="49"/>
  <c r="K146" i="49"/>
  <c r="N135" i="49"/>
  <c r="Q135" i="49" s="1"/>
  <c r="R135" i="49" s="1"/>
  <c r="J43" i="127" s="1"/>
  <c r="Q43" i="127" s="1"/>
  <c r="N145" i="49"/>
  <c r="Q145" i="49" s="1"/>
  <c r="R145" i="49" s="1"/>
  <c r="N148" i="49"/>
  <c r="N149" i="49" s="1"/>
  <c r="B149" i="49"/>
  <c r="N151" i="49"/>
  <c r="N152" i="49" s="1"/>
  <c r="B152" i="49"/>
  <c r="N59" i="49"/>
  <c r="N60" i="49" s="1"/>
  <c r="B60" i="49"/>
  <c r="M36" i="49"/>
  <c r="M40" i="49"/>
  <c r="M43" i="49"/>
  <c r="M46" i="49"/>
  <c r="M50" i="49"/>
  <c r="E87" i="49"/>
  <c r="M85" i="49"/>
  <c r="M93" i="49"/>
  <c r="M109" i="49"/>
  <c r="M149" i="49"/>
  <c r="J87" i="49"/>
  <c r="F87" i="49"/>
  <c r="N74" i="49"/>
  <c r="N75" i="49" s="1"/>
  <c r="P75" i="49"/>
  <c r="N134" i="49"/>
  <c r="Q134" i="49" s="1"/>
  <c r="R134" i="49" s="1"/>
  <c r="J42" i="127" s="1"/>
  <c r="Q42" i="127" s="1"/>
  <c r="N133" i="49"/>
  <c r="Q133" i="49" s="1"/>
  <c r="R133" i="49" s="1"/>
  <c r="J29" i="127" s="1"/>
  <c r="Q29" i="127" s="1"/>
  <c r="N132" i="49"/>
  <c r="Q132" i="49" s="1"/>
  <c r="R132" i="49" s="1"/>
  <c r="J27" i="127" s="1"/>
  <c r="Q27" i="127" s="1"/>
  <c r="N131" i="49"/>
  <c r="Q131" i="49" s="1"/>
  <c r="R131" i="49" s="1"/>
  <c r="J28" i="127" s="1"/>
  <c r="Q28" i="127" s="1"/>
  <c r="N130" i="49"/>
  <c r="Q130" i="49" s="1"/>
  <c r="R130" i="49" s="1"/>
  <c r="J41" i="127" s="1"/>
  <c r="Q41" i="127" s="1"/>
  <c r="N129" i="49"/>
  <c r="Q129" i="49" s="1"/>
  <c r="R129" i="49" s="1"/>
  <c r="J16" i="127" s="1"/>
  <c r="Q16" i="127" s="1"/>
  <c r="N128" i="49"/>
  <c r="Q128" i="49" s="1"/>
  <c r="R128" i="49" s="1"/>
  <c r="J26" i="127" s="1"/>
  <c r="Q26" i="127" s="1"/>
  <c r="N127" i="49"/>
  <c r="Q127" i="49" s="1"/>
  <c r="R127" i="49" s="1"/>
  <c r="J40" i="127" s="1"/>
  <c r="Q40" i="127" s="1"/>
  <c r="N126" i="49"/>
  <c r="Q126" i="49" s="1"/>
  <c r="R126" i="49" s="1"/>
  <c r="J37" i="127" s="1"/>
  <c r="Q37" i="127" s="1"/>
  <c r="N125" i="49"/>
  <c r="Q125" i="49" s="1"/>
  <c r="R125" i="49" s="1"/>
  <c r="J36" i="127" s="1"/>
  <c r="Q36" i="127" s="1"/>
  <c r="N124" i="49"/>
  <c r="Q124" i="49" s="1"/>
  <c r="R124" i="49" s="1"/>
  <c r="J19" i="127" s="1"/>
  <c r="Q19" i="127" s="1"/>
  <c r="N123" i="49"/>
  <c r="Q123" i="49" s="1"/>
  <c r="R123" i="49" s="1"/>
  <c r="J32" i="127" s="1"/>
  <c r="Q32" i="127" s="1"/>
  <c r="N119" i="49"/>
  <c r="Q119" i="49" s="1"/>
  <c r="R119" i="49" s="1"/>
  <c r="J15" i="127" s="1"/>
  <c r="Q15" i="127" s="1"/>
  <c r="N118" i="49"/>
  <c r="N113" i="49"/>
  <c r="Q113" i="49" s="1"/>
  <c r="N112" i="49"/>
  <c r="Q112" i="49" s="1"/>
  <c r="R112" i="49" s="1"/>
  <c r="N111" i="49"/>
  <c r="Q111" i="49" s="1"/>
  <c r="R111" i="49" s="1"/>
  <c r="N108" i="49"/>
  <c r="Q108" i="49" s="1"/>
  <c r="R108" i="49" s="1"/>
  <c r="N107" i="49"/>
  <c r="N105" i="49"/>
  <c r="Q105" i="49" s="1"/>
  <c r="N102" i="49"/>
  <c r="Q102" i="49" s="1"/>
  <c r="R102" i="49" s="1"/>
  <c r="N101" i="49"/>
  <c r="Q101" i="49" s="1"/>
  <c r="N100" i="49"/>
  <c r="Q100" i="49" s="1"/>
  <c r="N97" i="49"/>
  <c r="N98" i="49" s="1"/>
  <c r="N92" i="49"/>
  <c r="N93" i="49" s="1"/>
  <c r="N89" i="49"/>
  <c r="N90" i="49" s="1"/>
  <c r="N84" i="49"/>
  <c r="N85" i="49" s="1"/>
  <c r="N81" i="49"/>
  <c r="N82" i="49" s="1"/>
  <c r="N78" i="49"/>
  <c r="Q78" i="49" s="1"/>
  <c r="R78" i="49" s="1"/>
  <c r="N77" i="49"/>
  <c r="Q77" i="49" s="1"/>
  <c r="N71" i="49"/>
  <c r="N72" i="49" s="1"/>
  <c r="N68" i="49"/>
  <c r="N69" i="49" s="1"/>
  <c r="N65" i="49"/>
  <c r="Q65" i="49" s="1"/>
  <c r="R65" i="49" s="1"/>
  <c r="N64" i="49"/>
  <c r="N56" i="49"/>
  <c r="Q56" i="49" s="1"/>
  <c r="R56" i="49" s="1"/>
  <c r="N55" i="49"/>
  <c r="N52" i="49"/>
  <c r="N53" i="49" s="1"/>
  <c r="N49" i="49"/>
  <c r="Q49" i="49" s="1"/>
  <c r="R49" i="49" s="1"/>
  <c r="N48" i="49"/>
  <c r="N45" i="49"/>
  <c r="N46" i="49" s="1"/>
  <c r="N42" i="49"/>
  <c r="N43" i="49" s="1"/>
  <c r="N39" i="49"/>
  <c r="Q39" i="49" s="1"/>
  <c r="R39" i="49" s="1"/>
  <c r="N38" i="49"/>
  <c r="Q38" i="49" s="1"/>
  <c r="R38" i="49" s="1"/>
  <c r="N35" i="49"/>
  <c r="Q35" i="49" s="1"/>
  <c r="R35" i="49" s="1"/>
  <c r="N34" i="49"/>
  <c r="Q34" i="49" s="1"/>
  <c r="N33" i="49"/>
  <c r="N23" i="49"/>
  <c r="Q23" i="49" s="1"/>
  <c r="R23" i="49" s="1"/>
  <c r="N22" i="49"/>
  <c r="Q22" i="49" s="1"/>
  <c r="R22" i="49" s="1"/>
  <c r="N21" i="49"/>
  <c r="Q21" i="49" s="1"/>
  <c r="R21" i="49" s="1"/>
  <c r="N20" i="49"/>
  <c r="N16" i="49"/>
  <c r="Q16" i="49" s="1"/>
  <c r="R16" i="49" s="1"/>
  <c r="N15" i="49"/>
  <c r="Q15" i="49" s="1"/>
  <c r="N14" i="49"/>
  <c r="Q14" i="49" s="1"/>
  <c r="R14" i="49" s="1"/>
  <c r="N13" i="49"/>
  <c r="Q13" i="49" s="1"/>
  <c r="R13" i="49" s="1"/>
  <c r="N17" i="49"/>
  <c r="Q17" i="49" s="1"/>
  <c r="N12" i="49"/>
  <c r="Q12" i="49" s="1"/>
  <c r="B18" i="49"/>
  <c r="N10" i="49"/>
  <c r="Q10" i="49" s="1"/>
  <c r="R10" i="49" s="1"/>
  <c r="Q81" i="49" l="1"/>
  <c r="R100" i="49"/>
  <c r="Q107" i="49"/>
  <c r="R107" i="49" s="1"/>
  <c r="P116" i="49"/>
  <c r="Q97" i="49"/>
  <c r="Q98" i="49" s="1"/>
  <c r="R98" i="49" s="1"/>
  <c r="Q92" i="49"/>
  <c r="R92" i="49" s="1"/>
  <c r="Q26" i="49"/>
  <c r="Q27" i="49" s="1"/>
  <c r="R27" i="49" s="1"/>
  <c r="Q84" i="49"/>
  <c r="Q85" i="49" s="1"/>
  <c r="R77" i="49"/>
  <c r="R113" i="49"/>
  <c r="R105" i="49"/>
  <c r="R101" i="49"/>
  <c r="O155" i="49"/>
  <c r="Q148" i="49"/>
  <c r="R148" i="49" s="1"/>
  <c r="Q71" i="49"/>
  <c r="Q72" i="49" s="1"/>
  <c r="R72" i="49" s="1"/>
  <c r="Q55" i="49"/>
  <c r="R55" i="49" s="1"/>
  <c r="Q42" i="49"/>
  <c r="Q43" i="49" s="1"/>
  <c r="R43" i="49" s="1"/>
  <c r="Q52" i="49"/>
  <c r="R52" i="49" s="1"/>
  <c r="N57" i="49"/>
  <c r="Q93" i="49"/>
  <c r="R93" i="49" s="1"/>
  <c r="Q45" i="49"/>
  <c r="Q64" i="49"/>
  <c r="R64" i="49" s="1"/>
  <c r="P87" i="49"/>
  <c r="Q68" i="49"/>
  <c r="N36" i="49"/>
  <c r="N66" i="49"/>
  <c r="N79" i="49"/>
  <c r="N95" i="49"/>
  <c r="M95" i="49"/>
  <c r="M87" i="49"/>
  <c r="Q20" i="49"/>
  <c r="P24" i="49"/>
  <c r="Q33" i="49"/>
  <c r="N114" i="49"/>
  <c r="Q118" i="49"/>
  <c r="Q146" i="49" s="1"/>
  <c r="N146" i="49"/>
  <c r="M116" i="49"/>
  <c r="M62" i="49"/>
  <c r="Q59" i="49"/>
  <c r="P60" i="49"/>
  <c r="Q151" i="49"/>
  <c r="N109" i="49"/>
  <c r="B62" i="49"/>
  <c r="Q40" i="49"/>
  <c r="Q79" i="49"/>
  <c r="N24" i="49"/>
  <c r="B29" i="49"/>
  <c r="Q89" i="49"/>
  <c r="N40" i="49"/>
  <c r="Q48" i="49"/>
  <c r="N50" i="49"/>
  <c r="N103" i="49"/>
  <c r="Q74" i="49"/>
  <c r="C18" i="49"/>
  <c r="C29" i="49" s="1"/>
  <c r="C155" i="49" s="1"/>
  <c r="R146" i="49" l="1"/>
  <c r="R97" i="49"/>
  <c r="Q149" i="49"/>
  <c r="R149" i="49" s="1"/>
  <c r="Q66" i="49"/>
  <c r="R66" i="49" s="1"/>
  <c r="Q53" i="49"/>
  <c r="R53" i="49" s="1"/>
  <c r="Q57" i="49"/>
  <c r="R57" i="49" s="1"/>
  <c r="R26" i="49"/>
  <c r="Q109" i="49"/>
  <c r="R109" i="49" s="1"/>
  <c r="R71" i="49"/>
  <c r="Q114" i="49"/>
  <c r="R114" i="49" s="1"/>
  <c r="R42" i="49"/>
  <c r="Q103" i="49"/>
  <c r="N62" i="49"/>
  <c r="N87" i="49"/>
  <c r="Q50" i="49"/>
  <c r="R50" i="49" s="1"/>
  <c r="R48" i="49"/>
  <c r="Q152" i="49"/>
  <c r="R152" i="49" s="1"/>
  <c r="R151" i="49"/>
  <c r="R118" i="49"/>
  <c r="J21" i="127" s="1"/>
  <c r="Q21" i="127" s="1"/>
  <c r="Q82" i="49"/>
  <c r="R82" i="49" s="1"/>
  <c r="R81" i="49"/>
  <c r="N116" i="49"/>
  <c r="Q90" i="49"/>
  <c r="R89" i="49"/>
  <c r="R40" i="49"/>
  <c r="Q24" i="49"/>
  <c r="R24" i="49" s="1"/>
  <c r="R20" i="49"/>
  <c r="Q60" i="49"/>
  <c r="R60" i="49" s="1"/>
  <c r="R59" i="49"/>
  <c r="Q36" i="49"/>
  <c r="R36" i="49" s="1"/>
  <c r="R33" i="49"/>
  <c r="Q75" i="49"/>
  <c r="R75" i="49" s="1"/>
  <c r="R74" i="49"/>
  <c r="R79" i="49"/>
  <c r="Q69" i="49"/>
  <c r="R69" i="49" s="1"/>
  <c r="R68" i="49"/>
  <c r="Q46" i="49"/>
  <c r="R46" i="49" s="1"/>
  <c r="R45" i="49"/>
  <c r="B155" i="49"/>
  <c r="D18" i="49"/>
  <c r="Q116" i="49" l="1"/>
  <c r="R116" i="49" s="1"/>
  <c r="R103" i="49"/>
  <c r="Q87" i="49"/>
  <c r="R87" i="49" s="1"/>
  <c r="Q95" i="49"/>
  <c r="R95" i="49" s="1"/>
  <c r="R90" i="49"/>
  <c r="Q62" i="49"/>
  <c r="R62" i="49" s="1"/>
  <c r="D29" i="49"/>
  <c r="D155" i="49" s="1"/>
  <c r="E18" i="49"/>
  <c r="E29" i="49" s="1"/>
  <c r="E155" i="49" s="1"/>
  <c r="F18" i="49" l="1"/>
  <c r="F29" i="49" s="1"/>
  <c r="F155" i="49" s="1"/>
  <c r="G18" i="49" l="1"/>
  <c r="G29" i="49" s="1"/>
  <c r="G155" i="49" s="1"/>
  <c r="H18" i="49" l="1"/>
  <c r="H29" i="49" l="1"/>
  <c r="H155" i="49" s="1"/>
  <c r="I18" i="49"/>
  <c r="I29" i="49" s="1"/>
  <c r="I155" i="49" s="1"/>
  <c r="J18" i="49" l="1"/>
  <c r="J29" i="49" s="1"/>
  <c r="J155" i="49" s="1"/>
  <c r="K18" i="49" l="1"/>
  <c r="K29" i="49" s="1"/>
  <c r="K155" i="49" s="1"/>
  <c r="M18" i="49" l="1"/>
  <c r="L18" i="49"/>
  <c r="L29" i="49" s="1"/>
  <c r="L155" i="49" s="1"/>
  <c r="P18" i="49" l="1"/>
  <c r="M29" i="49"/>
  <c r="M155" i="49" s="1"/>
  <c r="N18" i="49"/>
  <c r="P29" i="49" l="1"/>
  <c r="G30" i="126"/>
  <c r="G31" i="125"/>
  <c r="G30" i="124"/>
  <c r="N29" i="49"/>
  <c r="N155" i="49" s="1"/>
  <c r="Q18" i="49"/>
  <c r="G62" i="90"/>
  <c r="K62" i="90"/>
  <c r="O62" i="90"/>
  <c r="C62" i="90"/>
  <c r="G53" i="90"/>
  <c r="C53" i="90"/>
  <c r="D55" i="90"/>
  <c r="E15" i="121" s="1"/>
  <c r="E55" i="90"/>
  <c r="F15" i="121" s="1"/>
  <c r="D56" i="90"/>
  <c r="E17" i="121" s="1"/>
  <c r="E56" i="90"/>
  <c r="F17" i="121" s="1"/>
  <c r="D57" i="90"/>
  <c r="E19" i="121" s="1"/>
  <c r="E57" i="90"/>
  <c r="F19" i="121" s="1"/>
  <c r="E54" i="90"/>
  <c r="F13" i="121" s="1"/>
  <c r="P13" i="121" s="1"/>
  <c r="D54" i="90"/>
  <c r="E13" i="121" s="1"/>
  <c r="H54" i="90"/>
  <c r="E13" i="122" s="1"/>
  <c r="G44" i="90"/>
  <c r="K44" i="90"/>
  <c r="C44" i="90"/>
  <c r="G37" i="90"/>
  <c r="K37" i="90"/>
  <c r="O37" i="90"/>
  <c r="C37" i="90"/>
  <c r="G25" i="90"/>
  <c r="K25" i="90"/>
  <c r="O25" i="90"/>
  <c r="C25" i="90"/>
  <c r="G16" i="90"/>
  <c r="K16" i="90"/>
  <c r="O16" i="90"/>
  <c r="C16" i="90"/>
  <c r="D4" i="90"/>
  <c r="E4" i="90"/>
  <c r="G4" i="90"/>
  <c r="K4" i="90"/>
  <c r="C4" i="90"/>
  <c r="P19" i="121" l="1"/>
  <c r="N19" i="121"/>
  <c r="G17" i="121"/>
  <c r="P17" i="121"/>
  <c r="N17" i="121"/>
  <c r="P15" i="121"/>
  <c r="N15" i="121"/>
  <c r="G19" i="121"/>
  <c r="G15" i="121"/>
  <c r="N157" i="49"/>
  <c r="N158" i="49"/>
  <c r="N159" i="49" s="1"/>
  <c r="G13" i="121"/>
  <c r="Q29" i="49"/>
  <c r="R18" i="49"/>
  <c r="P53" i="121" l="1"/>
  <c r="Q35" i="62" s="1"/>
  <c r="M53" i="121"/>
  <c r="N35" i="62" s="1"/>
  <c r="Q155" i="49"/>
  <c r="R155" i="49" s="1"/>
  <c r="R29" i="49"/>
  <c r="E79" i="89" l="1"/>
  <c r="D79" i="89"/>
  <c r="Q64" i="89"/>
  <c r="Q62" i="90" s="1"/>
  <c r="P64" i="89"/>
  <c r="P62" i="90" s="1"/>
  <c r="M64" i="89"/>
  <c r="M62" i="90" s="1"/>
  <c r="L64" i="89"/>
  <c r="L62" i="90" s="1"/>
  <c r="I64" i="89"/>
  <c r="I62" i="90" s="1"/>
  <c r="H64" i="89"/>
  <c r="H62" i="90" s="1"/>
  <c r="E64" i="89"/>
  <c r="E62" i="90" s="1"/>
  <c r="D64" i="89"/>
  <c r="D62" i="90" s="1"/>
  <c r="I55" i="89"/>
  <c r="I53" i="90" s="1"/>
  <c r="H55" i="89"/>
  <c r="H53" i="90" s="1"/>
  <c r="E55" i="89"/>
  <c r="E53" i="90" s="1"/>
  <c r="D55" i="89"/>
  <c r="D53" i="90" s="1"/>
  <c r="M46" i="89"/>
  <c r="M44" i="90" s="1"/>
  <c r="L46" i="89"/>
  <c r="L44" i="90" s="1"/>
  <c r="I46" i="89"/>
  <c r="I44" i="90" s="1"/>
  <c r="H46" i="89"/>
  <c r="H44" i="90" s="1"/>
  <c r="E46" i="89"/>
  <c r="E44" i="90" s="1"/>
  <c r="D46" i="89"/>
  <c r="D44" i="90" s="1"/>
  <c r="Q39" i="89"/>
  <c r="Q37" i="90" s="1"/>
  <c r="P39" i="89"/>
  <c r="P37" i="90" s="1"/>
  <c r="M39" i="89"/>
  <c r="M37" i="90" s="1"/>
  <c r="L39" i="89"/>
  <c r="L37" i="90" s="1"/>
  <c r="I39" i="89"/>
  <c r="I37" i="90" s="1"/>
  <c r="H39" i="89"/>
  <c r="H37" i="90" s="1"/>
  <c r="E39" i="89"/>
  <c r="E37" i="90" s="1"/>
  <c r="D39" i="89"/>
  <c r="D37" i="90" s="1"/>
  <c r="Q26" i="89"/>
  <c r="Q25" i="90" s="1"/>
  <c r="P26" i="89"/>
  <c r="P25" i="90" s="1"/>
  <c r="Q17" i="89"/>
  <c r="Q16" i="90" s="1"/>
  <c r="P17" i="89"/>
  <c r="P16" i="90" s="1"/>
  <c r="M26" i="89"/>
  <c r="M25" i="90" s="1"/>
  <c r="L26" i="89"/>
  <c r="L25" i="90" s="1"/>
  <c r="M17" i="89"/>
  <c r="M16" i="90" s="1"/>
  <c r="L17" i="89"/>
  <c r="L16" i="90" s="1"/>
  <c r="I26" i="89"/>
  <c r="I25" i="90" s="1"/>
  <c r="H26" i="89"/>
  <c r="H25" i="90" s="1"/>
  <c r="I17" i="89"/>
  <c r="I16" i="90" s="1"/>
  <c r="H17" i="89"/>
  <c r="H16" i="90" s="1"/>
  <c r="E26" i="89"/>
  <c r="E25" i="90" s="1"/>
  <c r="D26" i="89"/>
  <c r="D25" i="90" s="1"/>
  <c r="E17" i="89"/>
  <c r="E16" i="90" s="1"/>
  <c r="D17" i="89"/>
  <c r="D16" i="90" s="1"/>
  <c r="M4" i="89"/>
  <c r="M4" i="90" s="1"/>
  <c r="L4" i="89"/>
  <c r="L4" i="90" s="1"/>
  <c r="I4" i="89"/>
  <c r="I4" i="90" s="1"/>
  <c r="H4" i="89"/>
  <c r="H4" i="90" s="1"/>
  <c r="B44" i="70" l="1"/>
  <c r="D157" i="94" l="1"/>
  <c r="D158" i="94" s="1"/>
  <c r="D153" i="94"/>
  <c r="D154" i="94" s="1"/>
  <c r="D150" i="94"/>
  <c r="D137" i="94"/>
  <c r="D136" i="94"/>
  <c r="D135" i="94"/>
  <c r="D134" i="94"/>
  <c r="D133" i="94"/>
  <c r="D132" i="94"/>
  <c r="D131" i="94"/>
  <c r="D130" i="94"/>
  <c r="D129" i="94"/>
  <c r="D128" i="94"/>
  <c r="D127" i="94"/>
  <c r="D126" i="94"/>
  <c r="D125" i="94"/>
  <c r="D124" i="94"/>
  <c r="D123" i="94"/>
  <c r="D122" i="94"/>
  <c r="D121" i="94"/>
  <c r="D120" i="94"/>
  <c r="D115" i="94"/>
  <c r="D114" i="94"/>
  <c r="D113" i="94"/>
  <c r="D110" i="94"/>
  <c r="D109" i="94"/>
  <c r="D108" i="94"/>
  <c r="D107" i="94"/>
  <c r="D104" i="94"/>
  <c r="D103" i="94"/>
  <c r="D102" i="94"/>
  <c r="D99" i="94"/>
  <c r="D100" i="94" s="1"/>
  <c r="D94" i="94"/>
  <c r="D95" i="94" s="1"/>
  <c r="D91" i="94"/>
  <c r="D92" i="94" s="1"/>
  <c r="D86" i="94"/>
  <c r="D87" i="94" s="1"/>
  <c r="D83" i="94"/>
  <c r="D84" i="94" s="1"/>
  <c r="D80" i="94"/>
  <c r="D79" i="94"/>
  <c r="D77" i="94"/>
  <c r="D73" i="94"/>
  <c r="D74" i="94" s="1"/>
  <c r="D70" i="94"/>
  <c r="D71" i="94" s="1"/>
  <c r="D67" i="94"/>
  <c r="D66" i="94"/>
  <c r="D61" i="94"/>
  <c r="D62" i="94" s="1"/>
  <c r="D58" i="94"/>
  <c r="D57" i="94"/>
  <c r="D54" i="94"/>
  <c r="D55" i="94" s="1"/>
  <c r="D51" i="94"/>
  <c r="D50" i="94"/>
  <c r="D47" i="94"/>
  <c r="D48" i="94" s="1"/>
  <c r="D44" i="94"/>
  <c r="D45" i="94" s="1"/>
  <c r="D41" i="94"/>
  <c r="D40" i="94"/>
  <c r="D37" i="94"/>
  <c r="D36" i="94"/>
  <c r="D35" i="94"/>
  <c r="D34" i="94"/>
  <c r="D33" i="94"/>
  <c r="D28" i="94"/>
  <c r="D25" i="94"/>
  <c r="D24" i="94"/>
  <c r="D23" i="94"/>
  <c r="D22" i="94"/>
  <c r="D19" i="94"/>
  <c r="D18" i="94"/>
  <c r="D17" i="94"/>
  <c r="D16" i="94"/>
  <c r="D15" i="94"/>
  <c r="D14" i="94"/>
  <c r="D13" i="94"/>
  <c r="D12" i="94"/>
  <c r="B38" i="94"/>
  <c r="B111" i="94"/>
  <c r="B105" i="94"/>
  <c r="B100" i="94"/>
  <c r="B81" i="94"/>
  <c r="B68" i="94"/>
  <c r="B59" i="94"/>
  <c r="B158" i="94"/>
  <c r="B154" i="94"/>
  <c r="B95" i="94"/>
  <c r="B92" i="94"/>
  <c r="B87" i="94"/>
  <c r="B84" i="94"/>
  <c r="B77" i="94"/>
  <c r="B74" i="94"/>
  <c r="B71" i="94"/>
  <c r="B62" i="94"/>
  <c r="B55" i="94"/>
  <c r="B52" i="94"/>
  <c r="B48" i="94"/>
  <c r="B45" i="94"/>
  <c r="B42" i="94"/>
  <c r="B29" i="94"/>
  <c r="D29" i="94" s="1"/>
  <c r="B26" i="94"/>
  <c r="D26" i="94" s="1"/>
  <c r="B20" i="94"/>
  <c r="D20" i="94" s="1"/>
  <c r="A3" i="94"/>
  <c r="A2" i="94"/>
  <c r="A1" i="94"/>
  <c r="D59" i="94" l="1"/>
  <c r="D81" i="94"/>
  <c r="D105" i="94"/>
  <c r="D68" i="94"/>
  <c r="D111" i="94"/>
  <c r="D116" i="94"/>
  <c r="D42" i="94"/>
  <c r="D38" i="94"/>
  <c r="D52" i="94"/>
  <c r="B118" i="94"/>
  <c r="D151" i="94"/>
  <c r="D97" i="94"/>
  <c r="B97" i="94"/>
  <c r="B89" i="94"/>
  <c r="B64" i="94"/>
  <c r="D31" i="94"/>
  <c r="B31" i="94"/>
  <c r="D89" i="94" l="1"/>
  <c r="D118" i="94"/>
  <c r="D64" i="94"/>
  <c r="B161" i="94"/>
  <c r="B165" i="94" l="1"/>
  <c r="I165" i="94"/>
  <c r="I167" i="94" s="1"/>
  <c r="D161" i="94"/>
  <c r="C13" i="108" l="1"/>
  <c r="D14" i="108" l="1"/>
  <c r="D13" i="108"/>
  <c r="C14" i="108"/>
  <c r="AA66" i="32"/>
  <c r="AA68" i="32" s="1"/>
  <c r="G14" i="108" l="1"/>
  <c r="M53" i="108"/>
  <c r="N20" i="62" s="1"/>
  <c r="G13" i="108"/>
  <c r="W66" i="32"/>
  <c r="E14" i="116"/>
  <c r="E13" i="116"/>
  <c r="G14" i="116" l="1"/>
  <c r="G13" i="116"/>
  <c r="M53" i="116"/>
  <c r="N29" i="62" s="1"/>
  <c r="N33" i="62" s="1"/>
  <c r="AB53" i="32"/>
  <c r="AC53" i="32" s="1"/>
  <c r="G30" i="123"/>
  <c r="AB47" i="32"/>
  <c r="AC47" i="32" s="1"/>
  <c r="G30" i="119"/>
  <c r="N24" i="62" l="1"/>
  <c r="AB59" i="32"/>
  <c r="AC59" i="32" s="1"/>
  <c r="AB55" i="32"/>
  <c r="AC55" i="32" s="1"/>
  <c r="AB57" i="32"/>
  <c r="AC57" i="32" s="1"/>
  <c r="R66" i="32" l="1"/>
  <c r="I54" i="90" l="1"/>
  <c r="F13" i="122" s="1"/>
  <c r="I55" i="90"/>
  <c r="F15" i="122" s="1"/>
  <c r="I56" i="90"/>
  <c r="F17" i="122" s="1"/>
  <c r="I57" i="90"/>
  <c r="F19" i="122" s="1"/>
  <c r="H55" i="90"/>
  <c r="E15" i="122" s="1"/>
  <c r="H56" i="90"/>
  <c r="E17" i="122" s="1"/>
  <c r="H57" i="90"/>
  <c r="E19" i="122" s="1"/>
  <c r="G15" i="122" l="1"/>
  <c r="G19" i="122"/>
  <c r="G17" i="122"/>
  <c r="P19" i="122"/>
  <c r="N19" i="122"/>
  <c r="P17" i="122"/>
  <c r="N17" i="122"/>
  <c r="P15" i="122"/>
  <c r="N15" i="122"/>
  <c r="P13" i="122"/>
  <c r="G13" i="122"/>
  <c r="I11" i="90"/>
  <c r="P53" i="122" l="1"/>
  <c r="Q36" i="62" s="1"/>
  <c r="Q37" i="62" s="1"/>
  <c r="M53" i="122"/>
  <c r="N36" i="62" s="1"/>
  <c r="N37" i="62" s="1"/>
  <c r="F13" i="1"/>
  <c r="F15" i="1"/>
  <c r="F17" i="1"/>
  <c r="H11" i="90"/>
  <c r="D13" i="1"/>
  <c r="D14" i="1"/>
  <c r="D15" i="1"/>
  <c r="D17" i="1"/>
  <c r="D18" i="1"/>
  <c r="E17" i="1"/>
  <c r="E18" i="1" s="1"/>
  <c r="E15" i="1"/>
  <c r="E13" i="1"/>
  <c r="C18" i="1"/>
  <c r="C17" i="1"/>
  <c r="C15" i="1"/>
  <c r="C14" i="1"/>
  <c r="G13" i="1" l="1"/>
  <c r="K18" i="1"/>
  <c r="T18" i="1" s="1"/>
  <c r="G19" i="1"/>
  <c r="Q19" i="1" s="1"/>
  <c r="F18" i="1"/>
  <c r="G15" i="1"/>
  <c r="G17" i="1"/>
  <c r="G18" i="1" l="1"/>
  <c r="Q18" i="1" s="1"/>
  <c r="J18" i="58" l="1"/>
  <c r="J14" i="58"/>
  <c r="J13" i="58"/>
  <c r="H11" i="58"/>
  <c r="J40" i="58" l="1"/>
  <c r="J62" i="63"/>
  <c r="I64" i="63" l="1"/>
  <c r="G64" i="63"/>
  <c r="L12" i="82"/>
  <c r="M12" i="82" s="1"/>
  <c r="L17" i="82"/>
  <c r="N17" i="82" s="1"/>
  <c r="L18" i="82"/>
  <c r="N18" i="82" s="1"/>
  <c r="L19" i="82"/>
  <c r="M19" i="82" s="1"/>
  <c r="L23" i="82"/>
  <c r="N23" i="82" s="1"/>
  <c r="L25" i="82"/>
  <c r="M25" i="82" s="1"/>
  <c r="N25" i="82" l="1"/>
  <c r="O25" i="82" s="1"/>
  <c r="P25" i="82" s="1"/>
  <c r="M17" i="82"/>
  <c r="O19" i="82"/>
  <c r="O23" i="82"/>
  <c r="P23" i="82" s="1"/>
  <c r="O17" i="82"/>
  <c r="M18" i="82"/>
  <c r="O18" i="82"/>
  <c r="R21" i="82"/>
  <c r="R12" i="82"/>
  <c r="R25" i="82"/>
  <c r="N12" i="82"/>
  <c r="N14" i="82" s="1"/>
  <c r="O12" i="82" l="1"/>
  <c r="P12" i="82" s="1"/>
  <c r="R18" i="82"/>
  <c r="P18" i="82"/>
  <c r="R17" i="82"/>
  <c r="P17" i="82"/>
  <c r="R19" i="82"/>
  <c r="P19" i="82"/>
  <c r="Q27" i="83" l="1"/>
  <c r="C70" i="63"/>
  <c r="C62" i="63"/>
  <c r="C60" i="63"/>
  <c r="C58" i="63"/>
  <c r="C56" i="63"/>
  <c r="C54" i="63"/>
  <c r="C52" i="63"/>
  <c r="C50" i="63"/>
  <c r="C48" i="63"/>
  <c r="C44" i="63"/>
  <c r="C42" i="63"/>
  <c r="C38" i="63"/>
  <c r="C34" i="63"/>
  <c r="C32" i="63"/>
  <c r="C28" i="63"/>
  <c r="C26" i="63"/>
  <c r="C22" i="63"/>
  <c r="C16" i="63"/>
  <c r="C7" i="63"/>
  <c r="K21" i="83" l="1"/>
  <c r="L21" i="83" s="1"/>
  <c r="K21" i="82"/>
  <c r="L21" i="82" s="1"/>
  <c r="M21" i="82" l="1"/>
  <c r="N21" i="82"/>
  <c r="O21" i="82" s="1"/>
  <c r="O21" i="83"/>
  <c r="M21" i="83"/>
  <c r="D17" i="82" l="1"/>
  <c r="C12" i="63" l="1"/>
  <c r="M12" i="63" s="1"/>
  <c r="C36" i="63"/>
  <c r="C40" i="63"/>
  <c r="C14" i="63"/>
  <c r="C20" i="63"/>
  <c r="C30" i="63"/>
  <c r="C24" i="63"/>
  <c r="C46" i="63"/>
  <c r="C64" i="63"/>
  <c r="C66" i="63"/>
  <c r="F26" i="58" l="1"/>
  <c r="K14" i="83" l="1"/>
  <c r="D21" i="82"/>
  <c r="E21" i="82" l="1"/>
  <c r="F21" i="82" s="1"/>
  <c r="G21" i="82" s="1"/>
  <c r="H21" i="82" s="1"/>
  <c r="I21" i="82" s="1"/>
  <c r="J21" i="82" s="1"/>
  <c r="A2" i="88" l="1"/>
  <c r="A1" i="88"/>
  <c r="D21" i="83" l="1"/>
  <c r="E21" i="83" s="1"/>
  <c r="F21" i="83" s="1"/>
  <c r="G21" i="83" s="1"/>
  <c r="H21" i="83" s="1"/>
  <c r="I21" i="83" s="1"/>
  <c r="J21" i="83" s="1"/>
  <c r="L17" i="83" l="1"/>
  <c r="O17" i="83" s="1"/>
  <c r="M44" i="63"/>
  <c r="D44" i="48" s="1"/>
  <c r="Q44" i="48" s="1"/>
  <c r="D46" i="83"/>
  <c r="E46" i="83" s="1"/>
  <c r="F46" i="83" s="1"/>
  <c r="G46" i="83" s="1"/>
  <c r="H46" i="83" s="1"/>
  <c r="I46" i="83" s="1"/>
  <c r="J46" i="83" s="1"/>
  <c r="D45" i="83"/>
  <c r="D46" i="82"/>
  <c r="E46" i="82" s="1"/>
  <c r="F46" i="82" s="1"/>
  <c r="G46" i="82" s="1"/>
  <c r="H46" i="82" s="1"/>
  <c r="I46" i="82" s="1"/>
  <c r="J46" i="82" s="1"/>
  <c r="K46" i="82" s="1"/>
  <c r="M46" i="82" s="1"/>
  <c r="D45" i="82"/>
  <c r="N46" i="82" l="1"/>
  <c r="R46" i="82"/>
  <c r="K46" i="83"/>
  <c r="M46" i="83" s="1"/>
  <c r="D15" i="74" l="1"/>
  <c r="D13" i="74"/>
  <c r="D11" i="74"/>
  <c r="A3" i="85" l="1"/>
  <c r="A2" i="85"/>
  <c r="A1" i="85"/>
  <c r="B14" i="83" l="1"/>
  <c r="L14" i="83" l="1"/>
  <c r="B54" i="24"/>
  <c r="B14" i="82"/>
  <c r="P66" i="32" l="1"/>
  <c r="B50" i="24" l="1"/>
  <c r="B42" i="24"/>
  <c r="B56" i="24"/>
  <c r="B52" i="24"/>
  <c r="J43" i="83" l="1"/>
  <c r="F29" i="83"/>
  <c r="O8" i="83"/>
  <c r="H8" i="83"/>
  <c r="H7" i="83"/>
  <c r="H6" i="83"/>
  <c r="J43" i="82"/>
  <c r="F29" i="82"/>
  <c r="O8" i="82"/>
  <c r="H8" i="82"/>
  <c r="H7" i="82"/>
  <c r="H6" i="82"/>
  <c r="E45" i="82" l="1"/>
  <c r="F45" i="82" s="1"/>
  <c r="G45" i="82" s="1"/>
  <c r="H45" i="82" s="1"/>
  <c r="E45" i="83"/>
  <c r="F45" i="83" s="1"/>
  <c r="G45" i="83" s="1"/>
  <c r="H45" i="83" s="1"/>
  <c r="F38" i="58"/>
  <c r="F36" i="58"/>
  <c r="F34" i="58"/>
  <c r="I45" i="83" l="1"/>
  <c r="J45" i="83" s="1"/>
  <c r="K45" i="83" s="1"/>
  <c r="I45" i="82"/>
  <c r="J45" i="82" s="1"/>
  <c r="D44" i="63"/>
  <c r="N44" i="63" s="1"/>
  <c r="F44" i="48" s="1"/>
  <c r="B29" i="83" l="1"/>
  <c r="B29" i="82"/>
  <c r="D29" i="82" s="1"/>
  <c r="G29" i="82" s="1"/>
  <c r="H29" i="82" s="1"/>
  <c r="B22" i="58"/>
  <c r="F22" i="58" s="1"/>
  <c r="G29" i="83" l="1"/>
  <c r="H29" i="83" s="1"/>
  <c r="I29" i="83" s="1"/>
  <c r="J29" i="83" s="1"/>
  <c r="D29" i="83"/>
  <c r="I29" i="82"/>
  <c r="J29" i="82" s="1"/>
  <c r="B27" i="82"/>
  <c r="L27" i="82" s="1"/>
  <c r="N27" i="82" s="1"/>
  <c r="B27" i="83"/>
  <c r="O27" i="82" l="1"/>
  <c r="Q27" i="82"/>
  <c r="M64" i="63"/>
  <c r="D64" i="48" s="1"/>
  <c r="Q64" i="48" s="1"/>
  <c r="M66" i="63"/>
  <c r="D66" i="48" s="1"/>
  <c r="Q66" i="48" s="1"/>
  <c r="A48" i="83"/>
  <c r="H38" i="83"/>
  <c r="A38" i="83"/>
  <c r="A35" i="83"/>
  <c r="G33" i="83"/>
  <c r="H33" i="83" s="1"/>
  <c r="I33" i="83" s="1"/>
  <c r="A33" i="83"/>
  <c r="A31" i="83"/>
  <c r="L25" i="83"/>
  <c r="M25" i="83" s="1"/>
  <c r="D25" i="83"/>
  <c r="L23" i="83"/>
  <c r="M23" i="83" s="1"/>
  <c r="D23" i="83"/>
  <c r="L19" i="83"/>
  <c r="O19" i="83" s="1"/>
  <c r="D19" i="83"/>
  <c r="L18" i="83"/>
  <c r="O18" i="83" s="1"/>
  <c r="D18" i="83"/>
  <c r="D17" i="83"/>
  <c r="N14" i="83"/>
  <c r="L12" i="83"/>
  <c r="O12" i="83" s="1"/>
  <c r="D12" i="83"/>
  <c r="A3" i="83"/>
  <c r="A2" i="83"/>
  <c r="A1" i="83"/>
  <c r="A48" i="82"/>
  <c r="H38" i="82"/>
  <c r="A38" i="82"/>
  <c r="A35" i="82"/>
  <c r="G33" i="82"/>
  <c r="H33" i="82" s="1"/>
  <c r="I33" i="82" s="1"/>
  <c r="A33" i="82"/>
  <c r="A31" i="82"/>
  <c r="D25" i="82"/>
  <c r="C23" i="82"/>
  <c r="D19" i="82"/>
  <c r="D18" i="82"/>
  <c r="K14" i="82"/>
  <c r="I56" i="63"/>
  <c r="D12" i="82"/>
  <c r="A3" i="82"/>
  <c r="A2" i="82"/>
  <c r="A1" i="82"/>
  <c r="P27" i="82" l="1"/>
  <c r="K45" i="82"/>
  <c r="M45" i="82" s="1"/>
  <c r="L14" i="82"/>
  <c r="O14" i="82" s="1"/>
  <c r="P14" i="82" s="1"/>
  <c r="D62" i="63"/>
  <c r="M23" i="82"/>
  <c r="R23" i="82"/>
  <c r="G56" i="63"/>
  <c r="E12" i="82"/>
  <c r="F12" i="82" s="1"/>
  <c r="G12" i="82" s="1"/>
  <c r="M45" i="83"/>
  <c r="E12" i="83"/>
  <c r="F12" i="83" s="1"/>
  <c r="I38" i="83"/>
  <c r="J38" i="83" s="1"/>
  <c r="M38" i="83" s="1"/>
  <c r="I38" i="82"/>
  <c r="J38" i="82" s="1"/>
  <c r="M38" i="82" s="1"/>
  <c r="E25" i="83"/>
  <c r="F25" i="83" s="1"/>
  <c r="G25" i="83" s="1"/>
  <c r="H25" i="83" s="1"/>
  <c r="E23" i="83"/>
  <c r="F23" i="83" s="1"/>
  <c r="G23" i="83" s="1"/>
  <c r="H23" i="83" s="1"/>
  <c r="E17" i="83"/>
  <c r="F17" i="83" s="1"/>
  <c r="G17" i="83" s="1"/>
  <c r="H17" i="83" s="1"/>
  <c r="E19" i="83"/>
  <c r="F19" i="83" s="1"/>
  <c r="G19" i="83" s="1"/>
  <c r="H19" i="83" s="1"/>
  <c r="E18" i="83"/>
  <c r="F18" i="83" s="1"/>
  <c r="G18" i="83" s="1"/>
  <c r="H18" i="83" s="1"/>
  <c r="E25" i="82"/>
  <c r="F25" i="82" s="1"/>
  <c r="G25" i="82" s="1"/>
  <c r="H25" i="82" s="1"/>
  <c r="E17" i="82"/>
  <c r="F17" i="82" s="1"/>
  <c r="G17" i="82" s="1"/>
  <c r="H17" i="82" s="1"/>
  <c r="E18" i="82"/>
  <c r="F18" i="82" s="1"/>
  <c r="G18" i="82" s="1"/>
  <c r="H18" i="82" s="1"/>
  <c r="E19" i="82"/>
  <c r="F19" i="82" s="1"/>
  <c r="G19" i="82" s="1"/>
  <c r="H19" i="82" s="1"/>
  <c r="M12" i="83"/>
  <c r="M17" i="83"/>
  <c r="M18" i="83"/>
  <c r="M19" i="83"/>
  <c r="J33" i="83"/>
  <c r="M33" i="83" s="1"/>
  <c r="O23" i="83"/>
  <c r="O25" i="83"/>
  <c r="J33" i="82"/>
  <c r="M33" i="82" s="1"/>
  <c r="C60" i="24"/>
  <c r="D23" i="82"/>
  <c r="D48" i="82" s="1"/>
  <c r="C58" i="24"/>
  <c r="R33" i="82" l="1"/>
  <c r="R45" i="82"/>
  <c r="N45" i="82"/>
  <c r="D60" i="63"/>
  <c r="R38" i="82"/>
  <c r="O14" i="83"/>
  <c r="D58" i="63"/>
  <c r="D56" i="63"/>
  <c r="I19" i="83"/>
  <c r="J19" i="83" s="1"/>
  <c r="I23" i="83"/>
  <c r="J23" i="83" s="1"/>
  <c r="I25" i="83"/>
  <c r="J25" i="83" s="1"/>
  <c r="I25" i="82"/>
  <c r="J25" i="82" s="1"/>
  <c r="I19" i="82"/>
  <c r="J19" i="82" s="1"/>
  <c r="I18" i="83"/>
  <c r="J18" i="83" s="1"/>
  <c r="I17" i="83"/>
  <c r="J17" i="83" s="1"/>
  <c r="I18" i="82"/>
  <c r="J18" i="82" s="1"/>
  <c r="I17" i="82"/>
  <c r="J17" i="82" s="1"/>
  <c r="E23" i="82"/>
  <c r="F23" i="82" s="1"/>
  <c r="G23" i="82" s="1"/>
  <c r="H23" i="82" s="1"/>
  <c r="D58" i="61"/>
  <c r="D60" i="61"/>
  <c r="C50" i="24"/>
  <c r="G12" i="83"/>
  <c r="C54" i="24"/>
  <c r="H12" i="82"/>
  <c r="E48" i="82" l="1"/>
  <c r="D54" i="61" s="1"/>
  <c r="F48" i="82"/>
  <c r="C54" i="53" s="1"/>
  <c r="I12" i="82"/>
  <c r="J12" i="82" s="1"/>
  <c r="I23" i="82"/>
  <c r="D50" i="61"/>
  <c r="C60" i="53"/>
  <c r="C50" i="53"/>
  <c r="C58" i="53"/>
  <c r="H12" i="83"/>
  <c r="I12" i="83" s="1"/>
  <c r="G48" i="82" l="1"/>
  <c r="J23" i="82"/>
  <c r="C60" i="69"/>
  <c r="B60" i="88" l="1"/>
  <c r="J12" i="83"/>
  <c r="C60" i="88"/>
  <c r="C50" i="69"/>
  <c r="C58" i="69"/>
  <c r="B50" i="88" l="1"/>
  <c r="B60" i="56"/>
  <c r="B58" i="88"/>
  <c r="D60" i="88"/>
  <c r="E60" i="88" s="1"/>
  <c r="C58" i="88"/>
  <c r="C50" i="88"/>
  <c r="B58" i="56" l="1"/>
  <c r="D58" i="88"/>
  <c r="E58" i="88" s="1"/>
  <c r="D50" i="88"/>
  <c r="E50" i="88" s="1"/>
  <c r="B50" i="56"/>
  <c r="A2" i="75" l="1"/>
  <c r="A3" i="74" l="1"/>
  <c r="A2" i="74"/>
  <c r="A1" i="74"/>
  <c r="I14" i="63" l="1"/>
  <c r="A2" i="70"/>
  <c r="A1" i="70"/>
  <c r="N13" i="1" l="1"/>
  <c r="N15" i="1"/>
  <c r="H18" i="128"/>
  <c r="H31" i="128"/>
  <c r="H42" i="128"/>
  <c r="N42" i="128" s="1"/>
  <c r="H16" i="128"/>
  <c r="H15" i="128"/>
  <c r="H17" i="128"/>
  <c r="H30" i="128"/>
  <c r="H29" i="128"/>
  <c r="H28" i="128"/>
  <c r="H43" i="128"/>
  <c r="N43" i="128" s="1"/>
  <c r="H41" i="128"/>
  <c r="I27" i="127"/>
  <c r="L27" i="127" s="1"/>
  <c r="M27" i="127" s="1"/>
  <c r="I26" i="127"/>
  <c r="L26" i="127" s="1"/>
  <c r="M26" i="127" s="1"/>
  <c r="I28" i="127"/>
  <c r="L28" i="127" s="1"/>
  <c r="M28" i="127" s="1"/>
  <c r="H44" i="128"/>
  <c r="I44" i="127"/>
  <c r="I40" i="127"/>
  <c r="I56" i="127"/>
  <c r="I43" i="127"/>
  <c r="I37" i="127"/>
  <c r="I55" i="127"/>
  <c r="I36" i="127"/>
  <c r="I54" i="127"/>
  <c r="I41" i="127"/>
  <c r="I32" i="127"/>
  <c r="I42" i="127"/>
  <c r="L42" i="127" s="1"/>
  <c r="M42" i="127" s="1"/>
  <c r="I16" i="127"/>
  <c r="L16" i="127" s="1"/>
  <c r="M16" i="127" s="1"/>
  <c r="I17" i="127"/>
  <c r="L17" i="127" s="1"/>
  <c r="M17" i="127" s="1"/>
  <c r="I18" i="127"/>
  <c r="L18" i="127" s="1"/>
  <c r="M18" i="127" s="1"/>
  <c r="I19" i="127"/>
  <c r="L19" i="127" s="1"/>
  <c r="M19" i="127" s="1"/>
  <c r="I29" i="127"/>
  <c r="L29" i="127" s="1"/>
  <c r="M29" i="127" s="1"/>
  <c r="I21" i="127"/>
  <c r="L21" i="127" s="1"/>
  <c r="M21" i="127" s="1"/>
  <c r="I22" i="127"/>
  <c r="L22" i="127" s="1"/>
  <c r="M22" i="127" s="1"/>
  <c r="I15" i="127"/>
  <c r="L15" i="127" s="1"/>
  <c r="M15" i="127" s="1"/>
  <c r="H13" i="126"/>
  <c r="H13" i="117"/>
  <c r="N13" i="117" s="1"/>
  <c r="H14" i="115"/>
  <c r="H14" i="114"/>
  <c r="H13" i="109"/>
  <c r="H13" i="105"/>
  <c r="N13" i="105" s="1"/>
  <c r="H13" i="102"/>
  <c r="N13" i="102" s="1"/>
  <c r="H13" i="123"/>
  <c r="H13" i="113"/>
  <c r="N13" i="113" s="1"/>
  <c r="H13" i="110"/>
  <c r="N13" i="110" s="1"/>
  <c r="H13" i="121"/>
  <c r="N13" i="121" s="1"/>
  <c r="H13" i="112"/>
  <c r="H14" i="109"/>
  <c r="H13" i="118"/>
  <c r="H13" i="114"/>
  <c r="H14" i="108"/>
  <c r="N14" i="108" s="1"/>
  <c r="H14" i="110"/>
  <c r="N14" i="110" s="1"/>
  <c r="H13" i="107"/>
  <c r="H15" i="106"/>
  <c r="H13" i="124"/>
  <c r="H14" i="116"/>
  <c r="N14" i="116" s="1"/>
  <c r="H13" i="111"/>
  <c r="H13" i="108"/>
  <c r="N13" i="108" s="1"/>
  <c r="H14" i="106"/>
  <c r="H13" i="125"/>
  <c r="H14" i="111"/>
  <c r="H13" i="106"/>
  <c r="H14" i="105"/>
  <c r="N14" i="105" s="1"/>
  <c r="H14" i="102"/>
  <c r="N14" i="102" s="1"/>
  <c r="H13" i="116"/>
  <c r="N13" i="116" s="1"/>
  <c r="H14" i="101"/>
  <c r="N14" i="101" s="1"/>
  <c r="H13" i="101"/>
  <c r="N13" i="101" s="1"/>
  <c r="H13" i="122"/>
  <c r="N13" i="122" s="1"/>
  <c r="H13" i="115"/>
  <c r="A31" i="58"/>
  <c r="P56" i="127" l="1"/>
  <c r="P32" i="127"/>
  <c r="L32" i="127"/>
  <c r="M32" i="127" s="1"/>
  <c r="P55" i="127"/>
  <c r="P40" i="127"/>
  <c r="L40" i="127"/>
  <c r="M40" i="127" s="1"/>
  <c r="P36" i="127"/>
  <c r="L36" i="127"/>
  <c r="M36" i="127" s="1"/>
  <c r="P41" i="127"/>
  <c r="L41" i="127"/>
  <c r="M41" i="127" s="1"/>
  <c r="P37" i="127"/>
  <c r="L37" i="127"/>
  <c r="M37" i="127" s="1"/>
  <c r="P44" i="127"/>
  <c r="L44" i="127"/>
  <c r="M44" i="127" s="1"/>
  <c r="P43" i="127"/>
  <c r="L43" i="127"/>
  <c r="M43" i="127" s="1"/>
  <c r="N53" i="1"/>
  <c r="P29" i="127"/>
  <c r="P16" i="127"/>
  <c r="P54" i="127"/>
  <c r="N44" i="128"/>
  <c r="N41" i="128"/>
  <c r="N30" i="128"/>
  <c r="P15" i="127"/>
  <c r="S15" i="127" s="1"/>
  <c r="P19" i="127"/>
  <c r="P42" i="127"/>
  <c r="P28" i="127"/>
  <c r="N17" i="128"/>
  <c r="N31" i="128"/>
  <c r="N18" i="128"/>
  <c r="P22" i="127"/>
  <c r="P18" i="127"/>
  <c r="P26" i="127"/>
  <c r="N28" i="128"/>
  <c r="N15" i="128"/>
  <c r="P21" i="127"/>
  <c r="P17" i="127"/>
  <c r="P27" i="127"/>
  <c r="N29" i="128"/>
  <c r="N16" i="128"/>
  <c r="N13" i="119"/>
  <c r="N13" i="114"/>
  <c r="N13" i="125"/>
  <c r="N13" i="107"/>
  <c r="N13" i="118"/>
  <c r="N14" i="115"/>
  <c r="N13" i="111"/>
  <c r="N14" i="114"/>
  <c r="N14" i="106"/>
  <c r="N13" i="124"/>
  <c r="N14" i="109"/>
  <c r="N14" i="111"/>
  <c r="N15" i="106"/>
  <c r="N13" i="123"/>
  <c r="N13" i="115"/>
  <c r="N13" i="106"/>
  <c r="N13" i="112"/>
  <c r="N13" i="109"/>
  <c r="N13" i="126"/>
  <c r="I12" i="63"/>
  <c r="C39" i="70"/>
  <c r="M59" i="127" l="1"/>
  <c r="N53" i="101"/>
  <c r="P81" i="127"/>
  <c r="O45" i="62" s="1"/>
  <c r="N53" i="115"/>
  <c r="O28" i="62" s="1"/>
  <c r="N53" i="109"/>
  <c r="O21" i="62" s="1"/>
  <c r="N53" i="123"/>
  <c r="O39" i="62" s="1"/>
  <c r="N53" i="121"/>
  <c r="O35" i="62" s="1"/>
  <c r="N53" i="122"/>
  <c r="O36" i="62" s="1"/>
  <c r="N53" i="102"/>
  <c r="O12" i="62" s="1"/>
  <c r="N53" i="118"/>
  <c r="O31" i="62" s="1"/>
  <c r="N53" i="114"/>
  <c r="O27" i="62" s="1"/>
  <c r="N53" i="106"/>
  <c r="O18" i="62" s="1"/>
  <c r="N53" i="105"/>
  <c r="O17" i="62" s="1"/>
  <c r="N53" i="116"/>
  <c r="O29" i="62" s="1"/>
  <c r="N53" i="117"/>
  <c r="O30" i="62" s="1"/>
  <c r="N53" i="111"/>
  <c r="O23" i="62" s="1"/>
  <c r="N53" i="112"/>
  <c r="O48" i="62" s="1"/>
  <c r="N53" i="124"/>
  <c r="O40" i="62" s="1"/>
  <c r="N53" i="126"/>
  <c r="O42" i="62" s="1"/>
  <c r="N53" i="113"/>
  <c r="O26" i="62" s="1"/>
  <c r="N53" i="108"/>
  <c r="O20" i="62" s="1"/>
  <c r="N53" i="110"/>
  <c r="O22" i="62" s="1"/>
  <c r="N53" i="107"/>
  <c r="O19" i="62" s="1"/>
  <c r="N54" i="125"/>
  <c r="O41" i="62" s="1"/>
  <c r="N53" i="119"/>
  <c r="A2" i="69"/>
  <c r="A1" i="69"/>
  <c r="G7" i="58"/>
  <c r="G8" i="58"/>
  <c r="G6" i="58"/>
  <c r="C26" i="70"/>
  <c r="C16" i="70"/>
  <c r="C34" i="70"/>
  <c r="C28" i="70"/>
  <c r="C17" i="70"/>
  <c r="C23" i="70"/>
  <c r="C32" i="70"/>
  <c r="C19" i="70"/>
  <c r="C15" i="70"/>
  <c r="C20" i="70"/>
  <c r="C24" i="70"/>
  <c r="C12" i="70"/>
  <c r="C35" i="70"/>
  <c r="C37" i="70"/>
  <c r="C36" i="70"/>
  <c r="C25" i="70"/>
  <c r="C27" i="70"/>
  <c r="C42" i="70"/>
  <c r="C21" i="70"/>
  <c r="C18" i="70"/>
  <c r="C31" i="70"/>
  <c r="C11" i="70"/>
  <c r="C29" i="70"/>
  <c r="O32" i="62" l="1"/>
  <c r="O33" i="62" s="1"/>
  <c r="O11" i="62"/>
  <c r="O37" i="62"/>
  <c r="O43" i="62"/>
  <c r="A1" i="57"/>
  <c r="A2" i="57"/>
  <c r="A3" i="57"/>
  <c r="A1" i="32"/>
  <c r="A2" i="32"/>
  <c r="A3" i="32"/>
  <c r="F31" i="58"/>
  <c r="A1" i="49"/>
  <c r="A2" i="49"/>
  <c r="A3" i="49"/>
  <c r="M22" i="63"/>
  <c r="D22" i="48" s="1"/>
  <c r="Q22" i="48" s="1"/>
  <c r="M28" i="63"/>
  <c r="D28" i="48" s="1"/>
  <c r="Q28" i="48" s="1"/>
  <c r="M34" i="63"/>
  <c r="D34" i="48" s="1"/>
  <c r="Q34" i="48" s="1"/>
  <c r="M70" i="63"/>
  <c r="D70" i="48" s="1"/>
  <c r="Q70" i="48" s="1"/>
  <c r="B14" i="24"/>
  <c r="B16" i="58"/>
  <c r="B20" i="24"/>
  <c r="B26" i="24"/>
  <c r="B14" i="71"/>
  <c r="B30" i="24"/>
  <c r="B15" i="71"/>
  <c r="B32" i="24"/>
  <c r="B36" i="24"/>
  <c r="B19" i="71"/>
  <c r="B40" i="24"/>
  <c r="B46" i="24"/>
  <c r="B48" i="24"/>
  <c r="B60" i="24"/>
  <c r="B62" i="24"/>
  <c r="B64" i="24"/>
  <c r="B66" i="24"/>
  <c r="B68" i="24"/>
  <c r="A1" i="58"/>
  <c r="A2" i="58"/>
  <c r="A3" i="58"/>
  <c r="A24" i="58"/>
  <c r="A26" i="58"/>
  <c r="A28" i="58"/>
  <c r="A40" i="58"/>
  <c r="A3" i="48"/>
  <c r="A3" i="63"/>
  <c r="H72" i="63"/>
  <c r="A1" i="47"/>
  <c r="A2" i="47"/>
  <c r="A1" i="56"/>
  <c r="A2" i="56"/>
  <c r="A1" i="54"/>
  <c r="A2" i="54"/>
  <c r="A1" i="53"/>
  <c r="A2" i="53"/>
  <c r="A1" i="61"/>
  <c r="A2" i="61"/>
  <c r="A1" i="24"/>
  <c r="A2" i="24"/>
  <c r="A2" i="62"/>
  <c r="O13" i="1" l="1"/>
  <c r="I15" i="128"/>
  <c r="O15" i="128" s="1"/>
  <c r="I33" i="128"/>
  <c r="I16" i="105"/>
  <c r="O16" i="105" s="1"/>
  <c r="I13" i="1"/>
  <c r="O17" i="1"/>
  <c r="Q17" i="1" s="1"/>
  <c r="I47" i="128"/>
  <c r="I51" i="128"/>
  <c r="K51" i="128" s="1"/>
  <c r="T51" i="128" s="1"/>
  <c r="I23" i="128"/>
  <c r="I21" i="128"/>
  <c r="I50" i="128"/>
  <c r="K50" i="128" s="1"/>
  <c r="T50" i="128" s="1"/>
  <c r="I20" i="128"/>
  <c r="I48" i="128"/>
  <c r="I46" i="128"/>
  <c r="I24" i="128"/>
  <c r="I49" i="128"/>
  <c r="I25" i="128"/>
  <c r="I22" i="128"/>
  <c r="I19" i="113"/>
  <c r="I15" i="106"/>
  <c r="O15" i="106" s="1"/>
  <c r="I43" i="128"/>
  <c r="O43" i="128" s="1"/>
  <c r="I42" i="128"/>
  <c r="O42" i="128" s="1"/>
  <c r="I41" i="128"/>
  <c r="O41" i="128" s="1"/>
  <c r="I44" i="128"/>
  <c r="O44" i="128" s="1"/>
  <c r="I28" i="128"/>
  <c r="O28" i="128" s="1"/>
  <c r="I31" i="128"/>
  <c r="O31" i="128" s="1"/>
  <c r="I17" i="128"/>
  <c r="O17" i="128" s="1"/>
  <c r="J56" i="127"/>
  <c r="L56" i="127" s="1"/>
  <c r="J55" i="127"/>
  <c r="L55" i="127" s="1"/>
  <c r="J54" i="127"/>
  <c r="L54" i="127" s="1"/>
  <c r="I18" i="128"/>
  <c r="O18" i="128" s="1"/>
  <c r="I30" i="128"/>
  <c r="O30" i="128" s="1"/>
  <c r="I16" i="128"/>
  <c r="O16" i="128" s="1"/>
  <c r="I29" i="128"/>
  <c r="O29" i="128" s="1"/>
  <c r="I13" i="123"/>
  <c r="G58" i="128"/>
  <c r="H62" i="127"/>
  <c r="H76" i="127"/>
  <c r="G72" i="128"/>
  <c r="E46" i="62" s="1"/>
  <c r="G48" i="126"/>
  <c r="G34" i="126"/>
  <c r="Q30" i="126"/>
  <c r="G48" i="124"/>
  <c r="G34" i="124"/>
  <c r="Q30" i="123"/>
  <c r="G48" i="122"/>
  <c r="G34" i="122"/>
  <c r="G48" i="115"/>
  <c r="G34" i="115"/>
  <c r="G48" i="114"/>
  <c r="G34" i="114"/>
  <c r="G48" i="113"/>
  <c r="G34" i="113"/>
  <c r="G49" i="125"/>
  <c r="G35" i="125"/>
  <c r="G48" i="121"/>
  <c r="G34" i="121"/>
  <c r="G48" i="119"/>
  <c r="G34" i="119"/>
  <c r="G48" i="117"/>
  <c r="G34" i="117"/>
  <c r="G48" i="112"/>
  <c r="G34" i="112"/>
  <c r="G48" i="109"/>
  <c r="G34" i="109"/>
  <c r="G48" i="108"/>
  <c r="G34" i="108"/>
  <c r="Q30" i="124"/>
  <c r="G48" i="123"/>
  <c r="G34" i="123"/>
  <c r="G48" i="118"/>
  <c r="G34" i="118"/>
  <c r="G40" i="112"/>
  <c r="G48" i="111"/>
  <c r="G34" i="111"/>
  <c r="G48" i="110"/>
  <c r="G34" i="110"/>
  <c r="G48" i="106"/>
  <c r="G34" i="106"/>
  <c r="G48" i="116"/>
  <c r="G34" i="105"/>
  <c r="Q31" i="125"/>
  <c r="G34" i="116"/>
  <c r="G48" i="107"/>
  <c r="G34" i="107"/>
  <c r="G48" i="102"/>
  <c r="G34" i="102"/>
  <c r="Q30" i="119"/>
  <c r="G48" i="104"/>
  <c r="G34" i="104"/>
  <c r="G48" i="105"/>
  <c r="I17" i="126"/>
  <c r="O17" i="126" s="1"/>
  <c r="I15" i="124"/>
  <c r="O15" i="124" s="1"/>
  <c r="I16" i="123"/>
  <c r="I21" i="123"/>
  <c r="I17" i="122"/>
  <c r="I19" i="119"/>
  <c r="I15" i="118"/>
  <c r="O15" i="118" s="1"/>
  <c r="I14" i="116"/>
  <c r="O14" i="116" s="1"/>
  <c r="I16" i="114"/>
  <c r="O16" i="114" s="1"/>
  <c r="I17" i="113"/>
  <c r="O17" i="113" s="1"/>
  <c r="I13" i="111"/>
  <c r="O13" i="111" s="1"/>
  <c r="I18" i="111"/>
  <c r="O18" i="111" s="1"/>
  <c r="I14" i="109"/>
  <c r="O14" i="109" s="1"/>
  <c r="I13" i="126"/>
  <c r="O13" i="126" s="1"/>
  <c r="I19" i="126"/>
  <c r="O19" i="126" s="1"/>
  <c r="I21" i="124"/>
  <c r="O21" i="124" s="1"/>
  <c r="I16" i="124"/>
  <c r="O16" i="124" s="1"/>
  <c r="I13" i="124"/>
  <c r="O13" i="124" s="1"/>
  <c r="I15" i="122"/>
  <c r="I15" i="119"/>
  <c r="I13" i="118"/>
  <c r="O13" i="118" s="1"/>
  <c r="I20" i="116"/>
  <c r="O20" i="116" s="1"/>
  <c r="I13" i="116"/>
  <c r="O13" i="116" s="1"/>
  <c r="I16" i="115"/>
  <c r="O16" i="115" s="1"/>
  <c r="I13" i="115"/>
  <c r="O13" i="115" s="1"/>
  <c r="I13" i="114"/>
  <c r="O13" i="114" s="1"/>
  <c r="I15" i="126"/>
  <c r="O15" i="126" s="1"/>
  <c r="I21" i="126"/>
  <c r="O21" i="126" s="1"/>
  <c r="I23" i="124"/>
  <c r="O23" i="124" s="1"/>
  <c r="Q23" i="124" s="1"/>
  <c r="I15" i="121"/>
  <c r="O15" i="121" s="1"/>
  <c r="I15" i="117"/>
  <c r="O15" i="117" s="1"/>
  <c r="I20" i="115"/>
  <c r="O20" i="115" s="1"/>
  <c r="I14" i="115"/>
  <c r="O14" i="115" s="1"/>
  <c r="I14" i="114"/>
  <c r="O14" i="114" s="1"/>
  <c r="I15" i="113"/>
  <c r="O15" i="113" s="1"/>
  <c r="I14" i="111"/>
  <c r="O14" i="111" s="1"/>
  <c r="I13" i="109"/>
  <c r="O13" i="109" s="1"/>
  <c r="I15" i="123"/>
  <c r="I13" i="119"/>
  <c r="K13" i="119" s="1"/>
  <c r="K41" i="57" s="1"/>
  <c r="M41" i="57" s="1"/>
  <c r="O41" i="57" s="1"/>
  <c r="I14" i="102"/>
  <c r="O14" i="102" s="1"/>
  <c r="I16" i="104"/>
  <c r="O16" i="104" s="1"/>
  <c r="I16" i="126"/>
  <c r="O16" i="126" s="1"/>
  <c r="I19" i="123"/>
  <c r="I17" i="121"/>
  <c r="O17" i="121" s="1"/>
  <c r="I13" i="110"/>
  <c r="O13" i="110" s="1"/>
  <c r="I16" i="109"/>
  <c r="O16" i="109" s="1"/>
  <c r="I13" i="106"/>
  <c r="O13" i="106" s="1"/>
  <c r="I13" i="102"/>
  <c r="O13" i="102" s="1"/>
  <c r="I16" i="108"/>
  <c r="O16" i="108" s="1"/>
  <c r="I16" i="102"/>
  <c r="O16" i="102" s="1"/>
  <c r="I23" i="126"/>
  <c r="O23" i="126" s="1"/>
  <c r="I19" i="124"/>
  <c r="O19" i="124" s="1"/>
  <c r="I18" i="110"/>
  <c r="O18" i="110" s="1"/>
  <c r="I15" i="107"/>
  <c r="O15" i="107" s="1"/>
  <c r="I17" i="106"/>
  <c r="O17" i="106" s="1"/>
  <c r="I14" i="106"/>
  <c r="O14" i="106" s="1"/>
  <c r="I13" i="105"/>
  <c r="O13" i="105" s="1"/>
  <c r="Q13" i="105" s="1"/>
  <c r="I18" i="104"/>
  <c r="O18" i="104" s="1"/>
  <c r="I13" i="125"/>
  <c r="O13" i="125" s="1"/>
  <c r="I13" i="107"/>
  <c r="O13" i="107" s="1"/>
  <c r="I19" i="121"/>
  <c r="O19" i="121" s="1"/>
  <c r="I18" i="115"/>
  <c r="O18" i="115" s="1"/>
  <c r="I15" i="125"/>
  <c r="O15" i="125" s="1"/>
  <c r="I21" i="125"/>
  <c r="O21" i="125" s="1"/>
  <c r="I17" i="118"/>
  <c r="O17" i="118" s="1"/>
  <c r="I19" i="117"/>
  <c r="I15" i="112"/>
  <c r="O15" i="112" s="1"/>
  <c r="I13" i="101"/>
  <c r="O13" i="101" s="1"/>
  <c r="I16" i="101"/>
  <c r="I19" i="125"/>
  <c r="O19" i="125" s="1"/>
  <c r="I17" i="117"/>
  <c r="O17" i="117" s="1"/>
  <c r="I19" i="122"/>
  <c r="I16" i="125"/>
  <c r="O16" i="125" s="1"/>
  <c r="I23" i="125"/>
  <c r="O23" i="125" s="1"/>
  <c r="I13" i="122"/>
  <c r="I16" i="116"/>
  <c r="O16" i="116" s="1"/>
  <c r="I13" i="112"/>
  <c r="O13" i="112" s="1"/>
  <c r="I16" i="111"/>
  <c r="O16" i="111" s="1"/>
  <c r="I16" i="110"/>
  <c r="O16" i="110" s="1"/>
  <c r="I17" i="123"/>
  <c r="I17" i="125"/>
  <c r="O17" i="125" s="1"/>
  <c r="I17" i="124"/>
  <c r="O17" i="124" s="1"/>
  <c r="I13" i="121"/>
  <c r="O13" i="121" s="1"/>
  <c r="I19" i="118"/>
  <c r="I18" i="116"/>
  <c r="O18" i="116" s="1"/>
  <c r="I13" i="113"/>
  <c r="O13" i="113" s="1"/>
  <c r="I14" i="110"/>
  <c r="O14" i="110" s="1"/>
  <c r="I14" i="105"/>
  <c r="O14" i="105" s="1"/>
  <c r="I15" i="101"/>
  <c r="I17" i="101"/>
  <c r="I13" i="117"/>
  <c r="O13" i="117" s="1"/>
  <c r="I17" i="119"/>
  <c r="I17" i="112"/>
  <c r="O17" i="112" s="1"/>
  <c r="I14" i="101"/>
  <c r="O14" i="101" s="1"/>
  <c r="I13" i="108"/>
  <c r="O13" i="108" s="1"/>
  <c r="I14" i="108"/>
  <c r="O14" i="108" s="1"/>
  <c r="I18" i="101"/>
  <c r="I22" i="101"/>
  <c r="I26" i="101"/>
  <c r="I20" i="101"/>
  <c r="I24" i="101"/>
  <c r="I25" i="101"/>
  <c r="I19" i="101"/>
  <c r="I23" i="101"/>
  <c r="I27" i="101"/>
  <c r="I28" i="101"/>
  <c r="I21" i="101"/>
  <c r="G48" i="101"/>
  <c r="G34" i="101"/>
  <c r="I15" i="1"/>
  <c r="I17" i="1"/>
  <c r="K17" i="1" s="1"/>
  <c r="O15" i="1"/>
  <c r="G48" i="1"/>
  <c r="G34" i="1"/>
  <c r="B9" i="71"/>
  <c r="H16" i="58"/>
  <c r="K16" i="58" s="1"/>
  <c r="B6" i="71"/>
  <c r="B23" i="71"/>
  <c r="B12" i="71"/>
  <c r="B21" i="71"/>
  <c r="B17" i="71"/>
  <c r="B24" i="24"/>
  <c r="C5" i="48"/>
  <c r="H7" i="63"/>
  <c r="M7" i="63"/>
  <c r="B11" i="71"/>
  <c r="D68" i="63"/>
  <c r="N68" i="63" s="1"/>
  <c r="F68" i="48" s="1"/>
  <c r="B26" i="71"/>
  <c r="E26" i="71" s="1"/>
  <c r="H26" i="71" s="1"/>
  <c r="M26" i="63"/>
  <c r="D26" i="48" s="1"/>
  <c r="Q26" i="48" s="1"/>
  <c r="M50" i="63"/>
  <c r="D50" i="48" s="1"/>
  <c r="Q50" i="48" s="1"/>
  <c r="G72" i="63"/>
  <c r="I72" i="63"/>
  <c r="F28" i="58"/>
  <c r="M24" i="63"/>
  <c r="D24" i="48" s="1"/>
  <c r="Q24" i="48" s="1"/>
  <c r="M32" i="63"/>
  <c r="D32" i="48" s="1"/>
  <c r="Q32" i="48" s="1"/>
  <c r="M48" i="63"/>
  <c r="D48" i="48" s="1"/>
  <c r="Q48" i="48" s="1"/>
  <c r="M20" i="63"/>
  <c r="D20" i="48" s="1"/>
  <c r="Q20" i="48" s="1"/>
  <c r="M16" i="63"/>
  <c r="D16" i="48" s="1"/>
  <c r="Q16" i="48" s="1"/>
  <c r="F24" i="58"/>
  <c r="B22" i="24"/>
  <c r="M42" i="63"/>
  <c r="D42" i="48" s="1"/>
  <c r="Q42" i="48" s="1"/>
  <c r="B58" i="24"/>
  <c r="M60" i="63"/>
  <c r="D60" i="48" s="1"/>
  <c r="Q60" i="48" s="1"/>
  <c r="B38" i="24"/>
  <c r="B34" i="24"/>
  <c r="M62" i="63"/>
  <c r="D62" i="48" s="1"/>
  <c r="Q62" i="48" s="1"/>
  <c r="M58" i="63"/>
  <c r="D58" i="48" s="1"/>
  <c r="Q58" i="48" s="1"/>
  <c r="M56" i="63"/>
  <c r="D56" i="48" s="1"/>
  <c r="Q56" i="48" s="1"/>
  <c r="B12" i="24"/>
  <c r="B28" i="24"/>
  <c r="B44" i="24"/>
  <c r="B18" i="24"/>
  <c r="B16" i="24"/>
  <c r="T17" i="1" l="1"/>
  <c r="Y10" i="62"/>
  <c r="Q15" i="128"/>
  <c r="Q16" i="128"/>
  <c r="O33" i="128"/>
  <c r="K33" i="128"/>
  <c r="T33" i="128" s="1"/>
  <c r="K22" i="128"/>
  <c r="T22" i="128" s="1"/>
  <c r="O22" i="128"/>
  <c r="Q48" i="127"/>
  <c r="S48" i="127" s="1"/>
  <c r="K25" i="128"/>
  <c r="T25" i="128" s="1"/>
  <c r="O25" i="128"/>
  <c r="K48" i="128"/>
  <c r="T48" i="128" s="1"/>
  <c r="O48" i="128"/>
  <c r="K23" i="128"/>
  <c r="T23" i="128" s="1"/>
  <c r="O23" i="128"/>
  <c r="K21" i="128"/>
  <c r="T21" i="128" s="1"/>
  <c r="O21" i="128"/>
  <c r="Q49" i="127"/>
  <c r="S49" i="127" s="1"/>
  <c r="K49" i="128"/>
  <c r="T49" i="128" s="1"/>
  <c r="O49" i="128"/>
  <c r="K20" i="128"/>
  <c r="T20" i="128" s="1"/>
  <c r="O20" i="128"/>
  <c r="Q47" i="127"/>
  <c r="S47" i="127" s="1"/>
  <c r="K46" i="128"/>
  <c r="T46" i="128" s="1"/>
  <c r="O46" i="128"/>
  <c r="Q50" i="127"/>
  <c r="S50" i="127" s="1"/>
  <c r="K24" i="128"/>
  <c r="T24" i="128" s="1"/>
  <c r="O24" i="128"/>
  <c r="K47" i="128"/>
  <c r="T47" i="128" s="1"/>
  <c r="O47" i="128"/>
  <c r="K23" i="124"/>
  <c r="T23" i="124" s="1"/>
  <c r="K20" i="101"/>
  <c r="O20" i="101"/>
  <c r="Q20" i="101" s="1"/>
  <c r="K19" i="118"/>
  <c r="O19" i="118"/>
  <c r="Q19" i="118" s="1"/>
  <c r="K19" i="113"/>
  <c r="T19" i="113" s="1"/>
  <c r="O19" i="113"/>
  <c r="Q19" i="113" s="1"/>
  <c r="K19" i="117"/>
  <c r="O19" i="117"/>
  <c r="Q19" i="117" s="1"/>
  <c r="K19" i="101"/>
  <c r="O19" i="101"/>
  <c r="Q19" i="101" s="1"/>
  <c r="E29" i="62"/>
  <c r="E31" i="62"/>
  <c r="E48" i="62"/>
  <c r="E36" i="62"/>
  <c r="E19" i="62"/>
  <c r="E30" i="62"/>
  <c r="E35" i="62"/>
  <c r="E26" i="62"/>
  <c r="E11" i="62"/>
  <c r="E16" i="62"/>
  <c r="E21" i="62"/>
  <c r="E32" i="62"/>
  <c r="E17" i="62"/>
  <c r="E22" i="62"/>
  <c r="E27" i="62"/>
  <c r="E42" i="62"/>
  <c r="E10" i="62"/>
  <c r="E45" i="62"/>
  <c r="AE32" i="62"/>
  <c r="T30" i="119"/>
  <c r="AE40" i="62"/>
  <c r="T30" i="124"/>
  <c r="E23" i="62"/>
  <c r="E28" i="62"/>
  <c r="E18" i="62"/>
  <c r="AE39" i="62"/>
  <c r="T30" i="123"/>
  <c r="AE41" i="62"/>
  <c r="T31" i="125"/>
  <c r="E41" i="62"/>
  <c r="E12" i="62"/>
  <c r="E39" i="62"/>
  <c r="E20" i="62"/>
  <c r="E40" i="62"/>
  <c r="AE42" i="62"/>
  <c r="T30" i="126"/>
  <c r="K15" i="128"/>
  <c r="Q44" i="128"/>
  <c r="K44" i="128"/>
  <c r="S29" i="127"/>
  <c r="K16" i="128"/>
  <c r="S19" i="127"/>
  <c r="S36" i="127"/>
  <c r="S42" i="127"/>
  <c r="Q55" i="127"/>
  <c r="S55" i="127" s="1"/>
  <c r="Q28" i="128"/>
  <c r="K28" i="128"/>
  <c r="S27" i="127"/>
  <c r="S18" i="127"/>
  <c r="Q30" i="128"/>
  <c r="K30" i="128"/>
  <c r="S17" i="127"/>
  <c r="S37" i="127"/>
  <c r="S43" i="127"/>
  <c r="Q56" i="127"/>
  <c r="Q41" i="128"/>
  <c r="K41" i="128"/>
  <c r="S16" i="127"/>
  <c r="Q18" i="128"/>
  <c r="K18" i="128"/>
  <c r="S40" i="127"/>
  <c r="S44" i="127"/>
  <c r="Q17" i="128"/>
  <c r="K17" i="128"/>
  <c r="S28" i="127"/>
  <c r="K42" i="128"/>
  <c r="Q42" i="128"/>
  <c r="S22" i="127"/>
  <c r="Q29" i="128"/>
  <c r="K29" i="128"/>
  <c r="S21" i="127"/>
  <c r="S32" i="127"/>
  <c r="S41" i="127"/>
  <c r="Q54" i="127"/>
  <c r="S54" i="127" s="1"/>
  <c r="Q31" i="128"/>
  <c r="K31" i="128"/>
  <c r="S26" i="127"/>
  <c r="K43" i="128"/>
  <c r="Q43" i="128"/>
  <c r="Q17" i="112"/>
  <c r="K17" i="112"/>
  <c r="T17" i="112" s="1"/>
  <c r="Q18" i="116"/>
  <c r="K18" i="116"/>
  <c r="T18" i="116" s="1"/>
  <c r="Q23" i="125"/>
  <c r="K23" i="125"/>
  <c r="T23" i="125" s="1"/>
  <c r="Q15" i="107"/>
  <c r="K15" i="107"/>
  <c r="T15" i="107" s="1"/>
  <c r="O19" i="123"/>
  <c r="Q19" i="123" s="1"/>
  <c r="K19" i="123"/>
  <c r="T19" i="123" s="1"/>
  <c r="K13" i="109"/>
  <c r="Q14" i="115"/>
  <c r="K14" i="115"/>
  <c r="T14" i="115" s="1"/>
  <c r="K13" i="114"/>
  <c r="Q19" i="126"/>
  <c r="K19" i="126"/>
  <c r="T19" i="126" s="1"/>
  <c r="Q15" i="118"/>
  <c r="K15" i="118"/>
  <c r="B36" i="75" s="1"/>
  <c r="K14" i="108"/>
  <c r="Q13" i="112"/>
  <c r="K13" i="112"/>
  <c r="Q17" i="118"/>
  <c r="K17" i="118"/>
  <c r="T17" i="118" s="1"/>
  <c r="K18" i="110"/>
  <c r="T18" i="110" s="1"/>
  <c r="Q18" i="110"/>
  <c r="K16" i="109"/>
  <c r="T16" i="109" s="1"/>
  <c r="Q16" i="109"/>
  <c r="K16" i="105"/>
  <c r="T16" i="105" s="1"/>
  <c r="Q16" i="105"/>
  <c r="Q21" i="126"/>
  <c r="K21" i="126"/>
  <c r="K13" i="118"/>
  <c r="K39" i="57" s="1"/>
  <c r="M39" i="57" s="1"/>
  <c r="O39" i="57" s="1"/>
  <c r="K17" i="113"/>
  <c r="T17" i="113" s="1"/>
  <c r="Q17" i="113"/>
  <c r="K19" i="119"/>
  <c r="O19" i="119"/>
  <c r="Q19" i="119" s="1"/>
  <c r="T19" i="119" s="1"/>
  <c r="Q13" i="108"/>
  <c r="K13" i="108"/>
  <c r="Q14" i="110"/>
  <c r="K14" i="110"/>
  <c r="T14" i="110" s="1"/>
  <c r="K13" i="121"/>
  <c r="K49" i="57" s="1"/>
  <c r="M49" i="57" s="1"/>
  <c r="O49" i="57" s="1"/>
  <c r="Q15" i="106"/>
  <c r="K15" i="106"/>
  <c r="Q16" i="116"/>
  <c r="K16" i="116"/>
  <c r="B44" i="75" s="1"/>
  <c r="K19" i="122"/>
  <c r="T19" i="122" s="1"/>
  <c r="O19" i="122"/>
  <c r="Q19" i="122" s="1"/>
  <c r="Q13" i="101"/>
  <c r="K13" i="101"/>
  <c r="Q21" i="125"/>
  <c r="K21" i="125"/>
  <c r="K13" i="107"/>
  <c r="K23" i="57" s="1"/>
  <c r="Q14" i="106"/>
  <c r="K14" i="106"/>
  <c r="Q19" i="124"/>
  <c r="K19" i="124"/>
  <c r="T19" i="124" s="1"/>
  <c r="K13" i="102"/>
  <c r="K13" i="110"/>
  <c r="Q16" i="104"/>
  <c r="K16" i="104"/>
  <c r="B18" i="75" s="1"/>
  <c r="O13" i="119"/>
  <c r="K15" i="113"/>
  <c r="Q15" i="113"/>
  <c r="Q15" i="117"/>
  <c r="K15" i="117"/>
  <c r="Q15" i="126"/>
  <c r="K15" i="126"/>
  <c r="B54" i="75" s="1"/>
  <c r="Q16" i="115"/>
  <c r="K16" i="115"/>
  <c r="B42" i="75" s="1"/>
  <c r="O15" i="119"/>
  <c r="Q15" i="119" s="1"/>
  <c r="K15" i="119"/>
  <c r="B38" i="75" s="1"/>
  <c r="Q16" i="124"/>
  <c r="K16" i="124"/>
  <c r="Q14" i="109"/>
  <c r="K14" i="109"/>
  <c r="Q16" i="114"/>
  <c r="K16" i="114"/>
  <c r="T16" i="114" s="1"/>
  <c r="O17" i="122"/>
  <c r="Q17" i="122" s="1"/>
  <c r="K17" i="122"/>
  <c r="T17" i="122" s="1"/>
  <c r="Q17" i="126"/>
  <c r="K17" i="126"/>
  <c r="K18" i="101"/>
  <c r="T18" i="101" s="1"/>
  <c r="O18" i="101"/>
  <c r="Q18" i="101" s="1"/>
  <c r="O15" i="101"/>
  <c r="Q15" i="101" s="1"/>
  <c r="K15" i="101"/>
  <c r="T15" i="101" s="1"/>
  <c r="Q17" i="125"/>
  <c r="K17" i="125"/>
  <c r="Q16" i="111"/>
  <c r="K16" i="111"/>
  <c r="B30" i="75" s="1"/>
  <c r="Q19" i="125"/>
  <c r="K19" i="125"/>
  <c r="T19" i="125" s="1"/>
  <c r="Q18" i="115"/>
  <c r="K18" i="115"/>
  <c r="T18" i="115" s="1"/>
  <c r="K18" i="104"/>
  <c r="T18" i="104" s="1"/>
  <c r="Q18" i="104"/>
  <c r="K16" i="102"/>
  <c r="Q16" i="102"/>
  <c r="K13" i="106"/>
  <c r="K20" i="116"/>
  <c r="Q20" i="116"/>
  <c r="O13" i="123"/>
  <c r="K13" i="123"/>
  <c r="K13" i="111"/>
  <c r="O16" i="123"/>
  <c r="Q16" i="123" s="1"/>
  <c r="K16" i="123"/>
  <c r="O17" i="119"/>
  <c r="Q17" i="119" s="1"/>
  <c r="K17" i="119"/>
  <c r="T17" i="119" s="1"/>
  <c r="Q14" i="105"/>
  <c r="K14" i="105"/>
  <c r="T14" i="105" s="1"/>
  <c r="K17" i="123"/>
  <c r="O17" i="123"/>
  <c r="Q17" i="123" s="1"/>
  <c r="Q16" i="125"/>
  <c r="K16" i="125"/>
  <c r="O16" i="101"/>
  <c r="Q16" i="101" s="1"/>
  <c r="K16" i="101"/>
  <c r="T16" i="101" s="1"/>
  <c r="Q19" i="121"/>
  <c r="K19" i="121"/>
  <c r="T19" i="121" s="1"/>
  <c r="K13" i="105"/>
  <c r="K16" i="108"/>
  <c r="T16" i="108" s="1"/>
  <c r="Q16" i="108"/>
  <c r="Q16" i="126"/>
  <c r="K16" i="126"/>
  <c r="Q14" i="111"/>
  <c r="K14" i="111"/>
  <c r="T14" i="111" s="1"/>
  <c r="K20" i="115"/>
  <c r="T20" i="115" s="1"/>
  <c r="Q20" i="115"/>
  <c r="K13" i="115"/>
  <c r="K13" i="124"/>
  <c r="K13" i="126"/>
  <c r="K15" i="124"/>
  <c r="B50" i="75" s="1"/>
  <c r="Q15" i="124"/>
  <c r="O21" i="101"/>
  <c r="Q21" i="101" s="1"/>
  <c r="K21" i="101"/>
  <c r="T21" i="101" s="1"/>
  <c r="K13" i="117"/>
  <c r="K37" i="57" s="1"/>
  <c r="M37" i="57" s="1"/>
  <c r="O37" i="57" s="1"/>
  <c r="Q14" i="101"/>
  <c r="K14" i="101"/>
  <c r="T14" i="101" s="1"/>
  <c r="K17" i="101"/>
  <c r="T17" i="101" s="1"/>
  <c r="O17" i="101"/>
  <c r="Q17" i="101" s="1"/>
  <c r="K13" i="113"/>
  <c r="K35" i="57" s="1"/>
  <c r="K17" i="124"/>
  <c r="Q17" i="124"/>
  <c r="Q16" i="110"/>
  <c r="K16" i="110"/>
  <c r="B22" i="75" s="1"/>
  <c r="O13" i="122"/>
  <c r="K13" i="122"/>
  <c r="K51" i="57" s="1"/>
  <c r="M51" i="57" s="1"/>
  <c r="O51" i="57" s="1"/>
  <c r="Q17" i="117"/>
  <c r="K17" i="117"/>
  <c r="T17" i="117" s="1"/>
  <c r="K15" i="112"/>
  <c r="T15" i="112" s="1"/>
  <c r="Q15" i="112"/>
  <c r="Q15" i="125"/>
  <c r="K15" i="125"/>
  <c r="B52" i="75" s="1"/>
  <c r="K13" i="125"/>
  <c r="K17" i="106"/>
  <c r="T17" i="106" s="1"/>
  <c r="Q17" i="106"/>
  <c r="Q23" i="126"/>
  <c r="K23" i="126"/>
  <c r="T23" i="126" s="1"/>
  <c r="Q17" i="121"/>
  <c r="K17" i="121"/>
  <c r="T17" i="121" s="1"/>
  <c r="Q14" i="102"/>
  <c r="K14" i="102"/>
  <c r="T14" i="102" s="1"/>
  <c r="K15" i="123"/>
  <c r="B56" i="75" s="1"/>
  <c r="O15" i="123"/>
  <c r="Q15" i="123" s="1"/>
  <c r="Q14" i="114"/>
  <c r="K14" i="114"/>
  <c r="T14" i="114" s="1"/>
  <c r="Q15" i="121"/>
  <c r="K15" i="121"/>
  <c r="K13" i="116"/>
  <c r="K15" i="122"/>
  <c r="O15" i="122"/>
  <c r="Q15" i="122" s="1"/>
  <c r="K21" i="124"/>
  <c r="Q21" i="124"/>
  <c r="K18" i="111"/>
  <c r="T18" i="111" s="1"/>
  <c r="Q18" i="111"/>
  <c r="Q14" i="116"/>
  <c r="K14" i="116"/>
  <c r="T14" i="116" s="1"/>
  <c r="K21" i="123"/>
  <c r="O21" i="123"/>
  <c r="Q21" i="123" s="1"/>
  <c r="O26" i="101"/>
  <c r="Q26" i="101" s="1"/>
  <c r="K26" i="101"/>
  <c r="T26" i="101" s="1"/>
  <c r="K23" i="101"/>
  <c r="T23" i="101" s="1"/>
  <c r="O23" i="101"/>
  <c r="Q23" i="101" s="1"/>
  <c r="O28" i="101"/>
  <c r="Q28" i="101" s="1"/>
  <c r="K28" i="101"/>
  <c r="T28" i="101" s="1"/>
  <c r="K25" i="101"/>
  <c r="T25" i="101" s="1"/>
  <c r="O25" i="101"/>
  <c r="Q25" i="101" s="1"/>
  <c r="O22" i="101"/>
  <c r="Q22" i="101" s="1"/>
  <c r="K22" i="101"/>
  <c r="T22" i="101" s="1"/>
  <c r="K27" i="101"/>
  <c r="T27" i="101" s="1"/>
  <c r="O27" i="101"/>
  <c r="Q27" i="101" s="1"/>
  <c r="O24" i="101"/>
  <c r="Q24" i="101" s="1"/>
  <c r="K24" i="101"/>
  <c r="T24" i="101" s="1"/>
  <c r="F11" i="74"/>
  <c r="C10" i="61" s="1"/>
  <c r="B70" i="63"/>
  <c r="L70" i="63" s="1"/>
  <c r="B70" i="48" s="1"/>
  <c r="C70" i="48" s="1"/>
  <c r="E70" i="48" s="1"/>
  <c r="B34" i="63"/>
  <c r="L34" i="63" s="1"/>
  <c r="B34" i="48" s="1"/>
  <c r="C34" i="48" s="1"/>
  <c r="E34" i="48" s="1"/>
  <c r="B28" i="63"/>
  <c r="L28" i="63" s="1"/>
  <c r="B28" i="48" s="1"/>
  <c r="C28" i="48" s="1"/>
  <c r="E28" i="48" s="1"/>
  <c r="B16" i="63"/>
  <c r="L16" i="63" s="1"/>
  <c r="B16" i="48" s="1"/>
  <c r="C16" i="48" s="1"/>
  <c r="E16" i="48" s="1"/>
  <c r="E21" i="71"/>
  <c r="H21" i="71" s="1"/>
  <c r="B5" i="71"/>
  <c r="D12" i="48"/>
  <c r="L27" i="83"/>
  <c r="G7" i="48"/>
  <c r="J6" i="48" s="1"/>
  <c r="D7" i="48"/>
  <c r="N58" i="63"/>
  <c r="F58" i="48" s="1"/>
  <c r="D42" i="63"/>
  <c r="N42" i="63" s="1"/>
  <c r="F42" i="48" s="1"/>
  <c r="E19" i="71"/>
  <c r="H19" i="71" s="1"/>
  <c r="D32" i="63"/>
  <c r="N32" i="63" s="1"/>
  <c r="F32" i="48" s="1"/>
  <c r="E14" i="71"/>
  <c r="H14" i="71" s="1"/>
  <c r="D18" i="63"/>
  <c r="N18" i="63" s="1"/>
  <c r="F18" i="48" s="1"/>
  <c r="B7" i="71"/>
  <c r="E7" i="71" s="1"/>
  <c r="H7" i="71" s="1"/>
  <c r="D34" i="63"/>
  <c r="N34" i="63" s="1"/>
  <c r="F34" i="48" s="1"/>
  <c r="E15" i="71"/>
  <c r="H15" i="71" s="1"/>
  <c r="D16" i="63"/>
  <c r="N16" i="63" s="1"/>
  <c r="F16" i="48" s="1"/>
  <c r="E6" i="71"/>
  <c r="H6" i="71" s="1"/>
  <c r="B10" i="71"/>
  <c r="D38" i="63"/>
  <c r="N38" i="63" s="1"/>
  <c r="F38" i="48" s="1"/>
  <c r="E17" i="71"/>
  <c r="H17" i="71" s="1"/>
  <c r="D22" i="63"/>
  <c r="N22" i="63" s="1"/>
  <c r="F22" i="48" s="1"/>
  <c r="E9" i="71"/>
  <c r="H9" i="71" s="1"/>
  <c r="B22" i="71"/>
  <c r="B24" i="71"/>
  <c r="E25" i="71"/>
  <c r="H25" i="71" s="1"/>
  <c r="B25" i="71"/>
  <c r="D26" i="63"/>
  <c r="N26" i="63" s="1"/>
  <c r="F26" i="48" s="1"/>
  <c r="E11" i="71"/>
  <c r="H11" i="71" s="1"/>
  <c r="M30" i="63"/>
  <c r="D30" i="48" s="1"/>
  <c r="Q30" i="48" s="1"/>
  <c r="B26" i="63"/>
  <c r="L26" i="63" s="1"/>
  <c r="B26" i="48" s="1"/>
  <c r="C26" i="48" s="1"/>
  <c r="M54" i="63"/>
  <c r="D54" i="48" s="1"/>
  <c r="Q54" i="48" s="1"/>
  <c r="M36" i="63"/>
  <c r="D36" i="48" s="1"/>
  <c r="Q36" i="48" s="1"/>
  <c r="M40" i="63"/>
  <c r="D40" i="48" s="1"/>
  <c r="Q40" i="48" s="1"/>
  <c r="M14" i="63"/>
  <c r="D14" i="48" s="1"/>
  <c r="Q14" i="48" s="1"/>
  <c r="M46" i="63"/>
  <c r="D46" i="48" s="1"/>
  <c r="Q46" i="48" s="1"/>
  <c r="B32" i="63"/>
  <c r="L32" i="63" s="1"/>
  <c r="B32" i="48" s="1"/>
  <c r="C32" i="48" s="1"/>
  <c r="B22" i="63"/>
  <c r="L22" i="63" s="1"/>
  <c r="B22" i="48" s="1"/>
  <c r="C22" i="48" s="1"/>
  <c r="B42" i="63"/>
  <c r="L42" i="63" s="1"/>
  <c r="B42" i="48" s="1"/>
  <c r="C42" i="48" s="1"/>
  <c r="E42" i="48" s="1"/>
  <c r="B48" i="63"/>
  <c r="L48" i="63" s="1"/>
  <c r="B48" i="48" s="1"/>
  <c r="C48" i="48" s="1"/>
  <c r="E48" i="48" s="1"/>
  <c r="B50" i="63"/>
  <c r="L50" i="63" s="1"/>
  <c r="B50" i="48" s="1"/>
  <c r="C50" i="48" s="1"/>
  <c r="E50" i="48" s="1"/>
  <c r="D48" i="63"/>
  <c r="N48" i="63" s="1"/>
  <c r="F48" i="48" s="1"/>
  <c r="T146" i="49"/>
  <c r="F22" i="135" l="1"/>
  <c r="G22" i="135" s="1"/>
  <c r="F20" i="135"/>
  <c r="G20" i="135" s="1"/>
  <c r="T16" i="102"/>
  <c r="Y12" i="62"/>
  <c r="F12" i="135"/>
  <c r="T19" i="101"/>
  <c r="Y11" i="62"/>
  <c r="Y13" i="62" s="1"/>
  <c r="F9" i="131" s="1"/>
  <c r="F18" i="131" s="1"/>
  <c r="C13" i="135"/>
  <c r="E13" i="135" s="1"/>
  <c r="M35" i="57"/>
  <c r="O35" i="57" s="1"/>
  <c r="C18" i="135"/>
  <c r="E18" i="135" s="1"/>
  <c r="F50" i="75"/>
  <c r="Q47" i="128"/>
  <c r="Q20" i="128"/>
  <c r="Q24" i="128"/>
  <c r="Q49" i="128"/>
  <c r="Q22" i="128"/>
  <c r="Q46" i="128"/>
  <c r="Q21" i="128"/>
  <c r="Q48" i="128"/>
  <c r="Q33" i="128"/>
  <c r="Q23" i="128"/>
  <c r="Q25" i="128"/>
  <c r="M23" i="57"/>
  <c r="O23" i="57" s="1"/>
  <c r="M61" i="57"/>
  <c r="O61" i="57" s="1"/>
  <c r="T20" i="101"/>
  <c r="T19" i="118"/>
  <c r="T19" i="117"/>
  <c r="S56" i="127"/>
  <c r="E13" i="62"/>
  <c r="AE43" i="62"/>
  <c r="E24" i="62"/>
  <c r="K29" i="57"/>
  <c r="T21" i="124"/>
  <c r="T21" i="125"/>
  <c r="T21" i="123"/>
  <c r="T20" i="116"/>
  <c r="T21" i="126"/>
  <c r="K45" i="57"/>
  <c r="K27" i="57"/>
  <c r="K31" i="57"/>
  <c r="K33" i="57"/>
  <c r="M33" i="57" s="1"/>
  <c r="O33" i="57" s="1"/>
  <c r="T13" i="111"/>
  <c r="K53" i="57"/>
  <c r="T13" i="124"/>
  <c r="K19" i="57"/>
  <c r="T13" i="105"/>
  <c r="B46" i="75"/>
  <c r="T15" i="121"/>
  <c r="K59" i="57"/>
  <c r="M59" i="57" s="1"/>
  <c r="O59" i="57" s="1"/>
  <c r="T13" i="123"/>
  <c r="K15" i="57"/>
  <c r="O77" i="128"/>
  <c r="P46" i="62" s="1"/>
  <c r="B32" i="75"/>
  <c r="T15" i="113"/>
  <c r="K25" i="57"/>
  <c r="M25" i="57" s="1"/>
  <c r="O25" i="57" s="1"/>
  <c r="T13" i="110"/>
  <c r="K13" i="57"/>
  <c r="K43" i="57"/>
  <c r="T13" i="114"/>
  <c r="B48" i="75"/>
  <c r="T15" i="122"/>
  <c r="B34" i="75"/>
  <c r="T15" i="117"/>
  <c r="K47" i="57"/>
  <c r="M47" i="57" s="1"/>
  <c r="O47" i="57" s="1"/>
  <c r="K55" i="57"/>
  <c r="M55" i="57" s="1"/>
  <c r="O55" i="57" s="1"/>
  <c r="T13" i="125"/>
  <c r="K57" i="57"/>
  <c r="M57" i="57" s="1"/>
  <c r="O57" i="57" s="1"/>
  <c r="T13" i="126"/>
  <c r="K63" i="57"/>
  <c r="T13" i="112"/>
  <c r="Q81" i="127"/>
  <c r="P45" i="62" s="1"/>
  <c r="O53" i="122"/>
  <c r="P36" i="62" s="1"/>
  <c r="Q13" i="122"/>
  <c r="O53" i="117"/>
  <c r="P30" i="62" s="1"/>
  <c r="Q13" i="117"/>
  <c r="O53" i="119"/>
  <c r="P32" i="62" s="1"/>
  <c r="Q13" i="119"/>
  <c r="O53" i="110"/>
  <c r="P22" i="62" s="1"/>
  <c r="Q13" i="110"/>
  <c r="O53" i="107"/>
  <c r="P19" i="62" s="1"/>
  <c r="Q13" i="107"/>
  <c r="O53" i="114"/>
  <c r="P27" i="62" s="1"/>
  <c r="Q13" i="114"/>
  <c r="O53" i="106"/>
  <c r="P18" i="62" s="1"/>
  <c r="Q13" i="106"/>
  <c r="O53" i="101"/>
  <c r="P11" i="62" s="1"/>
  <c r="O53" i="113"/>
  <c r="P26" i="62" s="1"/>
  <c r="Q13" i="113"/>
  <c r="O53" i="102"/>
  <c r="P12" i="62" s="1"/>
  <c r="Q13" i="102"/>
  <c r="O53" i="116"/>
  <c r="P29" i="62" s="1"/>
  <c r="Q13" i="116"/>
  <c r="O54" i="125"/>
  <c r="P41" i="62" s="1"/>
  <c r="Q13" i="125"/>
  <c r="O53" i="121"/>
  <c r="P35" i="62" s="1"/>
  <c r="Q13" i="121"/>
  <c r="O53" i="109"/>
  <c r="P21" i="62" s="1"/>
  <c r="Q13" i="109"/>
  <c r="O53" i="126"/>
  <c r="P42" i="62" s="1"/>
  <c r="Q13" i="126"/>
  <c r="O53" i="115"/>
  <c r="P28" i="62" s="1"/>
  <c r="Q13" i="115"/>
  <c r="O53" i="123"/>
  <c r="P39" i="62" s="1"/>
  <c r="Q13" i="123"/>
  <c r="O53" i="124"/>
  <c r="P40" i="62" s="1"/>
  <c r="Q13" i="124"/>
  <c r="O53" i="105"/>
  <c r="P17" i="62" s="1"/>
  <c r="O53" i="111"/>
  <c r="P23" i="62" s="1"/>
  <c r="Q13" i="111"/>
  <c r="O53" i="118"/>
  <c r="P31" i="62" s="1"/>
  <c r="Q13" i="118"/>
  <c r="O53" i="112"/>
  <c r="P48" i="62" s="1"/>
  <c r="O53" i="108"/>
  <c r="P20" i="62" s="1"/>
  <c r="Q14" i="108"/>
  <c r="D54" i="63"/>
  <c r="N54" i="63" s="1"/>
  <c r="F54" i="48" s="1"/>
  <c r="E10" i="71"/>
  <c r="H10" i="71" s="1"/>
  <c r="B24" i="63"/>
  <c r="L24" i="63" s="1"/>
  <c r="B24" i="48" s="1"/>
  <c r="C24" i="48" s="1"/>
  <c r="E24" i="48" s="1"/>
  <c r="B20" i="71"/>
  <c r="D6" i="48"/>
  <c r="Q12" i="48"/>
  <c r="G16" i="48"/>
  <c r="H16" i="48" s="1"/>
  <c r="P16" i="48" s="1"/>
  <c r="E20" i="71"/>
  <c r="B10" i="24"/>
  <c r="B70" i="24" s="1"/>
  <c r="H22" i="71"/>
  <c r="E18" i="71"/>
  <c r="B16" i="71"/>
  <c r="E8" i="71"/>
  <c r="H8" i="71" s="1"/>
  <c r="B8" i="71"/>
  <c r="J10" i="82"/>
  <c r="B4" i="71"/>
  <c r="B60" i="63"/>
  <c r="L60" i="63" s="1"/>
  <c r="B60" i="48" s="1"/>
  <c r="C60" i="48" s="1"/>
  <c r="E60" i="48" s="1"/>
  <c r="D52" i="63"/>
  <c r="N52" i="63" s="1"/>
  <c r="F52" i="48" s="1"/>
  <c r="B62" i="63"/>
  <c r="L62" i="63" s="1"/>
  <c r="B62" i="48" s="1"/>
  <c r="C62" i="48" s="1"/>
  <c r="E62" i="48" s="1"/>
  <c r="B66" i="63"/>
  <c r="L66" i="63" s="1"/>
  <c r="B66" i="48" s="1"/>
  <c r="C66" i="48" s="1"/>
  <c r="E66" i="48" s="1"/>
  <c r="E24" i="71"/>
  <c r="D66" i="63"/>
  <c r="N66" i="63" s="1"/>
  <c r="F66" i="48" s="1"/>
  <c r="B64" i="63"/>
  <c r="L64" i="63" s="1"/>
  <c r="B64" i="48" s="1"/>
  <c r="C64" i="48" s="1"/>
  <c r="E64" i="48" s="1"/>
  <c r="O27" i="83"/>
  <c r="B58" i="63"/>
  <c r="L58" i="63" s="1"/>
  <c r="B58" i="48" s="1"/>
  <c r="C58" i="48" s="1"/>
  <c r="E58" i="48" s="1"/>
  <c r="B56" i="63"/>
  <c r="L56" i="63" s="1"/>
  <c r="B56" i="48" s="1"/>
  <c r="C56" i="48" s="1"/>
  <c r="K6" i="71"/>
  <c r="K15" i="71"/>
  <c r="B18" i="71"/>
  <c r="D52" i="61"/>
  <c r="E37" i="62" s="1"/>
  <c r="B40" i="63"/>
  <c r="L40" i="63" s="1"/>
  <c r="B40" i="48" s="1"/>
  <c r="C40" i="48" s="1"/>
  <c r="E40" i="48" s="1"/>
  <c r="B46" i="63"/>
  <c r="L46" i="63" s="1"/>
  <c r="B46" i="48" s="1"/>
  <c r="C46" i="48" s="1"/>
  <c r="E46" i="48" s="1"/>
  <c r="G48" i="48"/>
  <c r="H48" i="48" s="1"/>
  <c r="P48" i="48" s="1"/>
  <c r="C52" i="24"/>
  <c r="D24" i="63"/>
  <c r="N24" i="63" s="1"/>
  <c r="F24" i="48" s="1"/>
  <c r="G32" i="48"/>
  <c r="G26" i="48"/>
  <c r="G42" i="48"/>
  <c r="H42" i="48" s="1"/>
  <c r="P42" i="48" s="1"/>
  <c r="D46" i="63"/>
  <c r="N46" i="63" s="1"/>
  <c r="F46" i="48" s="1"/>
  <c r="G22" i="48"/>
  <c r="G34" i="48"/>
  <c r="H34" i="48" s="1"/>
  <c r="P34" i="48" s="1"/>
  <c r="N62" i="63"/>
  <c r="F62" i="48" s="1"/>
  <c r="H20" i="71"/>
  <c r="B13" i="71"/>
  <c r="D50" i="63"/>
  <c r="N50" i="63" s="1"/>
  <c r="F50" i="48" s="1"/>
  <c r="D70" i="63"/>
  <c r="N70" i="63" s="1"/>
  <c r="F70" i="48" s="1"/>
  <c r="K11" i="71"/>
  <c r="K14" i="71"/>
  <c r="E22" i="71"/>
  <c r="N56" i="63"/>
  <c r="F56" i="48" s="1"/>
  <c r="D20" i="63"/>
  <c r="N20" i="63" s="1"/>
  <c r="F20" i="48" s="1"/>
  <c r="K19" i="71"/>
  <c r="K9" i="71"/>
  <c r="E5" i="71"/>
  <c r="E26" i="48"/>
  <c r="D14" i="63"/>
  <c r="N14" i="63" s="1"/>
  <c r="F14" i="48" s="1"/>
  <c r="H5" i="71"/>
  <c r="B14" i="63"/>
  <c r="L14" i="63" s="1"/>
  <c r="B14" i="48" s="1"/>
  <c r="C14" i="48" s="1"/>
  <c r="E14" i="48" s="1"/>
  <c r="B20" i="63"/>
  <c r="L20" i="63" s="1"/>
  <c r="B20" i="48" s="1"/>
  <c r="C20" i="48" s="1"/>
  <c r="E20" i="48" s="1"/>
  <c r="B36" i="63"/>
  <c r="L36" i="63" s="1"/>
  <c r="B36" i="48" s="1"/>
  <c r="C36" i="48" s="1"/>
  <c r="E36" i="48" s="1"/>
  <c r="E32" i="48"/>
  <c r="B30" i="63"/>
  <c r="L30" i="63" s="1"/>
  <c r="B30" i="48" s="1"/>
  <c r="C30" i="48" s="1"/>
  <c r="E30" i="48" s="1"/>
  <c r="E22" i="48"/>
  <c r="T90" i="49"/>
  <c r="T66" i="49"/>
  <c r="T57" i="49"/>
  <c r="T114" i="49"/>
  <c r="T69" i="49"/>
  <c r="T46" i="49"/>
  <c r="T24" i="49"/>
  <c r="T152" i="49"/>
  <c r="T40" i="49"/>
  <c r="T27" i="49"/>
  <c r="T50" i="49"/>
  <c r="T60" i="49"/>
  <c r="T79" i="49"/>
  <c r="T72" i="49"/>
  <c r="T53" i="49"/>
  <c r="T82" i="49"/>
  <c r="T109" i="49"/>
  <c r="T75" i="49"/>
  <c r="T98" i="49"/>
  <c r="T85" i="49"/>
  <c r="T93" i="49"/>
  <c r="T43" i="49"/>
  <c r="T103" i="49"/>
  <c r="Y50" i="62" l="1"/>
  <c r="F18" i="135"/>
  <c r="G18" i="135" s="1"/>
  <c r="G12" i="135"/>
  <c r="C15" i="135"/>
  <c r="E15" i="135" s="1"/>
  <c r="M45" i="57"/>
  <c r="O45" i="57" s="1"/>
  <c r="C20" i="135"/>
  <c r="E20" i="135" s="1"/>
  <c r="C8" i="135"/>
  <c r="E8" i="135" s="1"/>
  <c r="C17" i="135"/>
  <c r="E17" i="135" s="1"/>
  <c r="C19" i="135"/>
  <c r="E19" i="135" s="1"/>
  <c r="M53" i="57"/>
  <c r="O53" i="57" s="1"/>
  <c r="C22" i="135"/>
  <c r="E22" i="135" s="1"/>
  <c r="C14" i="135"/>
  <c r="E14" i="135" s="1"/>
  <c r="C24" i="135"/>
  <c r="E24" i="135" s="1"/>
  <c r="C7" i="135"/>
  <c r="E7" i="135" s="1"/>
  <c r="C16" i="135"/>
  <c r="E16" i="135" s="1"/>
  <c r="F44" i="75"/>
  <c r="M19" i="57"/>
  <c r="O19" i="57" s="1"/>
  <c r="M15" i="57"/>
  <c r="O15" i="57" s="1"/>
  <c r="M31" i="57"/>
  <c r="O31" i="57" s="1"/>
  <c r="M43" i="57"/>
  <c r="O43" i="57" s="1"/>
  <c r="M27" i="57"/>
  <c r="O27" i="57" s="1"/>
  <c r="M63" i="57"/>
  <c r="O63" i="57" s="1"/>
  <c r="M13" i="57"/>
  <c r="O13" i="57" s="1"/>
  <c r="M29" i="57"/>
  <c r="O29" i="57" s="1"/>
  <c r="J71" i="57"/>
  <c r="B62" i="75"/>
  <c r="T116" i="49"/>
  <c r="T95" i="49"/>
  <c r="T87" i="49"/>
  <c r="Q13" i="62"/>
  <c r="H48" i="82"/>
  <c r="C54" i="69" s="1"/>
  <c r="B54" i="88" s="1"/>
  <c r="G24" i="48"/>
  <c r="H24" i="48" s="1"/>
  <c r="P24" i="48" s="1"/>
  <c r="J31" i="82"/>
  <c r="J48" i="82" s="1"/>
  <c r="C54" i="56" s="1"/>
  <c r="R31" i="82"/>
  <c r="K31" i="82"/>
  <c r="N31" i="82"/>
  <c r="Q17" i="83"/>
  <c r="Q19" i="83"/>
  <c r="R19" i="83" s="1"/>
  <c r="Q18" i="83"/>
  <c r="R18" i="83" s="1"/>
  <c r="G58" i="48"/>
  <c r="H58" i="48" s="1"/>
  <c r="P58" i="48" s="1"/>
  <c r="G56" i="48"/>
  <c r="J10" i="83"/>
  <c r="B44" i="63"/>
  <c r="L44" i="63" s="1"/>
  <c r="B44" i="48" s="1"/>
  <c r="C44" i="48" s="1"/>
  <c r="Q21" i="83"/>
  <c r="R21" i="83" s="1"/>
  <c r="Q12" i="83"/>
  <c r="E56" i="48"/>
  <c r="B54" i="63"/>
  <c r="L54" i="63" s="1"/>
  <c r="B54" i="48" s="1"/>
  <c r="C54" i="48" s="1"/>
  <c r="E54" i="48" s="1"/>
  <c r="Q14" i="83"/>
  <c r="G66" i="48"/>
  <c r="H66" i="48" s="1"/>
  <c r="P66" i="48" s="1"/>
  <c r="H24" i="71"/>
  <c r="K21" i="71"/>
  <c r="Q23" i="83"/>
  <c r="R23" i="83" s="1"/>
  <c r="P27" i="83"/>
  <c r="Q25" i="83"/>
  <c r="K10" i="71"/>
  <c r="H18" i="71"/>
  <c r="D40" i="63"/>
  <c r="N40" i="63" s="1"/>
  <c r="F40" i="48" s="1"/>
  <c r="G62" i="48"/>
  <c r="H62" i="48" s="1"/>
  <c r="P62" i="48" s="1"/>
  <c r="B12" i="63"/>
  <c r="L12" i="63" s="1"/>
  <c r="G46" i="48"/>
  <c r="H46" i="48" s="1"/>
  <c r="P46" i="48" s="1"/>
  <c r="K25" i="71"/>
  <c r="C52" i="53"/>
  <c r="K8" i="71"/>
  <c r="G20" i="48"/>
  <c r="H20" i="48" s="1"/>
  <c r="P20" i="48" s="1"/>
  <c r="G14" i="48"/>
  <c r="H14" i="48" s="1"/>
  <c r="P14" i="48" s="1"/>
  <c r="G70" i="48"/>
  <c r="H70" i="48" s="1"/>
  <c r="P70" i="48" s="1"/>
  <c r="G50" i="48"/>
  <c r="H50" i="48" s="1"/>
  <c r="P50" i="48" s="1"/>
  <c r="E13" i="71"/>
  <c r="H10" i="58"/>
  <c r="H26" i="48"/>
  <c r="P26" i="48" s="1"/>
  <c r="D30" i="63"/>
  <c r="N30" i="63" s="1"/>
  <c r="F30" i="48" s="1"/>
  <c r="H32" i="48"/>
  <c r="P32" i="48" s="1"/>
  <c r="H22" i="48"/>
  <c r="P22" i="48" s="1"/>
  <c r="F34" i="135" l="1"/>
  <c r="F35" i="135" s="1"/>
  <c r="E33" i="62" l="1"/>
  <c r="I48" i="82"/>
  <c r="C54" i="88" s="1"/>
  <c r="B54" i="56" s="1"/>
  <c r="G54" i="48"/>
  <c r="H54" i="48" s="1"/>
  <c r="P54" i="48" s="1"/>
  <c r="G40" i="48"/>
  <c r="H40" i="48" s="1"/>
  <c r="P40" i="48" s="1"/>
  <c r="K24" i="71"/>
  <c r="R46" i="83"/>
  <c r="M31" i="82"/>
  <c r="C60" i="56"/>
  <c r="C50" i="56"/>
  <c r="J31" i="83"/>
  <c r="J48" i="83" s="1"/>
  <c r="C56" i="56" s="1"/>
  <c r="K31" i="83"/>
  <c r="K22" i="71"/>
  <c r="R12" i="83"/>
  <c r="P12" i="83"/>
  <c r="H56" i="48"/>
  <c r="P56" i="48" s="1"/>
  <c r="C58" i="56"/>
  <c r="P18" i="83"/>
  <c r="R25" i="83"/>
  <c r="P23" i="83"/>
  <c r="R45" i="83"/>
  <c r="G44" i="48"/>
  <c r="E44" i="48"/>
  <c r="P25" i="83"/>
  <c r="R17" i="83"/>
  <c r="P17" i="83"/>
  <c r="R33" i="83"/>
  <c r="R31" i="83"/>
  <c r="P19" i="83"/>
  <c r="P14" i="83"/>
  <c r="R38" i="83"/>
  <c r="C42" i="24"/>
  <c r="D42" i="61"/>
  <c r="G30" i="48"/>
  <c r="H30" i="48" s="1"/>
  <c r="P30" i="48" s="1"/>
  <c r="H13" i="71"/>
  <c r="H24" i="58"/>
  <c r="B12" i="48"/>
  <c r="P33" i="62" l="1"/>
  <c r="P43" i="62"/>
  <c r="D54" i="88"/>
  <c r="E54" i="88" s="1"/>
  <c r="K24" i="58"/>
  <c r="H40" i="58"/>
  <c r="M31" i="83"/>
  <c r="D42" i="24"/>
  <c r="E42" i="24" s="1"/>
  <c r="B42" i="61"/>
  <c r="E42" i="61" s="1"/>
  <c r="F42" i="61" s="1"/>
  <c r="B42" i="53"/>
  <c r="H44" i="48"/>
  <c r="P44" i="48" s="1"/>
  <c r="K20" i="71"/>
  <c r="K18" i="71"/>
  <c r="C42" i="53"/>
  <c r="C52" i="69"/>
  <c r="C12" i="48"/>
  <c r="C50" i="47" l="1"/>
  <c r="C60" i="47"/>
  <c r="M48" i="83"/>
  <c r="C56" i="47" s="1"/>
  <c r="R48" i="83"/>
  <c r="D42" i="53"/>
  <c r="E42" i="53" s="1"/>
  <c r="B52" i="88"/>
  <c r="E12" i="48"/>
  <c r="C52" i="56" l="1"/>
  <c r="C58" i="47"/>
  <c r="C42" i="69"/>
  <c r="C52" i="88"/>
  <c r="C52" i="47" l="1"/>
  <c r="B52" i="56"/>
  <c r="D52" i="88"/>
  <c r="E52" i="88" s="1"/>
  <c r="B42" i="88"/>
  <c r="M52" i="63"/>
  <c r="D52" i="48" s="1"/>
  <c r="Q52" i="48" s="1"/>
  <c r="C42" i="88" l="1"/>
  <c r="M38" i="63"/>
  <c r="C42" i="56" l="1"/>
  <c r="B52" i="63"/>
  <c r="L52" i="63" s="1"/>
  <c r="B52" i="48" s="1"/>
  <c r="C52" i="48" s="1"/>
  <c r="G52" i="48" s="1"/>
  <c r="B42" i="56"/>
  <c r="D42" i="88"/>
  <c r="E42" i="88" s="1"/>
  <c r="D38" i="48"/>
  <c r="Q38" i="48" s="1"/>
  <c r="B38" i="63"/>
  <c r="B42" i="47" l="1"/>
  <c r="D42" i="56"/>
  <c r="E42" i="56" s="1"/>
  <c r="C42" i="47"/>
  <c r="E52" i="48"/>
  <c r="H52" i="48" s="1"/>
  <c r="P52" i="48" s="1"/>
  <c r="L38" i="63"/>
  <c r="D42" i="47" l="1"/>
  <c r="E42" i="47" s="1"/>
  <c r="E44" i="63"/>
  <c r="O44" i="63" s="1"/>
  <c r="I44" i="48" s="1"/>
  <c r="J44" i="48" s="1"/>
  <c r="B38" i="48"/>
  <c r="C38" i="48" l="1"/>
  <c r="G38" i="48" s="1"/>
  <c r="K44" i="48" l="1"/>
  <c r="O44" i="48" s="1"/>
  <c r="E38" i="48"/>
  <c r="P37" i="62" l="1"/>
  <c r="H38" i="48"/>
  <c r="P38" i="48" s="1"/>
  <c r="K5" i="71" l="1"/>
  <c r="E12" i="71" l="1"/>
  <c r="H12" i="71" s="1"/>
  <c r="D28" i="63"/>
  <c r="N28" i="63" s="1"/>
  <c r="F28" i="48" s="1"/>
  <c r="K12" i="71" l="1"/>
  <c r="G28" i="48"/>
  <c r="H28" i="48" s="1"/>
  <c r="P28" i="48" s="1"/>
  <c r="C18" i="63" l="1"/>
  <c r="M18" i="63" l="1"/>
  <c r="C68" i="63"/>
  <c r="M68" i="63" s="1"/>
  <c r="D68" i="48" s="1"/>
  <c r="Q68" i="48" s="1"/>
  <c r="F18" i="58"/>
  <c r="K18" i="58" s="1"/>
  <c r="F13" i="58" l="1"/>
  <c r="K13" i="58" s="1"/>
  <c r="D18" i="48"/>
  <c r="Q18" i="48" s="1"/>
  <c r="Q72" i="48" s="1"/>
  <c r="M72" i="63"/>
  <c r="F14" i="58"/>
  <c r="K14" i="58" s="1"/>
  <c r="C72" i="63"/>
  <c r="K40" i="58" l="1"/>
  <c r="C64" i="24"/>
  <c r="E23" i="71"/>
  <c r="D64" i="63"/>
  <c r="N64" i="63" s="1"/>
  <c r="F64" i="48" s="1"/>
  <c r="D26" i="61"/>
  <c r="F15" i="74"/>
  <c r="C14" i="61" s="1"/>
  <c r="B18" i="63"/>
  <c r="N60" i="63"/>
  <c r="F60" i="48" s="1"/>
  <c r="C16" i="53"/>
  <c r="D72" i="48"/>
  <c r="F40" i="58"/>
  <c r="C62" i="24"/>
  <c r="C26" i="53"/>
  <c r="B68" i="63"/>
  <c r="L68" i="63" s="1"/>
  <c r="B68" i="48" s="1"/>
  <c r="C68" i="48" s="1"/>
  <c r="C26" i="24"/>
  <c r="C16" i="24"/>
  <c r="D16" i="61"/>
  <c r="G64" i="48" l="1"/>
  <c r="H64" i="48" s="1"/>
  <c r="P64" i="48" s="1"/>
  <c r="D68" i="61"/>
  <c r="C64" i="53"/>
  <c r="D64" i="61"/>
  <c r="D12" i="61"/>
  <c r="D64" i="24"/>
  <c r="E64" i="24" s="1"/>
  <c r="B64" i="61"/>
  <c r="D62" i="24"/>
  <c r="E62" i="24" s="1"/>
  <c r="B62" i="61"/>
  <c r="D44" i="61"/>
  <c r="F13" i="74"/>
  <c r="C12" i="61" s="1"/>
  <c r="D34" i="61"/>
  <c r="D30" i="61"/>
  <c r="D40" i="61"/>
  <c r="D38" i="61"/>
  <c r="D28" i="61"/>
  <c r="D22" i="61"/>
  <c r="C16" i="47"/>
  <c r="E18" i="63" s="1"/>
  <c r="O18" i="63" s="1"/>
  <c r="I18" i="48" s="1"/>
  <c r="J18" i="48" s="1"/>
  <c r="D62" i="61"/>
  <c r="D46" i="61"/>
  <c r="D36" i="61"/>
  <c r="D32" i="61"/>
  <c r="D20" i="61"/>
  <c r="D14" i="61"/>
  <c r="D18" i="61"/>
  <c r="G60" i="48"/>
  <c r="H60" i="48" s="1"/>
  <c r="P60" i="48" s="1"/>
  <c r="H23" i="71"/>
  <c r="D36" i="63"/>
  <c r="N36" i="63" s="1"/>
  <c r="E16" i="71"/>
  <c r="C22" i="53"/>
  <c r="C30" i="24"/>
  <c r="D30" i="24" s="1"/>
  <c r="C62" i="53"/>
  <c r="C38" i="53"/>
  <c r="B16" i="61"/>
  <c r="E16" i="61" s="1"/>
  <c r="F16" i="61" s="1"/>
  <c r="D16" i="24"/>
  <c r="G68" i="48"/>
  <c r="E68" i="48"/>
  <c r="C22" i="24"/>
  <c r="C44" i="53"/>
  <c r="C40" i="53"/>
  <c r="C36" i="24"/>
  <c r="C46" i="24"/>
  <c r="C20" i="53"/>
  <c r="C32" i="53"/>
  <c r="C66" i="53"/>
  <c r="C44" i="24"/>
  <c r="C20" i="24"/>
  <c r="C32" i="24"/>
  <c r="D32" i="24" s="1"/>
  <c r="E32" i="24" s="1"/>
  <c r="C18" i="53"/>
  <c r="C66" i="24"/>
  <c r="D66" i="61"/>
  <c r="C68" i="24"/>
  <c r="B26" i="53"/>
  <c r="D26" i="53" s="1"/>
  <c r="E26" i="53" s="1"/>
  <c r="C14" i="24"/>
  <c r="C34" i="53"/>
  <c r="C28" i="53"/>
  <c r="C30" i="53"/>
  <c r="C66" i="47"/>
  <c r="H16" i="71"/>
  <c r="C18" i="24"/>
  <c r="C38" i="24"/>
  <c r="B16" i="53"/>
  <c r="D16" i="53" s="1"/>
  <c r="E16" i="53" s="1"/>
  <c r="C68" i="53"/>
  <c r="B26" i="61"/>
  <c r="E26" i="61" s="1"/>
  <c r="F26" i="61" s="1"/>
  <c r="D26" i="24"/>
  <c r="E26" i="24" s="1"/>
  <c r="C14" i="53"/>
  <c r="C34" i="24"/>
  <c r="C40" i="24"/>
  <c r="C28" i="24"/>
  <c r="C36" i="53"/>
  <c r="C46" i="53"/>
  <c r="B72" i="63"/>
  <c r="L18" i="63"/>
  <c r="C68" i="47" l="1"/>
  <c r="B64" i="53"/>
  <c r="D64" i="53" s="1"/>
  <c r="E64" i="53" s="1"/>
  <c r="E64" i="61"/>
  <c r="F64" i="61" s="1"/>
  <c r="C12" i="53"/>
  <c r="D10" i="61"/>
  <c r="B64" i="69"/>
  <c r="B62" i="53"/>
  <c r="D62" i="53" s="1"/>
  <c r="E62" i="53" s="1"/>
  <c r="E62" i="61"/>
  <c r="F62" i="61" s="1"/>
  <c r="E16" i="24"/>
  <c r="D48" i="61"/>
  <c r="D24" i="61"/>
  <c r="C16" i="88"/>
  <c r="K23" i="71"/>
  <c r="E62" i="63"/>
  <c r="O62" i="63" s="1"/>
  <c r="K13" i="71"/>
  <c r="B38" i="61"/>
  <c r="E38" i="61" s="1"/>
  <c r="F38" i="61" s="1"/>
  <c r="D38" i="24"/>
  <c r="E38" i="24" s="1"/>
  <c r="B68" i="61"/>
  <c r="E68" i="61" s="1"/>
  <c r="F68" i="61" s="1"/>
  <c r="D68" i="24"/>
  <c r="E68" i="24" s="1"/>
  <c r="B32" i="53"/>
  <c r="D32" i="53" s="1"/>
  <c r="E32" i="53" s="1"/>
  <c r="D54" i="24"/>
  <c r="E54" i="24" s="1"/>
  <c r="B54" i="61"/>
  <c r="E54" i="61" s="1"/>
  <c r="F54" i="61" s="1"/>
  <c r="D40" i="24"/>
  <c r="E40" i="24" s="1"/>
  <c r="B40" i="61"/>
  <c r="E40" i="61" s="1"/>
  <c r="F40" i="61" s="1"/>
  <c r="B34" i="61"/>
  <c r="E34" i="61" s="1"/>
  <c r="F34" i="61" s="1"/>
  <c r="D34" i="24"/>
  <c r="E34" i="24" s="1"/>
  <c r="B18" i="53"/>
  <c r="D18" i="53" s="1"/>
  <c r="E18" i="53" s="1"/>
  <c r="E68" i="63"/>
  <c r="O68" i="63" s="1"/>
  <c r="I68" i="48" s="1"/>
  <c r="J68" i="48" s="1"/>
  <c r="B50" i="61"/>
  <c r="E50" i="61" s="1"/>
  <c r="F50" i="61" s="1"/>
  <c r="D50" i="24"/>
  <c r="E50" i="24" s="1"/>
  <c r="B66" i="53"/>
  <c r="D66" i="53" s="1"/>
  <c r="E66" i="53" s="1"/>
  <c r="D52" i="24"/>
  <c r="E52" i="24" s="1"/>
  <c r="B52" i="61"/>
  <c r="E52" i="61" s="1"/>
  <c r="F52" i="61" s="1"/>
  <c r="D20" i="24"/>
  <c r="E20" i="24" s="1"/>
  <c r="B20" i="61"/>
  <c r="E20" i="61" s="1"/>
  <c r="F20" i="61" s="1"/>
  <c r="B44" i="61"/>
  <c r="E44" i="61" s="1"/>
  <c r="F44" i="61" s="1"/>
  <c r="D44" i="24"/>
  <c r="E44" i="24" s="1"/>
  <c r="D58" i="24"/>
  <c r="E58" i="24" s="1"/>
  <c r="B58" i="61"/>
  <c r="E58" i="61" s="1"/>
  <c r="F58" i="61" s="1"/>
  <c r="B36" i="53"/>
  <c r="D36" i="53" s="1"/>
  <c r="E36" i="53" s="1"/>
  <c r="E30" i="24"/>
  <c r="B30" i="61"/>
  <c r="E30" i="61" s="1"/>
  <c r="F30" i="61" s="1"/>
  <c r="D60" i="24"/>
  <c r="E60" i="24" s="1"/>
  <c r="B60" i="61"/>
  <c r="E60" i="61" s="1"/>
  <c r="F60" i="61" s="1"/>
  <c r="D28" i="24"/>
  <c r="E28" i="24" s="1"/>
  <c r="B28" i="61"/>
  <c r="E28" i="61" s="1"/>
  <c r="F28" i="61" s="1"/>
  <c r="B18" i="48"/>
  <c r="L72" i="63"/>
  <c r="B54" i="53"/>
  <c r="D54" i="53" s="1"/>
  <c r="E54" i="53" s="1"/>
  <c r="C48" i="24"/>
  <c r="B38" i="53"/>
  <c r="D38" i="53" s="1"/>
  <c r="E38" i="53" s="1"/>
  <c r="B18" i="61"/>
  <c r="E18" i="61" s="1"/>
  <c r="F18" i="61" s="1"/>
  <c r="D18" i="24"/>
  <c r="E18" i="24" s="1"/>
  <c r="C16" i="69"/>
  <c r="B66" i="61"/>
  <c r="E66" i="61" s="1"/>
  <c r="F66" i="61" s="1"/>
  <c r="D66" i="24"/>
  <c r="E66" i="24" s="1"/>
  <c r="B52" i="53"/>
  <c r="D52" i="53" s="1"/>
  <c r="E52" i="53" s="1"/>
  <c r="B20" i="53"/>
  <c r="D20" i="53" s="1"/>
  <c r="C12" i="24"/>
  <c r="F36" i="48"/>
  <c r="B36" i="61"/>
  <c r="E36" i="61" s="1"/>
  <c r="F36" i="61" s="1"/>
  <c r="D36" i="24"/>
  <c r="E36" i="24" s="1"/>
  <c r="K17" i="71"/>
  <c r="B22" i="53"/>
  <c r="D22" i="53" s="1"/>
  <c r="B30" i="53"/>
  <c r="D30" i="53" s="1"/>
  <c r="B60" i="53"/>
  <c r="D60" i="53" s="1"/>
  <c r="E60" i="53" s="1"/>
  <c r="C24" i="53"/>
  <c r="C48" i="53"/>
  <c r="B14" i="53"/>
  <c r="D14" i="53" s="1"/>
  <c r="E14" i="53" s="1"/>
  <c r="C26" i="69"/>
  <c r="B26" i="88" s="1"/>
  <c r="B46" i="53"/>
  <c r="D46" i="53" s="1"/>
  <c r="E46" i="53" s="1"/>
  <c r="B22" i="61"/>
  <c r="E22" i="61" s="1"/>
  <c r="F22" i="61" s="1"/>
  <c r="D22" i="24"/>
  <c r="C24" i="24"/>
  <c r="B28" i="53"/>
  <c r="D28" i="53" s="1"/>
  <c r="E28" i="53" s="1"/>
  <c r="B40" i="53"/>
  <c r="D40" i="53" s="1"/>
  <c r="E40" i="53" s="1"/>
  <c r="B34" i="53"/>
  <c r="D34" i="53" s="1"/>
  <c r="E34" i="53" s="1"/>
  <c r="B50" i="53"/>
  <c r="D50" i="53" s="1"/>
  <c r="E50" i="53" s="1"/>
  <c r="D14" i="24"/>
  <c r="E14" i="24" s="1"/>
  <c r="B14" i="61"/>
  <c r="E14" i="61" s="1"/>
  <c r="B68" i="53"/>
  <c r="D68" i="53" s="1"/>
  <c r="E68" i="53" s="1"/>
  <c r="B32" i="61"/>
  <c r="E32" i="61" s="1"/>
  <c r="F32" i="61" s="1"/>
  <c r="B44" i="53"/>
  <c r="D44" i="53" s="1"/>
  <c r="E44" i="53" s="1"/>
  <c r="B58" i="53"/>
  <c r="D58" i="53" s="1"/>
  <c r="E58" i="53" s="1"/>
  <c r="D46" i="24"/>
  <c r="E46" i="24" s="1"/>
  <c r="B46" i="61"/>
  <c r="E46" i="61" s="1"/>
  <c r="F46" i="61" s="1"/>
  <c r="B66" i="69" l="1"/>
  <c r="E70" i="63"/>
  <c r="O70" i="63" s="1"/>
  <c r="I70" i="48" s="1"/>
  <c r="J70" i="48" s="1"/>
  <c r="F25" i="71"/>
  <c r="I25" i="71" s="1"/>
  <c r="J25" i="71" s="1"/>
  <c r="G36" i="48"/>
  <c r="H36" i="48" s="1"/>
  <c r="P36" i="48" s="1"/>
  <c r="C64" i="88"/>
  <c r="C64" i="69"/>
  <c r="F14" i="61"/>
  <c r="E22" i="53"/>
  <c r="E20" i="53"/>
  <c r="E30" i="53"/>
  <c r="B16" i="56"/>
  <c r="B16" i="88"/>
  <c r="D16" i="88" s="1"/>
  <c r="E16" i="88" s="1"/>
  <c r="B62" i="69"/>
  <c r="I62" i="48"/>
  <c r="J62" i="48" s="1"/>
  <c r="E22" i="24"/>
  <c r="C26" i="88"/>
  <c r="E43" i="62"/>
  <c r="K16" i="71"/>
  <c r="D17" i="74"/>
  <c r="E52" i="63"/>
  <c r="O52" i="63" s="1"/>
  <c r="I52" i="48" s="1"/>
  <c r="J52" i="48" s="1"/>
  <c r="E58" i="63"/>
  <c r="O58" i="63" s="1"/>
  <c r="I58" i="48" s="1"/>
  <c r="J58" i="48" s="1"/>
  <c r="E54" i="63"/>
  <c r="O54" i="63" s="1"/>
  <c r="I54" i="48" s="1"/>
  <c r="J54" i="48" s="1"/>
  <c r="E60" i="63"/>
  <c r="O60" i="63" s="1"/>
  <c r="I60" i="48" s="1"/>
  <c r="J60" i="48" s="1"/>
  <c r="C16" i="56"/>
  <c r="C7" i="71"/>
  <c r="C32" i="69"/>
  <c r="B32" i="88" s="1"/>
  <c r="B24" i="53"/>
  <c r="D24" i="53" s="1"/>
  <c r="E24" i="53" s="1"/>
  <c r="C22" i="69"/>
  <c r="B22" i="88" s="1"/>
  <c r="D12" i="24"/>
  <c r="E12" i="24" s="1"/>
  <c r="B12" i="61"/>
  <c r="C18" i="69"/>
  <c r="B18" i="88" s="1"/>
  <c r="C34" i="69"/>
  <c r="B34" i="88" s="1"/>
  <c r="C68" i="69"/>
  <c r="B68" i="88" s="1"/>
  <c r="D48" i="24"/>
  <c r="E48" i="24" s="1"/>
  <c r="B48" i="61"/>
  <c r="E48" i="61" s="1"/>
  <c r="F48" i="61" s="1"/>
  <c r="C38" i="69"/>
  <c r="B38" i="88" s="1"/>
  <c r="C30" i="69"/>
  <c r="B30" i="88" s="1"/>
  <c r="B38" i="69"/>
  <c r="B56" i="69"/>
  <c r="C28" i="69"/>
  <c r="B28" i="88" s="1"/>
  <c r="B24" i="61"/>
  <c r="E24" i="61" s="1"/>
  <c r="F24" i="61" s="1"/>
  <c r="D24" i="24"/>
  <c r="E24" i="24" s="1"/>
  <c r="B54" i="69"/>
  <c r="C62" i="69"/>
  <c r="B12" i="53"/>
  <c r="D12" i="53" s="1"/>
  <c r="B34" i="69"/>
  <c r="B68" i="69"/>
  <c r="B48" i="53"/>
  <c r="D48" i="53" s="1"/>
  <c r="E48" i="53" s="1"/>
  <c r="B14" i="69"/>
  <c r="C44" i="69"/>
  <c r="B44" i="88" s="1"/>
  <c r="D70" i="61"/>
  <c r="B10" i="53"/>
  <c r="C36" i="69"/>
  <c r="B36" i="88" s="1"/>
  <c r="C66" i="69"/>
  <c r="B66" i="88" s="1"/>
  <c r="C40" i="69"/>
  <c r="B40" i="88" s="1"/>
  <c r="H18" i="48"/>
  <c r="P18" i="48" s="1"/>
  <c r="B60" i="69"/>
  <c r="C12" i="69"/>
  <c r="B58" i="69"/>
  <c r="C18" i="48"/>
  <c r="G18" i="48" s="1"/>
  <c r="B72" i="48"/>
  <c r="B44" i="69"/>
  <c r="C10" i="53"/>
  <c r="C46" i="69"/>
  <c r="B46" i="88" s="1"/>
  <c r="G25" i="71" l="1"/>
  <c r="C14" i="69"/>
  <c r="D14" i="69" s="1"/>
  <c r="E14" i="69" s="1"/>
  <c r="C22" i="56"/>
  <c r="C40" i="56"/>
  <c r="B40" i="47" s="1"/>
  <c r="B64" i="88"/>
  <c r="D64" i="88" s="1"/>
  <c r="E64" i="88" s="1"/>
  <c r="D64" i="69"/>
  <c r="E64" i="69" s="1"/>
  <c r="B64" i="56"/>
  <c r="C15" i="71"/>
  <c r="D15" i="71" s="1"/>
  <c r="C8" i="71"/>
  <c r="D8" i="71" s="1"/>
  <c r="E12" i="61"/>
  <c r="C12" i="71"/>
  <c r="D12" i="71" s="1"/>
  <c r="L25" i="71"/>
  <c r="M25" i="71" s="1"/>
  <c r="E12" i="53"/>
  <c r="B62" i="88"/>
  <c r="D62" i="69"/>
  <c r="E62" i="69" s="1"/>
  <c r="D26" i="88"/>
  <c r="E26" i="88" s="1"/>
  <c r="B26" i="56"/>
  <c r="B12" i="88"/>
  <c r="C66" i="88"/>
  <c r="C26" i="71"/>
  <c r="C68" i="88"/>
  <c r="C68" i="56"/>
  <c r="B68" i="47" s="1"/>
  <c r="D68" i="47" s="1"/>
  <c r="E68" i="47" s="1"/>
  <c r="C62" i="88"/>
  <c r="C46" i="88"/>
  <c r="C44" i="88"/>
  <c r="C38" i="88"/>
  <c r="C36" i="88"/>
  <c r="C34" i="88"/>
  <c r="C30" i="88"/>
  <c r="C28" i="88"/>
  <c r="C20" i="88"/>
  <c r="C14" i="88"/>
  <c r="C12" i="88"/>
  <c r="C40" i="88"/>
  <c r="C32" i="88"/>
  <c r="C18" i="88"/>
  <c r="C22" i="88"/>
  <c r="K7" i="71"/>
  <c r="K52" i="48"/>
  <c r="O52" i="48" s="1"/>
  <c r="K70" i="48"/>
  <c r="D16" i="56"/>
  <c r="E16" i="56" s="1"/>
  <c r="B16" i="47"/>
  <c r="D16" i="47" s="1"/>
  <c r="E16" i="47" s="1"/>
  <c r="B56" i="47"/>
  <c r="D56" i="47" s="1"/>
  <c r="E56" i="47" s="1"/>
  <c r="D7" i="71"/>
  <c r="F7" i="71"/>
  <c r="B70" i="53"/>
  <c r="C72" i="48"/>
  <c r="E18" i="48"/>
  <c r="E72" i="48" s="1"/>
  <c r="C48" i="69"/>
  <c r="B48" i="88" s="1"/>
  <c r="H68" i="48"/>
  <c r="P68" i="48" s="1"/>
  <c r="D58" i="69"/>
  <c r="E58" i="69" s="1"/>
  <c r="C70" i="53"/>
  <c r="D10" i="53"/>
  <c r="E50" i="62"/>
  <c r="D44" i="69"/>
  <c r="E44" i="69" s="1"/>
  <c r="D38" i="69"/>
  <c r="E38" i="69" s="1"/>
  <c r="D68" i="69"/>
  <c r="E68" i="69" s="1"/>
  <c r="D54" i="69"/>
  <c r="E54" i="69" s="1"/>
  <c r="D66" i="69"/>
  <c r="E66" i="69" s="1"/>
  <c r="D60" i="69"/>
  <c r="E60" i="69" s="1"/>
  <c r="D34" i="69"/>
  <c r="E34" i="69" s="1"/>
  <c r="C24" i="69" l="1"/>
  <c r="B24" i="88" s="1"/>
  <c r="B14" i="88"/>
  <c r="D14" i="88" s="1"/>
  <c r="E14" i="88" s="1"/>
  <c r="C10" i="71"/>
  <c r="D10" i="71" s="1"/>
  <c r="C19" i="71"/>
  <c r="D19" i="71" s="1"/>
  <c r="C20" i="56"/>
  <c r="B20" i="47" s="1"/>
  <c r="C14" i="71"/>
  <c r="D14" i="71" s="1"/>
  <c r="L70" i="48"/>
  <c r="O70" i="48"/>
  <c r="C32" i="56"/>
  <c r="C64" i="56"/>
  <c r="C23" i="71"/>
  <c r="D23" i="71" s="1"/>
  <c r="C21" i="71"/>
  <c r="D21" i="71" s="1"/>
  <c r="C20" i="71"/>
  <c r="D20" i="71" s="1"/>
  <c r="C18" i="71"/>
  <c r="D18" i="71" s="1"/>
  <c r="C28" i="56"/>
  <c r="C18" i="56"/>
  <c r="C24" i="56"/>
  <c r="B24" i="47" s="1"/>
  <c r="C26" i="56"/>
  <c r="B26" i="47" s="1"/>
  <c r="F12" i="61"/>
  <c r="B66" i="56"/>
  <c r="D66" i="88"/>
  <c r="E66" i="88" s="1"/>
  <c r="B68" i="56"/>
  <c r="D68" i="56" s="1"/>
  <c r="E68" i="56" s="1"/>
  <c r="D68" i="88"/>
  <c r="E68" i="88" s="1"/>
  <c r="C34" i="56"/>
  <c r="B34" i="47" s="1"/>
  <c r="C36" i="56"/>
  <c r="B36" i="47" s="1"/>
  <c r="B32" i="56"/>
  <c r="B38" i="56"/>
  <c r="B22" i="56"/>
  <c r="D22" i="56" s="1"/>
  <c r="E22" i="56" s="1"/>
  <c r="B40" i="56"/>
  <c r="D40" i="56" s="1"/>
  <c r="E40" i="56" s="1"/>
  <c r="B14" i="56"/>
  <c r="B28" i="56"/>
  <c r="B34" i="56"/>
  <c r="B18" i="56"/>
  <c r="B36" i="56"/>
  <c r="B44" i="56"/>
  <c r="B62" i="56"/>
  <c r="D62" i="88"/>
  <c r="E62" i="88" s="1"/>
  <c r="B46" i="56"/>
  <c r="D46" i="88"/>
  <c r="E46" i="88" s="1"/>
  <c r="D44" i="88"/>
  <c r="E44" i="88" s="1"/>
  <c r="D40" i="88"/>
  <c r="E40" i="88" s="1"/>
  <c r="D38" i="88"/>
  <c r="E38" i="88" s="1"/>
  <c r="D36" i="88"/>
  <c r="E36" i="88" s="1"/>
  <c r="D34" i="88"/>
  <c r="E34" i="88" s="1"/>
  <c r="D32" i="88"/>
  <c r="E32" i="88" s="1"/>
  <c r="B30" i="56"/>
  <c r="D30" i="88"/>
  <c r="E30" i="88" s="1"/>
  <c r="D28" i="88"/>
  <c r="E28" i="88" s="1"/>
  <c r="D22" i="88"/>
  <c r="E22" i="88" s="1"/>
  <c r="B20" i="56"/>
  <c r="D18" i="88"/>
  <c r="E18" i="88" s="1"/>
  <c r="B12" i="56"/>
  <c r="D12" i="88"/>
  <c r="E12" i="88" s="1"/>
  <c r="B58" i="47"/>
  <c r="D58" i="47" s="1"/>
  <c r="E58" i="47" s="1"/>
  <c r="C25" i="71"/>
  <c r="D25" i="71" s="1"/>
  <c r="D53" i="71" s="1"/>
  <c r="B60" i="47"/>
  <c r="D60" i="47" s="1"/>
  <c r="E60" i="47" s="1"/>
  <c r="F17" i="74"/>
  <c r="C66" i="56"/>
  <c r="C48" i="88"/>
  <c r="C24" i="88"/>
  <c r="K26" i="71"/>
  <c r="M70" i="48"/>
  <c r="D52" i="56"/>
  <c r="E52" i="56" s="1"/>
  <c r="B52" i="47"/>
  <c r="D52" i="47" s="1"/>
  <c r="E52" i="47" s="1"/>
  <c r="K62" i="48"/>
  <c r="O62" i="48" s="1"/>
  <c r="B22" i="47"/>
  <c r="B54" i="47"/>
  <c r="D54" i="56"/>
  <c r="E54" i="56" s="1"/>
  <c r="K60" i="48"/>
  <c r="D26" i="71"/>
  <c r="F26" i="71"/>
  <c r="I7" i="71"/>
  <c r="J7" i="71" s="1"/>
  <c r="C35" i="71" s="1"/>
  <c r="G7" i="71"/>
  <c r="B35" i="71" s="1"/>
  <c r="B50" i="47"/>
  <c r="D50" i="47" s="1"/>
  <c r="E50" i="47" s="1"/>
  <c r="D50" i="56"/>
  <c r="E50" i="56" s="1"/>
  <c r="D70" i="53"/>
  <c r="E10" i="53"/>
  <c r="L52" i="48"/>
  <c r="M52" i="48"/>
  <c r="D20" i="56" l="1"/>
  <c r="E20" i="56" s="1"/>
  <c r="C30" i="56"/>
  <c r="B30" i="47" s="1"/>
  <c r="C14" i="56"/>
  <c r="B14" i="47" s="1"/>
  <c r="C5" i="71"/>
  <c r="D5" i="71" s="1"/>
  <c r="C9" i="71"/>
  <c r="D9" i="71" s="1"/>
  <c r="F10" i="71"/>
  <c r="C22" i="47"/>
  <c r="D22" i="47" s="1"/>
  <c r="E22" i="47" s="1"/>
  <c r="F19" i="71"/>
  <c r="C40" i="47"/>
  <c r="C12" i="56"/>
  <c r="C46" i="56"/>
  <c r="B46" i="47" s="1"/>
  <c r="J64" i="63"/>
  <c r="L60" i="48"/>
  <c r="O60" i="48"/>
  <c r="C6" i="71"/>
  <c r="D6" i="71" s="1"/>
  <c r="L8" i="71"/>
  <c r="M8" i="71" s="1"/>
  <c r="D36" i="71" s="1"/>
  <c r="B28" i="47"/>
  <c r="C38" i="56"/>
  <c r="D32" i="56"/>
  <c r="E32" i="56" s="1"/>
  <c r="B32" i="47"/>
  <c r="B18" i="47"/>
  <c r="D28" i="56"/>
  <c r="E28" i="56" s="1"/>
  <c r="D18" i="56"/>
  <c r="E18" i="56" s="1"/>
  <c r="B64" i="47"/>
  <c r="D64" i="56"/>
  <c r="E64" i="56" s="1"/>
  <c r="C24" i="71"/>
  <c r="D24" i="71" s="1"/>
  <c r="C62" i="56"/>
  <c r="C48" i="56"/>
  <c r="B48" i="47" s="1"/>
  <c r="C44" i="56"/>
  <c r="B44" i="47" s="1"/>
  <c r="C32" i="47"/>
  <c r="F15" i="71"/>
  <c r="C13" i="71"/>
  <c r="D13" i="71" s="1"/>
  <c r="C18" i="47"/>
  <c r="F8" i="71"/>
  <c r="C11" i="71"/>
  <c r="D11" i="71" s="1"/>
  <c r="D26" i="56"/>
  <c r="E26" i="56" s="1"/>
  <c r="D34" i="56"/>
  <c r="E34" i="56" s="1"/>
  <c r="C16" i="71"/>
  <c r="D16" i="71" s="1"/>
  <c r="D36" i="56"/>
  <c r="E36" i="56" s="1"/>
  <c r="C17" i="71"/>
  <c r="D17" i="71" s="1"/>
  <c r="B24" i="56"/>
  <c r="D24" i="56" s="1"/>
  <c r="E24" i="56" s="1"/>
  <c r="B48" i="56"/>
  <c r="D48" i="88"/>
  <c r="E48" i="88" s="1"/>
  <c r="D24" i="88"/>
  <c r="E24" i="88" s="1"/>
  <c r="D58" i="56"/>
  <c r="E58" i="56" s="1"/>
  <c r="C53" i="71"/>
  <c r="B53" i="71"/>
  <c r="D66" i="56"/>
  <c r="E66" i="56" s="1"/>
  <c r="B66" i="47"/>
  <c r="D66" i="47" s="1"/>
  <c r="E66" i="47" s="1"/>
  <c r="D60" i="56"/>
  <c r="E60" i="56" s="1"/>
  <c r="C10" i="88"/>
  <c r="E70" i="53"/>
  <c r="K58" i="48"/>
  <c r="M60" i="48"/>
  <c r="I26" i="71"/>
  <c r="J26" i="71" s="1"/>
  <c r="C54" i="71" s="1"/>
  <c r="G26" i="71"/>
  <c r="B54" i="71" s="1"/>
  <c r="K54" i="48"/>
  <c r="O54" i="48" s="1"/>
  <c r="L62" i="48"/>
  <c r="M62" i="48"/>
  <c r="D30" i="56" l="1"/>
  <c r="E30" i="56" s="1"/>
  <c r="D14" i="56"/>
  <c r="E14" i="56" s="1"/>
  <c r="D46" i="56"/>
  <c r="E46" i="56" s="1"/>
  <c r="B12" i="47"/>
  <c r="L10" i="71"/>
  <c r="M10" i="71" s="1"/>
  <c r="D38" i="71" s="1"/>
  <c r="E42" i="63"/>
  <c r="O42" i="63" s="1"/>
  <c r="I42" i="48" s="1"/>
  <c r="J42" i="48" s="1"/>
  <c r="D40" i="47"/>
  <c r="E40" i="47" s="1"/>
  <c r="C20" i="47"/>
  <c r="F9" i="71"/>
  <c r="E24" i="63"/>
  <c r="O24" i="63" s="1"/>
  <c r="I24" i="48" s="1"/>
  <c r="J24" i="48" s="1"/>
  <c r="F14" i="71"/>
  <c r="C30" i="47"/>
  <c r="I19" i="71"/>
  <c r="J19" i="71" s="1"/>
  <c r="C47" i="71" s="1"/>
  <c r="G19" i="71"/>
  <c r="B47" i="71" s="1"/>
  <c r="I10" i="71"/>
  <c r="J10" i="71" s="1"/>
  <c r="C38" i="71" s="1"/>
  <c r="G10" i="71"/>
  <c r="B38" i="71" s="1"/>
  <c r="D12" i="56"/>
  <c r="E12" i="56" s="1"/>
  <c r="D18" i="47"/>
  <c r="E18" i="47" s="1"/>
  <c r="L23" i="71"/>
  <c r="M23" i="71" s="1"/>
  <c r="D51" i="71" s="1"/>
  <c r="C12" i="47"/>
  <c r="F5" i="71"/>
  <c r="G5" i="71" s="1"/>
  <c r="B33" i="71" s="1"/>
  <c r="L58" i="48"/>
  <c r="O58" i="48"/>
  <c r="C14" i="47"/>
  <c r="F6" i="71"/>
  <c r="D44" i="56"/>
  <c r="E44" i="56" s="1"/>
  <c r="B38" i="47"/>
  <c r="D38" i="56"/>
  <c r="E38" i="56" s="1"/>
  <c r="B62" i="47"/>
  <c r="C22" i="71"/>
  <c r="D22" i="71" s="1"/>
  <c r="D62" i="56"/>
  <c r="E62" i="56" s="1"/>
  <c r="D48" i="56"/>
  <c r="E48" i="56" s="1"/>
  <c r="L24" i="71"/>
  <c r="M24" i="71" s="1"/>
  <c r="D52" i="71" s="1"/>
  <c r="C64" i="47"/>
  <c r="F24" i="71"/>
  <c r="G24" i="71" s="1"/>
  <c r="B52" i="71" s="1"/>
  <c r="I24" i="71"/>
  <c r="J24" i="71" s="1"/>
  <c r="C52" i="71" s="1"/>
  <c r="C62" i="47"/>
  <c r="F23" i="71"/>
  <c r="G23" i="71" s="1"/>
  <c r="B51" i="71" s="1"/>
  <c r="I23" i="71"/>
  <c r="J23" i="71" s="1"/>
  <c r="C51" i="71" s="1"/>
  <c r="C46" i="47"/>
  <c r="F21" i="71"/>
  <c r="F20" i="71"/>
  <c r="G20" i="71" s="1"/>
  <c r="B48" i="71" s="1"/>
  <c r="C44" i="47"/>
  <c r="I20" i="71"/>
  <c r="J20" i="71" s="1"/>
  <c r="C48" i="71" s="1"/>
  <c r="C38" i="47"/>
  <c r="F18" i="71"/>
  <c r="G18" i="71" s="1"/>
  <c r="B46" i="71" s="1"/>
  <c r="I18" i="71"/>
  <c r="J18" i="71" s="1"/>
  <c r="C46" i="71" s="1"/>
  <c r="L18" i="71"/>
  <c r="M18" i="71" s="1"/>
  <c r="D46" i="71" s="1"/>
  <c r="I15" i="71"/>
  <c r="J15" i="71" s="1"/>
  <c r="C43" i="71" s="1"/>
  <c r="G15" i="71"/>
  <c r="B43" i="71" s="1"/>
  <c r="E34" i="63"/>
  <c r="O34" i="63" s="1"/>
  <c r="I34" i="48" s="1"/>
  <c r="J34" i="48" s="1"/>
  <c r="L15" i="71"/>
  <c r="M15" i="71" s="1"/>
  <c r="D43" i="71" s="1"/>
  <c r="D32" i="47"/>
  <c r="E32" i="47" s="1"/>
  <c r="C28" i="47"/>
  <c r="I13" i="71"/>
  <c r="J13" i="71" s="1"/>
  <c r="C41" i="71" s="1"/>
  <c r="F13" i="71"/>
  <c r="G13" i="71" s="1"/>
  <c r="B41" i="71" s="1"/>
  <c r="E20" i="63"/>
  <c r="O20" i="63" s="1"/>
  <c r="I20" i="48" s="1"/>
  <c r="J20" i="48" s="1"/>
  <c r="G8" i="71"/>
  <c r="B36" i="71" s="1"/>
  <c r="I8" i="71"/>
  <c r="J8" i="71" s="1"/>
  <c r="C36" i="71" s="1"/>
  <c r="C10" i="56"/>
  <c r="F11" i="71"/>
  <c r="C24" i="47"/>
  <c r="F17" i="71"/>
  <c r="C36" i="47"/>
  <c r="B10" i="56"/>
  <c r="B70" i="56" s="1"/>
  <c r="C70" i="88"/>
  <c r="M58" i="48"/>
  <c r="L54" i="48"/>
  <c r="M54" i="48"/>
  <c r="L11" i="71" l="1"/>
  <c r="M11" i="71" s="1"/>
  <c r="D39" i="71" s="1"/>
  <c r="D62" i="47"/>
  <c r="E62" i="47" s="1"/>
  <c r="I14" i="71"/>
  <c r="J14" i="71" s="1"/>
  <c r="C42" i="71" s="1"/>
  <c r="G14" i="71"/>
  <c r="B42" i="71" s="1"/>
  <c r="G9" i="71"/>
  <c r="B37" i="71" s="1"/>
  <c r="I9" i="71"/>
  <c r="J9" i="71" s="1"/>
  <c r="C37" i="71" s="1"/>
  <c r="L14" i="71"/>
  <c r="M14" i="71" s="1"/>
  <c r="D42" i="71" s="1"/>
  <c r="E22" i="63"/>
  <c r="O22" i="63" s="1"/>
  <c r="I22" i="48" s="1"/>
  <c r="J22" i="48" s="1"/>
  <c r="D20" i="47"/>
  <c r="E20" i="47" s="1"/>
  <c r="L9" i="71"/>
  <c r="M9" i="71" s="1"/>
  <c r="D37" i="71" s="1"/>
  <c r="E32" i="63"/>
  <c r="O32" i="63" s="1"/>
  <c r="I32" i="48" s="1"/>
  <c r="J32" i="48" s="1"/>
  <c r="D30" i="47"/>
  <c r="E30" i="47" s="1"/>
  <c r="L13" i="71"/>
  <c r="M13" i="71" s="1"/>
  <c r="D41" i="71" s="1"/>
  <c r="E14" i="63"/>
  <c r="D12" i="47"/>
  <c r="E12" i="47" s="1"/>
  <c r="I5" i="71"/>
  <c r="J5" i="71" s="1"/>
  <c r="C33" i="71" s="1"/>
  <c r="L6" i="71"/>
  <c r="M6" i="71" s="1"/>
  <c r="D34" i="71" s="1"/>
  <c r="I6" i="71"/>
  <c r="J6" i="71" s="1"/>
  <c r="C34" i="71" s="1"/>
  <c r="G6" i="71"/>
  <c r="B34" i="71" s="1"/>
  <c r="E16" i="63"/>
  <c r="O16" i="63" s="1"/>
  <c r="I16" i="48" s="1"/>
  <c r="J16" i="48" s="1"/>
  <c r="D14" i="47"/>
  <c r="E14" i="47" s="1"/>
  <c r="D38" i="47"/>
  <c r="E38" i="47" s="1"/>
  <c r="C4" i="71"/>
  <c r="D4" i="71" s="1"/>
  <c r="E66" i="63"/>
  <c r="O66" i="63" s="1"/>
  <c r="I66" i="48" s="1"/>
  <c r="J66" i="48" s="1"/>
  <c r="D64" i="47"/>
  <c r="E64" i="47" s="1"/>
  <c r="E64" i="63"/>
  <c r="O64" i="63" s="1"/>
  <c r="I64" i="48" s="1"/>
  <c r="J64" i="48" s="1"/>
  <c r="F22" i="71"/>
  <c r="G22" i="71" s="1"/>
  <c r="B50" i="71" s="1"/>
  <c r="C48" i="47"/>
  <c r="I22" i="71"/>
  <c r="J22" i="71" s="1"/>
  <c r="C50" i="71" s="1"/>
  <c r="L21" i="71"/>
  <c r="M21" i="71" s="1"/>
  <c r="D49" i="71" s="1"/>
  <c r="I21" i="71"/>
  <c r="J21" i="71" s="1"/>
  <c r="C49" i="71" s="1"/>
  <c r="G21" i="71"/>
  <c r="B49" i="71" s="1"/>
  <c r="E48" i="63"/>
  <c r="O48" i="63" s="1"/>
  <c r="I48" i="48" s="1"/>
  <c r="J48" i="48" s="1"/>
  <c r="D46" i="47"/>
  <c r="E46" i="47" s="1"/>
  <c r="E46" i="63"/>
  <c r="O46" i="63" s="1"/>
  <c r="I46" i="48" s="1"/>
  <c r="J46" i="48" s="1"/>
  <c r="D44" i="47"/>
  <c r="E44" i="47" s="1"/>
  <c r="E40" i="63"/>
  <c r="O40" i="63" s="1"/>
  <c r="I40" i="48" s="1"/>
  <c r="J40" i="48" s="1"/>
  <c r="E30" i="63"/>
  <c r="O30" i="63" s="1"/>
  <c r="I30" i="48" s="1"/>
  <c r="J30" i="48" s="1"/>
  <c r="D28" i="47"/>
  <c r="E28" i="47" s="1"/>
  <c r="B10" i="47"/>
  <c r="B70" i="47" s="1"/>
  <c r="C70" i="56"/>
  <c r="G11" i="71"/>
  <c r="B39" i="71" s="1"/>
  <c r="I11" i="71"/>
  <c r="J11" i="71" s="1"/>
  <c r="C39" i="71" s="1"/>
  <c r="E26" i="63"/>
  <c r="O26" i="63" s="1"/>
  <c r="I26" i="48" s="1"/>
  <c r="J26" i="48" s="1"/>
  <c r="D24" i="47"/>
  <c r="E24" i="47" s="1"/>
  <c r="L17" i="71"/>
  <c r="M17" i="71" s="1"/>
  <c r="D45" i="71" s="1"/>
  <c r="I17" i="71"/>
  <c r="J17" i="71" s="1"/>
  <c r="C45" i="71" s="1"/>
  <c r="G17" i="71"/>
  <c r="B45" i="71" s="1"/>
  <c r="E38" i="63"/>
  <c r="O38" i="63" s="1"/>
  <c r="I38" i="48" s="1"/>
  <c r="J38" i="48" s="1"/>
  <c r="D36" i="47"/>
  <c r="E36" i="47" s="1"/>
  <c r="D10" i="56"/>
  <c r="J14" i="63" l="1"/>
  <c r="O14" i="63" s="1"/>
  <c r="I14" i="48" s="1"/>
  <c r="J14" i="48" s="1"/>
  <c r="L5" i="71"/>
  <c r="M5" i="71" s="1"/>
  <c r="D33" i="71" s="1"/>
  <c r="K24" i="48"/>
  <c r="E50" i="63"/>
  <c r="O50" i="63" s="1"/>
  <c r="I50" i="48" s="1"/>
  <c r="J50" i="48" s="1"/>
  <c r="D48" i="47"/>
  <c r="E48" i="47" s="1"/>
  <c r="L22" i="71"/>
  <c r="M22" i="71" s="1"/>
  <c r="D50" i="71" s="1"/>
  <c r="K34" i="48"/>
  <c r="O34" i="48" s="1"/>
  <c r="K20" i="48"/>
  <c r="O20" i="48" s="1"/>
  <c r="D70" i="56"/>
  <c r="D72" i="56" s="1"/>
  <c r="E10" i="56"/>
  <c r="K32" i="48" l="1"/>
  <c r="K22" i="48"/>
  <c r="O24" i="48"/>
  <c r="L24" i="48"/>
  <c r="M24" i="48"/>
  <c r="K16" i="48"/>
  <c r="O16" i="48" s="1"/>
  <c r="K66" i="48"/>
  <c r="O66" i="48" s="1"/>
  <c r="K64" i="48"/>
  <c r="O64" i="48" s="1"/>
  <c r="K48" i="48"/>
  <c r="O48" i="48" s="1"/>
  <c r="K40" i="48"/>
  <c r="O40" i="48" s="1"/>
  <c r="L34" i="48"/>
  <c r="M34" i="48"/>
  <c r="K30" i="48"/>
  <c r="O30" i="48" s="1"/>
  <c r="L20" i="48"/>
  <c r="M20" i="48"/>
  <c r="K26" i="48"/>
  <c r="O26" i="48" s="1"/>
  <c r="E70" i="56"/>
  <c r="K38" i="48"/>
  <c r="O38" i="48" s="1"/>
  <c r="L22" i="48" l="1"/>
  <c r="O22" i="48"/>
  <c r="M22" i="48"/>
  <c r="L32" i="48"/>
  <c r="O32" i="48"/>
  <c r="M32" i="48"/>
  <c r="K14" i="48"/>
  <c r="L16" i="48"/>
  <c r="M16" i="48"/>
  <c r="K50" i="48"/>
  <c r="O50" i="48" s="1"/>
  <c r="L48" i="48"/>
  <c r="M48" i="48"/>
  <c r="M40" i="48"/>
  <c r="L40" i="48"/>
  <c r="L30" i="48"/>
  <c r="M30" i="48"/>
  <c r="L38" i="48"/>
  <c r="M38" i="48"/>
  <c r="O14" i="48" l="1"/>
  <c r="L14" i="48"/>
  <c r="M14" i="48"/>
  <c r="L7" i="71" l="1"/>
  <c r="M7" i="71" s="1"/>
  <c r="D35" i="71" s="1"/>
  <c r="K18" i="48" l="1"/>
  <c r="O18" i="48" s="1"/>
  <c r="L18" i="48" l="1"/>
  <c r="M18" i="48"/>
  <c r="E4" i="71" l="1"/>
  <c r="D12" i="63" l="1"/>
  <c r="D72" i="63" s="1"/>
  <c r="F4" i="71"/>
  <c r="G4" i="71" s="1"/>
  <c r="B32" i="71" s="1"/>
  <c r="C10" i="47"/>
  <c r="N12" i="63" l="1"/>
  <c r="F12" i="48" s="1"/>
  <c r="H4" i="71"/>
  <c r="E12" i="63"/>
  <c r="D10" i="47"/>
  <c r="E10" i="47" s="1"/>
  <c r="G12" i="48" l="1"/>
  <c r="H12" i="48" s="1"/>
  <c r="H72" i="48" s="1"/>
  <c r="I4" i="71"/>
  <c r="J4" i="71" s="1"/>
  <c r="C32" i="71" s="1"/>
  <c r="N72" i="63"/>
  <c r="F72" i="48"/>
  <c r="G72" i="48" s="1"/>
  <c r="K4" i="71"/>
  <c r="P12" i="48" l="1"/>
  <c r="P72" i="48" s="1"/>
  <c r="K12" i="48" l="1"/>
  <c r="C26" i="47" l="1"/>
  <c r="D26" i="47" s="1"/>
  <c r="E26" i="47" s="1"/>
  <c r="F12" i="71" l="1"/>
  <c r="G12" i="71" s="1"/>
  <c r="B40" i="71" s="1"/>
  <c r="E28" i="63"/>
  <c r="O28" i="63" s="1"/>
  <c r="I12" i="71" l="1"/>
  <c r="J12" i="71" s="1"/>
  <c r="C40" i="71" s="1"/>
  <c r="I28" i="48"/>
  <c r="J28" i="48" l="1"/>
  <c r="I16" i="71" l="1"/>
  <c r="J16" i="71" s="1"/>
  <c r="C44" i="71" s="1"/>
  <c r="C34" i="47" l="1"/>
  <c r="D34" i="47" s="1"/>
  <c r="E34" i="47" s="1"/>
  <c r="F16" i="71"/>
  <c r="G16" i="71" s="1"/>
  <c r="B44" i="71" s="1"/>
  <c r="E36" i="63" l="1"/>
  <c r="E72" i="63" s="1"/>
  <c r="C70" i="47"/>
  <c r="D70" i="47" s="1"/>
  <c r="L16" i="71"/>
  <c r="M16" i="71" s="1"/>
  <c r="D44" i="71" s="1"/>
  <c r="E70" i="47" l="1"/>
  <c r="O36" i="63"/>
  <c r="I36" i="48" l="1"/>
  <c r="J36" i="48" s="1"/>
  <c r="K36" i="48" l="1"/>
  <c r="M36" i="48" s="1"/>
  <c r="O36" i="48" l="1"/>
  <c r="L36" i="48"/>
  <c r="L20" i="71"/>
  <c r="M20" i="71" s="1"/>
  <c r="D48" i="71" s="1"/>
  <c r="K46" i="48" l="1"/>
  <c r="O46" i="48" s="1"/>
  <c r="L46" i="48" l="1"/>
  <c r="M46" i="48"/>
  <c r="L19" i="71"/>
  <c r="M19" i="71" s="1"/>
  <c r="D47" i="71" s="1"/>
  <c r="L12" i="71" l="1"/>
  <c r="M12" i="71" s="1"/>
  <c r="D40" i="71" s="1"/>
  <c r="K42" i="48" l="1"/>
  <c r="O42" i="48" s="1"/>
  <c r="M42" i="48" l="1"/>
  <c r="L42" i="48"/>
  <c r="K28" i="48" l="1"/>
  <c r="O28" i="48" s="1"/>
  <c r="L28" i="48" l="1"/>
  <c r="M28" i="48"/>
  <c r="Q50" i="62" l="1"/>
  <c r="L26" i="71"/>
  <c r="M26" i="71" s="1"/>
  <c r="D54" i="71" s="1"/>
  <c r="K68" i="48" l="1"/>
  <c r="L68" i="48" l="1"/>
  <c r="K72" i="48"/>
  <c r="M68" i="48"/>
  <c r="O68" i="48"/>
  <c r="J12" i="48" l="1"/>
  <c r="L12" i="48" s="1"/>
  <c r="M53" i="1"/>
  <c r="N10" i="62" s="1"/>
  <c r="H13" i="1"/>
  <c r="K13" i="1" l="1"/>
  <c r="O12" i="48"/>
  <c r="M12" i="48"/>
  <c r="M72" i="48" s="1"/>
  <c r="N13" i="62"/>
  <c r="N50" i="62" s="1"/>
  <c r="O53" i="1" l="1"/>
  <c r="Q13" i="1"/>
  <c r="H15" i="1"/>
  <c r="K15" i="1" s="1"/>
  <c r="O10" i="62"/>
  <c r="T18" i="49"/>
  <c r="C10" i="70"/>
  <c r="T29" i="49" l="1"/>
  <c r="P10" i="62"/>
  <c r="T15" i="1"/>
  <c r="K11" i="57"/>
  <c r="Q15" i="1"/>
  <c r="O13" i="62"/>
  <c r="J12" i="63"/>
  <c r="M11" i="57" l="1"/>
  <c r="O11" i="57" s="1"/>
  <c r="C6" i="135"/>
  <c r="P13" i="62"/>
  <c r="O12" i="63"/>
  <c r="J72" i="63"/>
  <c r="E6" i="135" l="1"/>
  <c r="C50" i="62"/>
  <c r="O72" i="63"/>
  <c r="I12" i="48"/>
  <c r="I72" i="48" s="1"/>
  <c r="U22" i="127" l="1"/>
  <c r="V22" i="127" s="1"/>
  <c r="U21" i="127" l="1"/>
  <c r="V21" i="127" s="1"/>
  <c r="U32" i="127" l="1"/>
  <c r="V32" i="127" s="1"/>
  <c r="U55" i="127" l="1"/>
  <c r="V55" i="127" s="1"/>
  <c r="U56" i="127"/>
  <c r="V56" i="127" s="1"/>
  <c r="U42" i="127"/>
  <c r="V42" i="127" s="1"/>
  <c r="U37" i="127"/>
  <c r="V37" i="127" s="1"/>
  <c r="U36" i="127"/>
  <c r="V36" i="127" s="1"/>
  <c r="U29" i="127"/>
  <c r="V29" i="127" s="1"/>
  <c r="U17" i="127"/>
  <c r="V17" i="127" s="1"/>
  <c r="U44" i="127"/>
  <c r="V44" i="127" s="1"/>
  <c r="U27" i="127" l="1"/>
  <c r="V27" i="127" s="1"/>
  <c r="V19" i="127"/>
  <c r="U18" i="127"/>
  <c r="V18" i="127" s="1"/>
  <c r="U26" i="127"/>
  <c r="V26" i="127" s="1"/>
  <c r="U16" i="127"/>
  <c r="V16" i="127" s="1"/>
  <c r="U40" i="127"/>
  <c r="V40" i="127" s="1"/>
  <c r="U28" i="127"/>
  <c r="V28" i="127" s="1"/>
  <c r="U43" i="127"/>
  <c r="V43" i="127" s="1"/>
  <c r="U41" i="127"/>
  <c r="V41" i="127" s="1"/>
  <c r="U54" i="127"/>
  <c r="V54" i="127" s="1"/>
  <c r="U15" i="127"/>
  <c r="V15" i="127" s="1"/>
  <c r="S41" i="128"/>
  <c r="T41" i="128" s="1"/>
  <c r="S42" i="128"/>
  <c r="T42" i="128" s="1"/>
  <c r="S13" i="102" l="1"/>
  <c r="T13" i="102" s="1"/>
  <c r="S13" i="101"/>
  <c r="T13" i="101" s="1"/>
  <c r="S16" i="125" l="1"/>
  <c r="T16" i="125" s="1"/>
  <c r="S16" i="115"/>
  <c r="T16" i="115" s="1"/>
  <c r="S16" i="124"/>
  <c r="T16" i="124" s="1"/>
  <c r="S16" i="123"/>
  <c r="T16" i="123" s="1"/>
  <c r="S16" i="116" l="1"/>
  <c r="T16" i="116" s="1"/>
  <c r="S16" i="126"/>
  <c r="T16" i="126" s="1"/>
  <c r="S13" i="115" l="1"/>
  <c r="T13" i="115" s="1"/>
  <c r="S13" i="116" l="1"/>
  <c r="T13" i="116" s="1"/>
  <c r="S17" i="123"/>
  <c r="T17" i="123" s="1"/>
  <c r="S17" i="126" l="1"/>
  <c r="T17" i="126" s="1"/>
  <c r="S17" i="124"/>
  <c r="T17" i="124" s="1"/>
  <c r="S17" i="125" l="1"/>
  <c r="T17" i="125" s="1"/>
  <c r="S15" i="124" l="1"/>
  <c r="T15" i="124" s="1"/>
  <c r="T53" i="124" s="1"/>
  <c r="T40" i="62" l="1"/>
  <c r="S15" i="125"/>
  <c r="T15" i="125" s="1"/>
  <c r="T54" i="125" s="1"/>
  <c r="T41" i="62" s="1"/>
  <c r="S15" i="126"/>
  <c r="T15" i="126" s="1"/>
  <c r="T53" i="126" s="1"/>
  <c r="T42" i="62" s="1"/>
  <c r="S15" i="123" l="1"/>
  <c r="T15" i="123" s="1"/>
  <c r="T53" i="123" s="1"/>
  <c r="T39" i="62" s="1"/>
  <c r="T43" i="62" l="1"/>
  <c r="V43" i="62" l="1"/>
  <c r="S13" i="107"/>
  <c r="T13" i="107" s="1"/>
  <c r="S15" i="106" l="1"/>
  <c r="T15" i="106" s="1"/>
  <c r="S14" i="106"/>
  <c r="T14" i="106" s="1"/>
  <c r="S13" i="106" l="1"/>
  <c r="T13" i="106" s="1"/>
  <c r="S14" i="109" l="1"/>
  <c r="T14" i="109" s="1"/>
  <c r="S14" i="108"/>
  <c r="T14" i="108" s="1"/>
  <c r="S13" i="109" l="1"/>
  <c r="T13" i="109" s="1"/>
  <c r="S13" i="108"/>
  <c r="T13" i="108" s="1"/>
  <c r="S18" i="128" l="1"/>
  <c r="T18" i="128" s="1"/>
  <c r="S17" i="128" l="1"/>
  <c r="T17" i="128" s="1"/>
  <c r="S31" i="128"/>
  <c r="T31" i="128" s="1"/>
  <c r="S30" i="128"/>
  <c r="T30" i="128" s="1"/>
  <c r="S44" i="128"/>
  <c r="T44" i="128" s="1"/>
  <c r="S29" i="128"/>
  <c r="T29" i="128" s="1"/>
  <c r="S16" i="128"/>
  <c r="T16" i="128" s="1"/>
  <c r="S43" i="128"/>
  <c r="T43" i="128" s="1"/>
  <c r="S28" i="128"/>
  <c r="T28" i="128" s="1"/>
  <c r="S15" i="128"/>
  <c r="T15" i="128" s="1"/>
  <c r="S13" i="1" l="1"/>
  <c r="T13" i="1" s="1"/>
  <c r="S16" i="1" l="1"/>
  <c r="T16" i="1" s="1"/>
  <c r="S16" i="104" l="1"/>
  <c r="T16" i="104" s="1"/>
  <c r="S16" i="110" l="1"/>
  <c r="T16" i="110" s="1"/>
  <c r="S16" i="111" l="1"/>
  <c r="T16" i="111" s="1"/>
  <c r="S15" i="119"/>
  <c r="T15" i="119" s="1"/>
  <c r="S15" i="118" l="1"/>
  <c r="T15" i="118" s="1"/>
  <c r="S13" i="117" l="1"/>
  <c r="T13" i="117" s="1"/>
  <c r="S13" i="122"/>
  <c r="T13" i="122" s="1"/>
  <c r="S13" i="118"/>
  <c r="T13" i="118" s="1"/>
  <c r="S13" i="119"/>
  <c r="T13" i="119" s="1"/>
  <c r="T53" i="119" s="1"/>
  <c r="T32" i="62" s="1"/>
  <c r="S13" i="121" l="1"/>
  <c r="T13" i="121" s="1"/>
  <c r="S13" i="113"/>
  <c r="T13" i="113" s="1"/>
  <c r="D98" i="89" l="1"/>
  <c r="D19" i="89" s="1"/>
  <c r="D99" i="89"/>
  <c r="D20" i="89" s="1"/>
  <c r="C14" i="104" s="1"/>
  <c r="C13" i="104" l="1"/>
  <c r="G13" i="104" s="1"/>
  <c r="E21" i="57"/>
  <c r="F21" i="57" s="1"/>
  <c r="G14" i="104"/>
  <c r="I14" i="104"/>
  <c r="O14" i="104" s="1"/>
  <c r="H13" i="104"/>
  <c r="N13" i="104" s="1"/>
  <c r="I13" i="104" l="1"/>
  <c r="O13" i="104" s="1"/>
  <c r="O53" i="104" s="1"/>
  <c r="P16" i="62" s="1"/>
  <c r="P24" i="62" s="1"/>
  <c r="P50" i="62" s="1"/>
  <c r="H14" i="104"/>
  <c r="K14" i="104" s="1"/>
  <c r="T14" i="104" s="1"/>
  <c r="F65" i="57"/>
  <c r="T36" i="49"/>
  <c r="K13" i="104" l="1"/>
  <c r="T13" i="104" s="1"/>
  <c r="Q13" i="104"/>
  <c r="N14" i="104"/>
  <c r="N53" i="104" s="1"/>
  <c r="T62" i="49"/>
  <c r="T155" i="49" s="1"/>
  <c r="K21" i="57"/>
  <c r="C14" i="70"/>
  <c r="M21" i="57" l="1"/>
  <c r="C12" i="135"/>
  <c r="Q14" i="104"/>
  <c r="M65" i="57"/>
  <c r="O21" i="57"/>
  <c r="O65" i="57" s="1"/>
  <c r="C44" i="70"/>
  <c r="O16" i="62"/>
  <c r="K65" i="57"/>
  <c r="K71" i="57" s="1"/>
  <c r="E12" i="135" l="1"/>
  <c r="C34" i="135"/>
  <c r="O24" i="62"/>
  <c r="O50" i="62" s="1"/>
  <c r="C35" i="135" l="1"/>
  <c r="E34" i="135"/>
  <c r="G60" i="128"/>
  <c r="F46" i="62" s="1"/>
  <c r="G38" i="107"/>
  <c r="G19" i="62" s="1"/>
  <c r="G38" i="115"/>
  <c r="G28" i="62" s="1"/>
  <c r="G38" i="118"/>
  <c r="G31" i="62" s="1"/>
  <c r="G50" i="116"/>
  <c r="K29" i="62" s="1"/>
  <c r="G50" i="118"/>
  <c r="K31" i="62" s="1"/>
  <c r="G38" i="112"/>
  <c r="G48" i="62" s="1"/>
  <c r="G50" i="108"/>
  <c r="K20" i="62" s="1"/>
  <c r="G50" i="117"/>
  <c r="K30" i="62" s="1"/>
  <c r="G50" i="123"/>
  <c r="K39" i="62" s="1"/>
  <c r="G50" i="119"/>
  <c r="K32" i="62" s="1"/>
  <c r="G74" i="128"/>
  <c r="K46" i="62" s="1"/>
  <c r="G50" i="110"/>
  <c r="K22" i="62" s="1"/>
  <c r="G36" i="112"/>
  <c r="F48" i="62" s="1"/>
  <c r="G38" i="124"/>
  <c r="G40" i="62" s="1"/>
  <c r="G38" i="117"/>
  <c r="G30" i="62" s="1"/>
  <c r="G38" i="116"/>
  <c r="G29" i="62" s="1"/>
  <c r="G50" i="107"/>
  <c r="K19" i="62" s="1"/>
  <c r="G50" i="112"/>
  <c r="K48" i="62" s="1"/>
  <c r="G39" i="125"/>
  <c r="G41" i="62" s="1"/>
  <c r="G62" i="128"/>
  <c r="G46" i="62" s="1"/>
  <c r="G50" i="121"/>
  <c r="K35" i="62" s="1"/>
  <c r="G50" i="109"/>
  <c r="K21" i="62" s="1"/>
  <c r="G50" i="106"/>
  <c r="K18" i="62" s="1"/>
  <c r="G50" i="124"/>
  <c r="K40" i="62" s="1"/>
  <c r="G50" i="122"/>
  <c r="K36" i="62" s="1"/>
  <c r="G51" i="125"/>
  <c r="K41" i="62" s="1"/>
  <c r="G38" i="119"/>
  <c r="G32" i="62" s="1"/>
  <c r="G38" i="123"/>
  <c r="G39" i="62" s="1"/>
  <c r="G50" i="115"/>
  <c r="K28" i="62" s="1"/>
  <c r="K37" i="62" l="1"/>
  <c r="D38" i="82"/>
  <c r="E38" i="82" s="1"/>
  <c r="F38" i="82" s="1"/>
  <c r="G38" i="121"/>
  <c r="G35" i="62" s="1"/>
  <c r="D47" i="57"/>
  <c r="I47" i="57" s="1"/>
  <c r="G32" i="116"/>
  <c r="D29" i="62" s="1"/>
  <c r="B30" i="54"/>
  <c r="G44" i="117"/>
  <c r="I30" i="62" s="1"/>
  <c r="B19" i="54"/>
  <c r="G44" i="107"/>
  <c r="I19" i="62" s="1"/>
  <c r="B39" i="54"/>
  <c r="G44" i="123"/>
  <c r="I39" i="62" s="1"/>
  <c r="B29" i="54"/>
  <c r="G44" i="116"/>
  <c r="I29" i="62" s="1"/>
  <c r="D38" i="83"/>
  <c r="E38" i="83" s="1"/>
  <c r="F38" i="83" s="1"/>
  <c r="G38" i="122"/>
  <c r="G36" i="62" s="1"/>
  <c r="B31" i="54"/>
  <c r="G44" i="118"/>
  <c r="I31" i="62" s="1"/>
  <c r="B28" i="54"/>
  <c r="G44" i="115"/>
  <c r="I28" i="62" s="1"/>
  <c r="B48" i="54"/>
  <c r="G44" i="112"/>
  <c r="I48" i="62" s="1"/>
  <c r="B21" i="54"/>
  <c r="G44" i="109"/>
  <c r="I21" i="62" s="1"/>
  <c r="B36" i="54"/>
  <c r="D41" i="83"/>
  <c r="E41" i="83" s="1"/>
  <c r="F41" i="83" s="1"/>
  <c r="G41" i="83" s="1"/>
  <c r="H41" i="83" s="1"/>
  <c r="I41" i="83" s="1"/>
  <c r="J41" i="83" s="1"/>
  <c r="K41" i="83" s="1"/>
  <c r="M41" i="83" s="1"/>
  <c r="R41" i="83" s="1"/>
  <c r="G44" i="122"/>
  <c r="I36" i="62" s="1"/>
  <c r="B18" i="54"/>
  <c r="G44" i="106"/>
  <c r="I18" i="62" s="1"/>
  <c r="B35" i="54"/>
  <c r="B37" i="54" s="1"/>
  <c r="D41" i="82"/>
  <c r="E41" i="82" s="1"/>
  <c r="F41" i="82" s="1"/>
  <c r="G41" i="82" s="1"/>
  <c r="H41" i="82" s="1"/>
  <c r="I41" i="82" s="1"/>
  <c r="J41" i="82" s="1"/>
  <c r="K41" i="82" s="1"/>
  <c r="M41" i="82" s="1"/>
  <c r="G44" i="121"/>
  <c r="I35" i="62" s="1"/>
  <c r="I37" i="62" s="1"/>
  <c r="B22" i="54"/>
  <c r="G44" i="110"/>
  <c r="I22" i="62" s="1"/>
  <c r="B32" i="54"/>
  <c r="G44" i="119"/>
  <c r="I32" i="62" s="1"/>
  <c r="B46" i="54"/>
  <c r="G68" i="128"/>
  <c r="I46" i="62" s="1"/>
  <c r="B40" i="54"/>
  <c r="G44" i="124"/>
  <c r="I40" i="62" s="1"/>
  <c r="G50" i="111" l="1"/>
  <c r="K23" i="62" s="1"/>
  <c r="B27" i="54"/>
  <c r="G44" i="114"/>
  <c r="I27" i="62" s="1"/>
  <c r="M48" i="82"/>
  <c r="C54" i="47" s="1"/>
  <c r="R41" i="82"/>
  <c r="R48" i="82" s="1"/>
  <c r="N41" i="82"/>
  <c r="N48" i="82" s="1"/>
  <c r="J56" i="63" s="1"/>
  <c r="K56" i="48" s="1"/>
  <c r="G37" i="62"/>
  <c r="G50" i="102"/>
  <c r="K12" i="62" s="1"/>
  <c r="G50" i="114"/>
  <c r="K27" i="62" s="1"/>
  <c r="B23" i="54" l="1"/>
  <c r="G44" i="111"/>
  <c r="I23" i="62" s="1"/>
  <c r="I13" i="129"/>
  <c r="E56" i="63"/>
  <c r="O56" i="63" s="1"/>
  <c r="I56" i="48" s="1"/>
  <c r="J56" i="48" s="1"/>
  <c r="M56" i="48" s="1"/>
  <c r="D54" i="47"/>
  <c r="E54" i="47" s="1"/>
  <c r="L56" i="48" l="1"/>
  <c r="O56" i="48"/>
  <c r="B12" i="54" l="1"/>
  <c r="G44" i="102"/>
  <c r="I12" i="62" s="1"/>
  <c r="G36" i="126" l="1"/>
  <c r="F42" i="62" s="1"/>
  <c r="G50" i="126"/>
  <c r="K42" i="62" s="1"/>
  <c r="K43" i="62" s="1"/>
  <c r="B41" i="54"/>
  <c r="G45" i="125"/>
  <c r="I41" i="62" s="1"/>
  <c r="G36" i="119"/>
  <c r="F32" i="62" s="1"/>
  <c r="G38" i="126"/>
  <c r="G42" i="62" s="1"/>
  <c r="G43" i="62" s="1"/>
  <c r="D59" i="57"/>
  <c r="I59" i="57" s="1"/>
  <c r="G32" i="126"/>
  <c r="G36" i="124"/>
  <c r="F40" i="62" s="1"/>
  <c r="D55" i="57"/>
  <c r="I55" i="57" s="1"/>
  <c r="G32" i="124"/>
  <c r="B20" i="54"/>
  <c r="G44" i="108"/>
  <c r="I20" i="62" s="1"/>
  <c r="G36" i="115"/>
  <c r="F28" i="62" s="1"/>
  <c r="G46" i="112" l="1"/>
  <c r="J48" i="62" s="1"/>
  <c r="D33" i="83"/>
  <c r="E33" i="83" s="1"/>
  <c r="G36" i="122"/>
  <c r="F36" i="62" s="1"/>
  <c r="D53" i="57"/>
  <c r="I53" i="57" s="1"/>
  <c r="G32" i="123"/>
  <c r="D42" i="62"/>
  <c r="G70" i="128"/>
  <c r="J46" i="62" s="1"/>
  <c r="B42" i="54"/>
  <c r="G44" i="126"/>
  <c r="I42" i="62" s="1"/>
  <c r="I43" i="62" s="1"/>
  <c r="G37" i="125"/>
  <c r="F41" i="62" s="1"/>
  <c r="D61" i="57"/>
  <c r="I61" i="57" s="1"/>
  <c r="G56" i="128"/>
  <c r="D46" i="62" s="1"/>
  <c r="G36" i="123"/>
  <c r="F39" i="62" s="1"/>
  <c r="D40" i="62"/>
  <c r="D39" i="57"/>
  <c r="I39" i="57" s="1"/>
  <c r="G32" i="115"/>
  <c r="D28" i="62" s="1"/>
  <c r="D51" i="57"/>
  <c r="I51" i="57" s="1"/>
  <c r="D31" i="83"/>
  <c r="G32" i="122"/>
  <c r="D36" i="62" s="1"/>
  <c r="X63" i="32"/>
  <c r="D49" i="57"/>
  <c r="I49" i="57" s="1"/>
  <c r="D31" i="82"/>
  <c r="E31" i="82" s="1"/>
  <c r="F31" i="82" s="1"/>
  <c r="G31" i="82" s="1"/>
  <c r="H31" i="82" s="1"/>
  <c r="I31" i="82" s="1"/>
  <c r="G32" i="121"/>
  <c r="D35" i="62" s="1"/>
  <c r="D63" i="57"/>
  <c r="I63" i="57" s="1"/>
  <c r="G32" i="112"/>
  <c r="D48" i="62" s="1"/>
  <c r="D33" i="82"/>
  <c r="E33" i="82" s="1"/>
  <c r="G36" i="121"/>
  <c r="F35" i="62" s="1"/>
  <c r="F37" i="62" s="1"/>
  <c r="B43" i="54"/>
  <c r="X61" i="32" l="1"/>
  <c r="D37" i="62"/>
  <c r="Y63" i="32"/>
  <c r="Z63" i="32" s="1"/>
  <c r="U63" i="32" s="1"/>
  <c r="G49" i="129"/>
  <c r="G42" i="112"/>
  <c r="H48" i="62" s="1"/>
  <c r="B64" i="85"/>
  <c r="Y61" i="32"/>
  <c r="Z61" i="32" s="1"/>
  <c r="U61" i="32" s="1"/>
  <c r="G47" i="129"/>
  <c r="G66" i="128"/>
  <c r="H46" i="62" s="1"/>
  <c r="B62" i="85"/>
  <c r="D57" i="57"/>
  <c r="I57" i="57" s="1"/>
  <c r="G33" i="125"/>
  <c r="E31" i="83"/>
  <c r="F43" i="62"/>
  <c r="D39" i="62"/>
  <c r="G38" i="106" l="1"/>
  <c r="G18" i="62" s="1"/>
  <c r="G38" i="111"/>
  <c r="G23" i="62" s="1"/>
  <c r="G38" i="114"/>
  <c r="G27" i="62" s="1"/>
  <c r="G38" i="108"/>
  <c r="G20" i="62" s="1"/>
  <c r="G38" i="109"/>
  <c r="G21" i="62" s="1"/>
  <c r="F31" i="83"/>
  <c r="AB63" i="32"/>
  <c r="AC63" i="32" s="1"/>
  <c r="G30" i="112"/>
  <c r="G53" i="112" s="1"/>
  <c r="B48" i="62" s="1"/>
  <c r="H24" i="135" s="1"/>
  <c r="Q30" i="112"/>
  <c r="G38" i="102"/>
  <c r="G12" i="62" s="1"/>
  <c r="D41" i="62"/>
  <c r="D43" i="62" s="1"/>
  <c r="G53" i="128"/>
  <c r="G77" i="128" s="1"/>
  <c r="B46" i="62" s="1"/>
  <c r="H26" i="135" s="1"/>
  <c r="AB61" i="32"/>
  <c r="AC61" i="32" s="1"/>
  <c r="Q53" i="128"/>
  <c r="G36" i="108" l="1"/>
  <c r="F20" i="62" s="1"/>
  <c r="G38" i="105"/>
  <c r="G17" i="62" s="1"/>
  <c r="T53" i="128"/>
  <c r="T77" i="128" s="1"/>
  <c r="T46" i="62" s="1"/>
  <c r="V46" i="62" s="1"/>
  <c r="AE46" i="62"/>
  <c r="G36" i="109"/>
  <c r="F21" i="62" s="1"/>
  <c r="G36" i="107"/>
  <c r="F19" i="62" s="1"/>
  <c r="AE48" i="62"/>
  <c r="T30" i="112"/>
  <c r="T53" i="112" s="1"/>
  <c r="T48" i="62" s="1"/>
  <c r="V48" i="62" s="1"/>
  <c r="G36" i="111"/>
  <c r="F23" i="62" s="1"/>
  <c r="D15" i="131"/>
  <c r="B47" i="129"/>
  <c r="E47" i="129" s="1"/>
  <c r="F47" i="129" s="1"/>
  <c r="L46" i="62"/>
  <c r="D13" i="131"/>
  <c r="L48" i="62"/>
  <c r="B49" i="129"/>
  <c r="E49" i="129" s="1"/>
  <c r="F49" i="129" s="1"/>
  <c r="G36" i="106"/>
  <c r="F18" i="62" s="1"/>
  <c r="G36" i="114"/>
  <c r="F27" i="62" s="1"/>
  <c r="G50" i="113"/>
  <c r="K26" i="62" s="1"/>
  <c r="K33" i="62" s="1"/>
  <c r="B26" i="54"/>
  <c r="B33" i="54" s="1"/>
  <c r="G44" i="113"/>
  <c r="I26" i="62" s="1"/>
  <c r="I33" i="62" s="1"/>
  <c r="G38" i="113"/>
  <c r="G26" i="62" s="1"/>
  <c r="G33" i="62" s="1"/>
  <c r="G31" i="83"/>
  <c r="D15" i="57"/>
  <c r="I15" i="57" s="1"/>
  <c r="G32" i="102"/>
  <c r="D12" i="62" s="1"/>
  <c r="G36" i="102"/>
  <c r="F12" i="62" s="1"/>
  <c r="G50" i="104"/>
  <c r="K16" i="62" s="1"/>
  <c r="G36" i="118"/>
  <c r="F31" i="62" s="1"/>
  <c r="G36" i="117"/>
  <c r="F30" i="62" s="1"/>
  <c r="G50" i="105"/>
  <c r="K17" i="62" s="1"/>
  <c r="G36" i="110" l="1"/>
  <c r="F22" i="62" s="1"/>
  <c r="H78" i="127"/>
  <c r="K45" i="62" s="1"/>
  <c r="D37" i="57"/>
  <c r="I37" i="57" s="1"/>
  <c r="G32" i="114"/>
  <c r="D27" i="62" s="1"/>
  <c r="H31" i="83"/>
  <c r="I31" i="83" s="1"/>
  <c r="G36" i="1"/>
  <c r="F10" i="62" s="1"/>
  <c r="G38" i="104"/>
  <c r="G16" i="62" s="1"/>
  <c r="G50" i="101"/>
  <c r="K11" i="62" s="1"/>
  <c r="D23" i="57"/>
  <c r="I23" i="57" s="1"/>
  <c r="G32" i="107"/>
  <c r="D19" i="62" s="1"/>
  <c r="D29" i="57"/>
  <c r="I29" i="57" s="1"/>
  <c r="G32" i="109"/>
  <c r="D21" i="62" s="1"/>
  <c r="G38" i="101"/>
  <c r="G11" i="62" s="1"/>
  <c r="G38" i="1"/>
  <c r="G10" i="62" s="1"/>
  <c r="B16" i="54"/>
  <c r="G44" i="104"/>
  <c r="I16" i="62" s="1"/>
  <c r="D27" i="57"/>
  <c r="I27" i="57" s="1"/>
  <c r="G32" i="108"/>
  <c r="D20" i="62" s="1"/>
  <c r="D33" i="57"/>
  <c r="I33" i="57" s="1"/>
  <c r="G32" i="111"/>
  <c r="D23" i="62" s="1"/>
  <c r="B10" i="54"/>
  <c r="G44" i="1"/>
  <c r="I10" i="62" s="1"/>
  <c r="D45" i="57"/>
  <c r="I45" i="57" s="1"/>
  <c r="G32" i="118"/>
  <c r="D31" i="62" s="1"/>
  <c r="G36" i="113"/>
  <c r="F26" i="62" s="1"/>
  <c r="D19" i="57"/>
  <c r="I19" i="57" s="1"/>
  <c r="G32" i="106"/>
  <c r="D18" i="62" s="1"/>
  <c r="G50" i="1"/>
  <c r="K10" i="62" s="1"/>
  <c r="G38" i="110"/>
  <c r="G22" i="62" s="1"/>
  <c r="K24" i="62"/>
  <c r="B17" i="54"/>
  <c r="G44" i="105"/>
  <c r="I17" i="62" s="1"/>
  <c r="G36" i="105"/>
  <c r="F17" i="62" s="1"/>
  <c r="D41" i="57"/>
  <c r="I41" i="57" s="1"/>
  <c r="G32" i="119"/>
  <c r="K13" i="62" l="1"/>
  <c r="S66" i="32"/>
  <c r="G13" i="62"/>
  <c r="G36" i="104"/>
  <c r="F16" i="62" s="1"/>
  <c r="F24" i="62" s="1"/>
  <c r="G46" i="102"/>
  <c r="J12" i="62" s="1"/>
  <c r="D32" i="62"/>
  <c r="D17" i="57"/>
  <c r="I17" i="57" s="1"/>
  <c r="H60" i="127"/>
  <c r="D45" i="62" s="1"/>
  <c r="D43" i="57"/>
  <c r="I43" i="57" s="1"/>
  <c r="G32" i="117"/>
  <c r="D30" i="62" s="1"/>
  <c r="I11" i="129"/>
  <c r="D21" i="57"/>
  <c r="I21" i="57" s="1"/>
  <c r="G32" i="105"/>
  <c r="D17" i="62" s="1"/>
  <c r="H64" i="127"/>
  <c r="F45" i="62" s="1"/>
  <c r="D35" i="57"/>
  <c r="I35" i="57" s="1"/>
  <c r="G32" i="113"/>
  <c r="D26" i="62" s="1"/>
  <c r="B11" i="54"/>
  <c r="G44" i="101"/>
  <c r="I11" i="62" s="1"/>
  <c r="I13" i="62" s="1"/>
  <c r="K50" i="62"/>
  <c r="D13" i="57"/>
  <c r="I13" i="57" s="1"/>
  <c r="G32" i="101"/>
  <c r="D11" i="62" s="1"/>
  <c r="I12" i="129"/>
  <c r="I24" i="62"/>
  <c r="B13" i="54"/>
  <c r="B24" i="54"/>
  <c r="G24" i="62"/>
  <c r="D33" i="62" l="1"/>
  <c r="D25" i="57"/>
  <c r="I25" i="57" s="1"/>
  <c r="G32" i="104"/>
  <c r="D16" i="62" s="1"/>
  <c r="H66" i="32"/>
  <c r="D11" i="57"/>
  <c r="B66" i="32"/>
  <c r="G32" i="1"/>
  <c r="D10" i="62" s="1"/>
  <c r="D13" i="62" s="1"/>
  <c r="I14" i="129"/>
  <c r="I51" i="129" s="1"/>
  <c r="H66" i="127"/>
  <c r="G45" i="62" s="1"/>
  <c r="G50" i="62" s="1"/>
  <c r="F66" i="32"/>
  <c r="D31" i="57"/>
  <c r="I31" i="57" s="1"/>
  <c r="G32" i="110"/>
  <c r="D22" i="62" s="1"/>
  <c r="G36" i="101"/>
  <c r="F11" i="62" s="1"/>
  <c r="F13" i="62" s="1"/>
  <c r="D66" i="32"/>
  <c r="G36" i="116"/>
  <c r="F29" i="62" s="1"/>
  <c r="F33" i="62" s="1"/>
  <c r="G42" i="102"/>
  <c r="H12" i="62" s="1"/>
  <c r="B16" i="85"/>
  <c r="X15" i="32"/>
  <c r="D24" i="62" l="1"/>
  <c r="D50" i="62" s="1"/>
  <c r="I11" i="57"/>
  <c r="I65" i="57" s="1"/>
  <c r="D65" i="57"/>
  <c r="D70" i="57" s="1"/>
  <c r="F50" i="62"/>
  <c r="Y15" i="32"/>
  <c r="Z15" i="32" s="1"/>
  <c r="U15" i="32" s="1"/>
  <c r="G13" i="129"/>
  <c r="B45" i="54" l="1"/>
  <c r="B50" i="54" s="1"/>
  <c r="C50" i="54" s="1"/>
  <c r="H72" i="127"/>
  <c r="I45" i="62" s="1"/>
  <c r="I50" i="62" s="1"/>
  <c r="L66" i="32"/>
  <c r="G46" i="101"/>
  <c r="J11" i="62" s="1"/>
  <c r="AB15" i="32"/>
  <c r="AC15" i="32" s="1"/>
  <c r="G30" i="102"/>
  <c r="G53" i="102" s="1"/>
  <c r="B12" i="62" s="1"/>
  <c r="H8" i="135" s="1"/>
  <c r="Q30" i="102"/>
  <c r="C10" i="54" l="1"/>
  <c r="C11" i="54"/>
  <c r="D11" i="54" s="1"/>
  <c r="C18" i="54"/>
  <c r="C17" i="54"/>
  <c r="D17" i="54" s="1"/>
  <c r="C32" i="54"/>
  <c r="C21" i="54"/>
  <c r="D21" i="54" s="1"/>
  <c r="C42" i="54"/>
  <c r="C16" i="54"/>
  <c r="C30" i="54"/>
  <c r="C48" i="54"/>
  <c r="C19" i="54"/>
  <c r="D19" i="54" s="1"/>
  <c r="C40" i="54"/>
  <c r="C23" i="54"/>
  <c r="D23" i="54" s="1"/>
  <c r="C45" i="54"/>
  <c r="D45" i="54" s="1"/>
  <c r="C31" i="54"/>
  <c r="D31" i="54" s="1"/>
  <c r="C36" i="54"/>
  <c r="C22" i="54"/>
  <c r="C12" i="54"/>
  <c r="C26" i="54"/>
  <c r="C41" i="54"/>
  <c r="D41" i="54" s="1"/>
  <c r="C29" i="54"/>
  <c r="D29" i="54" s="1"/>
  <c r="C20" i="54"/>
  <c r="C35" i="54"/>
  <c r="C39" i="54"/>
  <c r="C28" i="54"/>
  <c r="C27" i="54"/>
  <c r="D27" i="54" s="1"/>
  <c r="C46" i="54"/>
  <c r="B50" i="69"/>
  <c r="D50" i="69" s="1"/>
  <c r="E50" i="69" s="1"/>
  <c r="G46" i="106"/>
  <c r="J18" i="62" s="1"/>
  <c r="B14" i="85"/>
  <c r="G42" i="101"/>
  <c r="H11" i="62" s="1"/>
  <c r="X13" i="32"/>
  <c r="G46" i="114"/>
  <c r="J27" i="62" s="1"/>
  <c r="G46" i="1"/>
  <c r="J10" i="62" s="1"/>
  <c r="J13" i="62" s="1"/>
  <c r="AE12" i="62"/>
  <c r="T30" i="102"/>
  <c r="T53" i="102" s="1"/>
  <c r="T12" i="62" s="1"/>
  <c r="B12" i="85"/>
  <c r="G42" i="1"/>
  <c r="H10" i="62" s="1"/>
  <c r="X11" i="32"/>
  <c r="B13" i="129"/>
  <c r="E13" i="129" s="1"/>
  <c r="F13" i="129" s="1"/>
  <c r="L12" i="62"/>
  <c r="H13" i="62" l="1"/>
  <c r="D20" i="54"/>
  <c r="B20" i="69"/>
  <c r="D32" i="54"/>
  <c r="B32" i="69"/>
  <c r="D32" i="69" s="1"/>
  <c r="E32" i="69" s="1"/>
  <c r="G46" i="110"/>
  <c r="J22" i="62" s="1"/>
  <c r="G46" i="115"/>
  <c r="J28" i="62" s="1"/>
  <c r="D40" i="54"/>
  <c r="B40" i="69"/>
  <c r="D40" i="69" s="1"/>
  <c r="E40" i="69" s="1"/>
  <c r="G46" i="105"/>
  <c r="J17" i="62" s="1"/>
  <c r="G46" i="118"/>
  <c r="J31" i="62" s="1"/>
  <c r="G46" i="113"/>
  <c r="J26" i="62" s="1"/>
  <c r="G46" i="104"/>
  <c r="J16" i="62" s="1"/>
  <c r="D46" i="54"/>
  <c r="B46" i="69"/>
  <c r="D46" i="69" s="1"/>
  <c r="E46" i="69" s="1"/>
  <c r="C33" i="54"/>
  <c r="D33" i="54" s="1"/>
  <c r="D26" i="54"/>
  <c r="B26" i="69"/>
  <c r="D26" i="69" s="1"/>
  <c r="E26" i="69" s="1"/>
  <c r="D18" i="54"/>
  <c r="B18" i="69"/>
  <c r="D18" i="69" s="1"/>
  <c r="E18" i="69" s="1"/>
  <c r="D12" i="54"/>
  <c r="B12" i="69"/>
  <c r="D12" i="69" s="1"/>
  <c r="E12" i="69" s="1"/>
  <c r="D48" i="54"/>
  <c r="B48" i="69"/>
  <c r="D48" i="69" s="1"/>
  <c r="E48" i="69" s="1"/>
  <c r="G46" i="124"/>
  <c r="J40" i="62" s="1"/>
  <c r="G46" i="126"/>
  <c r="J42" i="62" s="1"/>
  <c r="G46" i="109"/>
  <c r="J21" i="62" s="1"/>
  <c r="G11" i="129"/>
  <c r="Y11" i="32"/>
  <c r="Z11" i="32" s="1"/>
  <c r="Y13" i="32"/>
  <c r="Z13" i="32" s="1"/>
  <c r="U13" i="32" s="1"/>
  <c r="G12" i="129"/>
  <c r="D28" i="54"/>
  <c r="B28" i="69"/>
  <c r="D28" i="69" s="1"/>
  <c r="E28" i="69" s="1"/>
  <c r="D22" i="54"/>
  <c r="B22" i="69"/>
  <c r="D22" i="69" s="1"/>
  <c r="E22" i="69" s="1"/>
  <c r="D30" i="54"/>
  <c r="B30" i="69"/>
  <c r="D30" i="69" s="1"/>
  <c r="E30" i="69" s="1"/>
  <c r="D10" i="54"/>
  <c r="C13" i="54"/>
  <c r="D13" i="54" s="1"/>
  <c r="B10" i="69"/>
  <c r="G46" i="108"/>
  <c r="J20" i="62" s="1"/>
  <c r="G46" i="116"/>
  <c r="J29" i="62" s="1"/>
  <c r="G46" i="119"/>
  <c r="J32" i="62" s="1"/>
  <c r="D39" i="54"/>
  <c r="C43" i="54"/>
  <c r="D43" i="54" s="1"/>
  <c r="D36" i="54"/>
  <c r="B36" i="69"/>
  <c r="D36" i="69" s="1"/>
  <c r="E36" i="69" s="1"/>
  <c r="C24" i="54"/>
  <c r="D16" i="54"/>
  <c r="B16" i="69"/>
  <c r="D16" i="69" s="1"/>
  <c r="E16" i="69" s="1"/>
  <c r="B46" i="85"/>
  <c r="G42" i="115"/>
  <c r="H28" i="62" s="1"/>
  <c r="G46" i="117"/>
  <c r="J30" i="62" s="1"/>
  <c r="G46" i="111"/>
  <c r="J23" i="62" s="1"/>
  <c r="G47" i="125"/>
  <c r="J41" i="62" s="1"/>
  <c r="G46" i="123"/>
  <c r="J39" i="62" s="1"/>
  <c r="G46" i="107"/>
  <c r="J19" i="62" s="1"/>
  <c r="D35" i="54"/>
  <c r="C37" i="54"/>
  <c r="D37" i="54" s="1"/>
  <c r="D42" i="54"/>
  <c r="B42" i="69"/>
  <c r="D42" i="69" s="1"/>
  <c r="E42" i="69" s="1"/>
  <c r="J43" i="62" l="1"/>
  <c r="X39" i="32"/>
  <c r="Y39" i="32" s="1"/>
  <c r="Z39" i="32" s="1"/>
  <c r="U39" i="32" s="1"/>
  <c r="G29" i="129"/>
  <c r="G42" i="110"/>
  <c r="H22" i="62" s="1"/>
  <c r="B26" i="85"/>
  <c r="X31" i="32"/>
  <c r="G42" i="106"/>
  <c r="H18" i="62" s="1"/>
  <c r="B30" i="85"/>
  <c r="X19" i="32"/>
  <c r="G42" i="126"/>
  <c r="B58" i="85"/>
  <c r="X59" i="32"/>
  <c r="C52" i="54"/>
  <c r="B52" i="69" s="1"/>
  <c r="D52" i="69" s="1"/>
  <c r="E52" i="69" s="1"/>
  <c r="J24" i="62"/>
  <c r="U11" i="32"/>
  <c r="D43" i="82"/>
  <c r="E43" i="82" s="1"/>
  <c r="F43" i="82" s="1"/>
  <c r="G43" i="82" s="1"/>
  <c r="H43" i="82" s="1"/>
  <c r="G46" i="121"/>
  <c r="J35" i="62" s="1"/>
  <c r="G42" i="123"/>
  <c r="B60" i="85"/>
  <c r="X53" i="32"/>
  <c r="D43" i="83"/>
  <c r="E43" i="83" s="1"/>
  <c r="F43" i="83" s="1"/>
  <c r="G43" i="83" s="1"/>
  <c r="H43" i="83" s="1"/>
  <c r="G46" i="122"/>
  <c r="J36" i="62" s="1"/>
  <c r="G14" i="129"/>
  <c r="J33" i="62"/>
  <c r="B34" i="85"/>
  <c r="G42" i="111"/>
  <c r="H23" i="62" s="1"/>
  <c r="X33" i="32"/>
  <c r="G30" i="101"/>
  <c r="G53" i="101" s="1"/>
  <c r="B11" i="62" s="1"/>
  <c r="H7" i="135" s="1"/>
  <c r="AB13" i="32"/>
  <c r="AC13" i="32" s="1"/>
  <c r="Q30" i="101"/>
  <c r="G42" i="124"/>
  <c r="B54" i="85"/>
  <c r="X55" i="32"/>
  <c r="B32" i="85"/>
  <c r="G42" i="109"/>
  <c r="H21" i="62" s="1"/>
  <c r="X29" i="32"/>
  <c r="D35" i="83"/>
  <c r="B52" i="85"/>
  <c r="G42" i="122"/>
  <c r="H36" i="62" s="1"/>
  <c r="X51" i="32"/>
  <c r="D24" i="54"/>
  <c r="D52" i="54" s="1"/>
  <c r="B24" i="69"/>
  <c r="D24" i="69" s="1"/>
  <c r="E24" i="69" s="1"/>
  <c r="B24" i="85"/>
  <c r="G42" i="107"/>
  <c r="H19" i="62" s="1"/>
  <c r="X23" i="32"/>
  <c r="G42" i="113"/>
  <c r="H26" i="62" s="1"/>
  <c r="B36" i="85"/>
  <c r="X35" i="32"/>
  <c r="D35" i="82"/>
  <c r="E35" i="82" s="1"/>
  <c r="F35" i="82" s="1"/>
  <c r="G35" i="82" s="1"/>
  <c r="B50" i="85"/>
  <c r="G42" i="121"/>
  <c r="H35" i="62" s="1"/>
  <c r="X49" i="32"/>
  <c r="G42" i="118"/>
  <c r="H31" i="62" s="1"/>
  <c r="B40" i="85"/>
  <c r="X45" i="32"/>
  <c r="G42" i="114"/>
  <c r="H27" i="62" s="1"/>
  <c r="B44" i="85"/>
  <c r="X37" i="32"/>
  <c r="G42" i="116"/>
  <c r="H29" i="62" s="1"/>
  <c r="B48" i="85"/>
  <c r="X41" i="32"/>
  <c r="B42" i="85"/>
  <c r="G42" i="119"/>
  <c r="X47" i="32"/>
  <c r="G33" i="129" s="1"/>
  <c r="G42" i="105"/>
  <c r="H17" i="62" s="1"/>
  <c r="B20" i="85"/>
  <c r="X21" i="32"/>
  <c r="B28" i="85"/>
  <c r="G42" i="108"/>
  <c r="H20" i="62" s="1"/>
  <c r="X27" i="32"/>
  <c r="B22" i="85"/>
  <c r="G42" i="104"/>
  <c r="H16" i="62" s="1"/>
  <c r="X25" i="32"/>
  <c r="G43" i="125"/>
  <c r="B56" i="85"/>
  <c r="X57" i="32"/>
  <c r="B38" i="85"/>
  <c r="G42" i="117"/>
  <c r="H30" i="62" s="1"/>
  <c r="X43" i="32"/>
  <c r="H37" i="62" l="1"/>
  <c r="H32" i="62"/>
  <c r="H33" i="62" s="1"/>
  <c r="G53" i="119"/>
  <c r="B32" i="62" s="1"/>
  <c r="Y25" i="32"/>
  <c r="Z25" i="32" s="1"/>
  <c r="U25" i="32" s="1"/>
  <c r="G17" i="129"/>
  <c r="Y37" i="32"/>
  <c r="Z37" i="32" s="1"/>
  <c r="U37" i="32" s="1"/>
  <c r="G28" i="129"/>
  <c r="Y23" i="32"/>
  <c r="Z23" i="32" s="1"/>
  <c r="U23" i="32" s="1"/>
  <c r="G20" i="129"/>
  <c r="AE11" i="62"/>
  <c r="T30" i="101"/>
  <c r="T53" i="101" s="1"/>
  <c r="T11" i="62" s="1"/>
  <c r="H42" i="62"/>
  <c r="G53" i="126"/>
  <c r="B42" i="62" s="1"/>
  <c r="H24" i="62"/>
  <c r="Y27" i="32"/>
  <c r="Z27" i="32" s="1"/>
  <c r="U27" i="32" s="1"/>
  <c r="G21" i="129"/>
  <c r="Y49" i="32"/>
  <c r="Z49" i="32" s="1"/>
  <c r="U49" i="32" s="1"/>
  <c r="G36" i="129"/>
  <c r="AB11" i="32"/>
  <c r="G30" i="1"/>
  <c r="G53" i="1" s="1"/>
  <c r="V15" i="32"/>
  <c r="Q30" i="1"/>
  <c r="Y29" i="32"/>
  <c r="Z29" i="32" s="1"/>
  <c r="U29" i="32" s="1"/>
  <c r="G22" i="129"/>
  <c r="L11" i="62"/>
  <c r="B12" i="129"/>
  <c r="E12" i="129" s="1"/>
  <c r="F12" i="129" s="1"/>
  <c r="B70" i="69"/>
  <c r="Y51" i="32"/>
  <c r="Z51" i="32" s="1"/>
  <c r="U51" i="32" s="1"/>
  <c r="G37" i="129"/>
  <c r="Y33" i="32"/>
  <c r="Z33" i="32" s="1"/>
  <c r="U33" i="32" s="1"/>
  <c r="G24" i="129"/>
  <c r="Z53" i="32"/>
  <c r="U53" i="32" s="1"/>
  <c r="G40" i="129"/>
  <c r="Y31" i="32"/>
  <c r="Z31" i="32" s="1"/>
  <c r="U31" i="32" s="1"/>
  <c r="G23" i="129"/>
  <c r="Y41" i="32"/>
  <c r="Z41" i="32" s="1"/>
  <c r="U41" i="32" s="1"/>
  <c r="G30" i="129"/>
  <c r="Y45" i="32"/>
  <c r="Z45" i="32" s="1"/>
  <c r="U45" i="32" s="1"/>
  <c r="G32" i="129"/>
  <c r="Z57" i="32"/>
  <c r="U57" i="32" s="1"/>
  <c r="G42" i="129"/>
  <c r="Y35" i="32"/>
  <c r="Z35" i="32" s="1"/>
  <c r="U35" i="32" s="1"/>
  <c r="G27" i="129"/>
  <c r="Z55" i="32"/>
  <c r="U55" i="32" s="1"/>
  <c r="G41" i="129"/>
  <c r="H39" i="62"/>
  <c r="G53" i="123"/>
  <c r="B39" i="62" s="1"/>
  <c r="H74" i="127"/>
  <c r="J45" i="62" s="1"/>
  <c r="N66" i="32"/>
  <c r="Y19" i="32"/>
  <c r="Z19" i="32" s="1"/>
  <c r="U19" i="32" s="1"/>
  <c r="G19" i="129"/>
  <c r="Y21" i="32"/>
  <c r="Z21" i="32" s="1"/>
  <c r="U21" i="32" s="1"/>
  <c r="G18" i="129"/>
  <c r="E35" i="83"/>
  <c r="D48" i="83"/>
  <c r="C56" i="24" s="1"/>
  <c r="J37" i="62"/>
  <c r="Z59" i="32"/>
  <c r="U59" i="32" s="1"/>
  <c r="G43" i="129"/>
  <c r="Y43" i="32"/>
  <c r="Z43" i="32" s="1"/>
  <c r="U43" i="32" s="1"/>
  <c r="G31" i="129"/>
  <c r="H41" i="62"/>
  <c r="G54" i="125"/>
  <c r="B41" i="62" s="1"/>
  <c r="H40" i="62"/>
  <c r="G53" i="124"/>
  <c r="B40" i="62" s="1"/>
  <c r="H70" i="127"/>
  <c r="H45" i="62" s="1"/>
  <c r="B18" i="85"/>
  <c r="B66" i="85" s="1"/>
  <c r="X17" i="32"/>
  <c r="J66" i="32"/>
  <c r="AB39" i="32"/>
  <c r="AC39" i="32" s="1"/>
  <c r="G30" i="115"/>
  <c r="G53" i="115" s="1"/>
  <c r="B28" i="62" s="1"/>
  <c r="Q30" i="115"/>
  <c r="G38" i="129" l="1"/>
  <c r="J50" i="62"/>
  <c r="AE28" i="62"/>
  <c r="T30" i="115"/>
  <c r="T53" i="115" s="1"/>
  <c r="T28" i="62" s="1"/>
  <c r="G46" i="129"/>
  <c r="Y17" i="32"/>
  <c r="Z17" i="32" s="1"/>
  <c r="X66" i="32"/>
  <c r="C54" i="85"/>
  <c r="C36" i="85"/>
  <c r="V29" i="32"/>
  <c r="G30" i="106"/>
  <c r="G53" i="106" s="1"/>
  <c r="B18" i="62" s="1"/>
  <c r="H16" i="135" s="1"/>
  <c r="AB19" i="32"/>
  <c r="AC19" i="32" s="1"/>
  <c r="Q30" i="106"/>
  <c r="C40" i="85"/>
  <c r="C32" i="85"/>
  <c r="AB31" i="32"/>
  <c r="AC31" i="32" s="1"/>
  <c r="G30" i="110"/>
  <c r="G53" i="110" s="1"/>
  <c r="B22" i="62" s="1"/>
  <c r="Q30" i="110"/>
  <c r="AB23" i="32"/>
  <c r="AC23" i="32" s="1"/>
  <c r="G30" i="107"/>
  <c r="G53" i="107" s="1"/>
  <c r="B19" i="62" s="1"/>
  <c r="H13" i="135" s="1"/>
  <c r="Q30" i="107"/>
  <c r="B29" i="129"/>
  <c r="E29" i="129" s="1"/>
  <c r="F29" i="129" s="1"/>
  <c r="L28" i="62"/>
  <c r="C18" i="85"/>
  <c r="E66" i="85"/>
  <c r="F12" i="85" s="1"/>
  <c r="C64" i="85"/>
  <c r="C62" i="85"/>
  <c r="C16" i="85"/>
  <c r="C12" i="85"/>
  <c r="C14" i="85"/>
  <c r="C46" i="85"/>
  <c r="AB33" i="32"/>
  <c r="AC33" i="32" s="1"/>
  <c r="G30" i="111"/>
  <c r="G53" i="111" s="1"/>
  <c r="B23" i="62" s="1"/>
  <c r="Q30" i="111"/>
  <c r="C42" i="85"/>
  <c r="B10" i="62"/>
  <c r="H6" i="135" s="1"/>
  <c r="C10" i="24"/>
  <c r="AB21" i="32"/>
  <c r="AC21" i="32" s="1"/>
  <c r="G30" i="105"/>
  <c r="G53" i="105" s="1"/>
  <c r="B17" i="62" s="1"/>
  <c r="H15" i="135" s="1"/>
  <c r="Q30" i="105"/>
  <c r="C52" i="85"/>
  <c r="C48" i="85"/>
  <c r="AB45" i="32"/>
  <c r="AC45" i="32" s="1"/>
  <c r="G30" i="118"/>
  <c r="G53" i="118" s="1"/>
  <c r="B31" i="62" s="1"/>
  <c r="Q30" i="118"/>
  <c r="AC11" i="32"/>
  <c r="G30" i="108"/>
  <c r="G53" i="108" s="1"/>
  <c r="B20" i="62" s="1"/>
  <c r="H14" i="135" s="1"/>
  <c r="AB27" i="32"/>
  <c r="AC27" i="32" s="1"/>
  <c r="Q30" i="108"/>
  <c r="G25" i="129"/>
  <c r="B41" i="129"/>
  <c r="E41" i="129" s="1"/>
  <c r="F41" i="129" s="1"/>
  <c r="L40" i="62"/>
  <c r="C20" i="85"/>
  <c r="C38" i="85"/>
  <c r="D56" i="24"/>
  <c r="E56" i="24" s="1"/>
  <c r="B56" i="61"/>
  <c r="L39" i="62"/>
  <c r="B40" i="129"/>
  <c r="E40" i="129" s="1"/>
  <c r="B43" i="62"/>
  <c r="H22" i="135" s="1"/>
  <c r="AB51" i="32"/>
  <c r="AC51" i="32" s="1"/>
  <c r="G30" i="122"/>
  <c r="G53" i="122" s="1"/>
  <c r="B36" i="62" s="1"/>
  <c r="Q30" i="122"/>
  <c r="G30" i="104"/>
  <c r="G53" i="104" s="1"/>
  <c r="B16" i="62" s="1"/>
  <c r="H12" i="135" s="1"/>
  <c r="AB25" i="32"/>
  <c r="AC25" i="32" s="1"/>
  <c r="Q30" i="104"/>
  <c r="F35" i="83"/>
  <c r="E48" i="83"/>
  <c r="D56" i="61" s="1"/>
  <c r="B56" i="53" s="1"/>
  <c r="C56" i="85"/>
  <c r="H43" i="62"/>
  <c r="H50" i="62" s="1"/>
  <c r="V41" i="32"/>
  <c r="AB41" i="32"/>
  <c r="AC41" i="32" s="1"/>
  <c r="G30" i="116"/>
  <c r="G53" i="116" s="1"/>
  <c r="B29" i="62" s="1"/>
  <c r="Q30" i="116"/>
  <c r="G44" i="129"/>
  <c r="AB29" i="32"/>
  <c r="AC29" i="32" s="1"/>
  <c r="G30" i="109"/>
  <c r="G53" i="109" s="1"/>
  <c r="B21" i="62" s="1"/>
  <c r="H17" i="135" s="1"/>
  <c r="Q30" i="109"/>
  <c r="G30" i="121"/>
  <c r="G53" i="121" s="1"/>
  <c r="B35" i="62" s="1"/>
  <c r="AB49" i="32"/>
  <c r="AC49" i="32" s="1"/>
  <c r="Q30" i="121"/>
  <c r="G30" i="117"/>
  <c r="G53" i="117" s="1"/>
  <c r="B30" i="62" s="1"/>
  <c r="AB43" i="32"/>
  <c r="AC43" i="32" s="1"/>
  <c r="Q30" i="117"/>
  <c r="G34" i="129"/>
  <c r="C28" i="85"/>
  <c r="C24" i="85"/>
  <c r="AB37" i="32"/>
  <c r="AC37" i="32" s="1"/>
  <c r="G30" i="114"/>
  <c r="G53" i="114" s="1"/>
  <c r="B27" i="62" s="1"/>
  <c r="H19" i="135" s="1"/>
  <c r="Q30" i="114"/>
  <c r="C58" i="85"/>
  <c r="B42" i="129"/>
  <c r="E42" i="129" s="1"/>
  <c r="F42" i="129" s="1"/>
  <c r="L41" i="62"/>
  <c r="C34" i="85"/>
  <c r="G30" i="113"/>
  <c r="G53" i="113" s="1"/>
  <c r="B26" i="62" s="1"/>
  <c r="V35" i="32"/>
  <c r="AB35" i="32"/>
  <c r="AC35" i="32" s="1"/>
  <c r="Q30" i="113"/>
  <c r="C26" i="85"/>
  <c r="C60" i="85"/>
  <c r="C44" i="85"/>
  <c r="L42" i="62"/>
  <c r="B43" i="129"/>
  <c r="E43" i="129" s="1"/>
  <c r="F43" i="129" s="1"/>
  <c r="B33" i="129"/>
  <c r="E33" i="129" s="1"/>
  <c r="F33" i="129" s="1"/>
  <c r="L32" i="62"/>
  <c r="C30" i="85"/>
  <c r="C50" i="85"/>
  <c r="C22" i="85"/>
  <c r="AE10" i="62"/>
  <c r="AE13" i="62" s="1"/>
  <c r="T30" i="1"/>
  <c r="T53" i="1" s="1"/>
  <c r="T10" i="62" s="1"/>
  <c r="H20" i="135" l="1"/>
  <c r="F26" i="85"/>
  <c r="F56" i="85"/>
  <c r="L43" i="125" s="1"/>
  <c r="F32" i="85"/>
  <c r="L42" i="109" s="1"/>
  <c r="M21" i="62" s="1"/>
  <c r="F34" i="85"/>
  <c r="L42" i="111" s="1"/>
  <c r="F24" i="85"/>
  <c r="F16" i="85"/>
  <c r="F48" i="85"/>
  <c r="F36" i="85"/>
  <c r="L42" i="113" s="1"/>
  <c r="F44" i="85"/>
  <c r="L42" i="114" s="1"/>
  <c r="F52" i="85"/>
  <c r="L42" i="122" s="1"/>
  <c r="F62" i="85"/>
  <c r="L66" i="128" s="1"/>
  <c r="F40" i="85"/>
  <c r="L42" i="118" s="1"/>
  <c r="F54" i="85"/>
  <c r="F50" i="85"/>
  <c r="L42" i="121" s="1"/>
  <c r="F30" i="85"/>
  <c r="L42" i="106" s="1"/>
  <c r="F46" i="85"/>
  <c r="L42" i="115" s="1"/>
  <c r="F22" i="85"/>
  <c r="G28" i="58" s="1"/>
  <c r="F58" i="85"/>
  <c r="F28" i="85"/>
  <c r="L42" i="108" s="1"/>
  <c r="F64" i="85"/>
  <c r="F60" i="85"/>
  <c r="AE21" i="62"/>
  <c r="T30" i="109"/>
  <c r="T53" i="109" s="1"/>
  <c r="T21" i="62" s="1"/>
  <c r="L43" i="62"/>
  <c r="L31" i="62"/>
  <c r="B32" i="129"/>
  <c r="E32" i="129" s="1"/>
  <c r="F32" i="129" s="1"/>
  <c r="L17" i="62"/>
  <c r="B18" i="129"/>
  <c r="E18" i="129" s="1"/>
  <c r="F18" i="129" s="1"/>
  <c r="F18" i="85"/>
  <c r="F38" i="85"/>
  <c r="F20" i="85"/>
  <c r="L22" i="62"/>
  <c r="B23" i="129"/>
  <c r="E23" i="129" s="1"/>
  <c r="F23" i="129" s="1"/>
  <c r="L42" i="124"/>
  <c r="AE30" i="62"/>
  <c r="T30" i="117"/>
  <c r="T53" i="117" s="1"/>
  <c r="T30" i="62" s="1"/>
  <c r="L21" i="62"/>
  <c r="B22" i="129"/>
  <c r="E22" i="129" s="1"/>
  <c r="F22" i="129" s="1"/>
  <c r="G35" i="83"/>
  <c r="G48" i="83" s="1"/>
  <c r="F48" i="83"/>
  <c r="C56" i="53" s="1"/>
  <c r="D56" i="53" s="1"/>
  <c r="E56" i="53" s="1"/>
  <c r="H35" i="82"/>
  <c r="I35" i="82" s="1"/>
  <c r="J35" i="82" s="1"/>
  <c r="K35" i="82" s="1"/>
  <c r="M35" i="82" s="1"/>
  <c r="C66" i="85"/>
  <c r="L26" i="62"/>
  <c r="B27" i="129"/>
  <c r="E27" i="129" s="1"/>
  <c r="B33" i="62"/>
  <c r="E56" i="61"/>
  <c r="F56" i="61" s="1"/>
  <c r="AE20" i="62"/>
  <c r="T30" i="108"/>
  <c r="T53" i="108" s="1"/>
  <c r="T20" i="62" s="1"/>
  <c r="L42" i="102"/>
  <c r="L42" i="104"/>
  <c r="L30" i="62"/>
  <c r="B31" i="129"/>
  <c r="E31" i="129" s="1"/>
  <c r="F31" i="129" s="1"/>
  <c r="U17" i="32"/>
  <c r="Z66" i="32"/>
  <c r="L53" i="109"/>
  <c r="L42" i="126"/>
  <c r="H35" i="83"/>
  <c r="AE35" i="62"/>
  <c r="T30" i="121"/>
  <c r="T53" i="121" s="1"/>
  <c r="T35" i="62" s="1"/>
  <c r="T30" i="104"/>
  <c r="T53" i="104" s="1"/>
  <c r="T16" i="62" s="1"/>
  <c r="AE16" i="62"/>
  <c r="L20" i="62"/>
  <c r="B21" i="129"/>
  <c r="E21" i="129" s="1"/>
  <c r="F21" i="129" s="1"/>
  <c r="AE23" i="62"/>
  <c r="T30" i="111"/>
  <c r="T53" i="111" s="1"/>
  <c r="T23" i="62" s="1"/>
  <c r="AE18" i="62"/>
  <c r="T30" i="106"/>
  <c r="T53" i="106" s="1"/>
  <c r="T18" i="62" s="1"/>
  <c r="G51" i="129"/>
  <c r="T13" i="62"/>
  <c r="V13" i="62" s="1"/>
  <c r="L42" i="123"/>
  <c r="L23" i="62"/>
  <c r="B24" i="129"/>
  <c r="E24" i="129" s="1"/>
  <c r="F24" i="129" s="1"/>
  <c r="AE27" i="62"/>
  <c r="T30" i="114"/>
  <c r="T53" i="114" s="1"/>
  <c r="T27" i="62" s="1"/>
  <c r="L42" i="110"/>
  <c r="B36" i="129"/>
  <c r="E36" i="129" s="1"/>
  <c r="F36" i="129" s="1"/>
  <c r="L35" i="62"/>
  <c r="B37" i="62"/>
  <c r="AE29" i="62"/>
  <c r="T30" i="116"/>
  <c r="T53" i="116" s="1"/>
  <c r="T29" i="62" s="1"/>
  <c r="B17" i="129"/>
  <c r="E17" i="129" s="1"/>
  <c r="B24" i="62"/>
  <c r="L16" i="62"/>
  <c r="T30" i="122"/>
  <c r="T53" i="122" s="1"/>
  <c r="T36" i="62" s="1"/>
  <c r="AE36" i="62"/>
  <c r="B44" i="129"/>
  <c r="D12" i="131"/>
  <c r="B10" i="61"/>
  <c r="C70" i="24"/>
  <c r="D70" i="24" s="1"/>
  <c r="E70" i="24" s="1"/>
  <c r="D10" i="24"/>
  <c r="E10" i="24" s="1"/>
  <c r="L42" i="1"/>
  <c r="L42" i="112"/>
  <c r="AE19" i="62"/>
  <c r="T30" i="107"/>
  <c r="T53" i="107" s="1"/>
  <c r="T19" i="62" s="1"/>
  <c r="B19" i="129"/>
  <c r="E19" i="129" s="1"/>
  <c r="F19" i="129" s="1"/>
  <c r="L18" i="62"/>
  <c r="AE26" i="62"/>
  <c r="T30" i="113"/>
  <c r="T53" i="113" s="1"/>
  <c r="T26" i="62" s="1"/>
  <c r="L27" i="62"/>
  <c r="B28" i="129"/>
  <c r="E28" i="129" s="1"/>
  <c r="F28" i="129" s="1"/>
  <c r="L42" i="107"/>
  <c r="B30" i="129"/>
  <c r="E30" i="129" s="1"/>
  <c r="F30" i="129" s="1"/>
  <c r="L29" i="62"/>
  <c r="L36" i="62"/>
  <c r="B37" i="129"/>
  <c r="E37" i="129" s="1"/>
  <c r="F40" i="129"/>
  <c r="E44" i="129"/>
  <c r="T30" i="118"/>
  <c r="T53" i="118" s="1"/>
  <c r="T31" i="62" s="1"/>
  <c r="AE31" i="62"/>
  <c r="AE17" i="62"/>
  <c r="T30" i="105"/>
  <c r="T53" i="105" s="1"/>
  <c r="T17" i="62" s="1"/>
  <c r="L10" i="62"/>
  <c r="L13" i="62" s="1"/>
  <c r="B11" i="129"/>
  <c r="E11" i="129" s="1"/>
  <c r="B13" i="62"/>
  <c r="L42" i="116"/>
  <c r="F14" i="85"/>
  <c r="B20" i="129"/>
  <c r="E20" i="129" s="1"/>
  <c r="F20" i="129" s="1"/>
  <c r="L19" i="62"/>
  <c r="T30" i="110"/>
  <c r="T53" i="110" s="1"/>
  <c r="T22" i="62" s="1"/>
  <c r="AE22" i="62"/>
  <c r="F42" i="85"/>
  <c r="R21" i="62" l="1"/>
  <c r="Q42" i="109"/>
  <c r="Q53" i="109" s="1"/>
  <c r="H18" i="135"/>
  <c r="B38" i="129"/>
  <c r="F66" i="85"/>
  <c r="G32" i="85" s="1"/>
  <c r="S21" i="62"/>
  <c r="G60" i="85"/>
  <c r="G44" i="85"/>
  <c r="G12" i="85"/>
  <c r="M39" i="62"/>
  <c r="L53" i="123"/>
  <c r="Q42" i="123"/>
  <c r="Q53" i="123" s="1"/>
  <c r="T24" i="62"/>
  <c r="V24" i="62" s="1"/>
  <c r="X24" i="62" s="1"/>
  <c r="K28" i="58"/>
  <c r="G40" i="58"/>
  <c r="C20" i="69" s="1"/>
  <c r="Q42" i="124"/>
  <c r="Q53" i="124" s="1"/>
  <c r="L53" i="124"/>
  <c r="M40" i="62"/>
  <c r="R40" i="62" s="1"/>
  <c r="S40" i="62" s="1"/>
  <c r="B25" i="129"/>
  <c r="D10" i="131"/>
  <c r="L53" i="114"/>
  <c r="Q42" i="114"/>
  <c r="Q53" i="114" s="1"/>
  <c r="M27" i="62"/>
  <c r="R27" i="62" s="1"/>
  <c r="S27" i="62" s="1"/>
  <c r="L53" i="122"/>
  <c r="Q42" i="122"/>
  <c r="Q53" i="122" s="1"/>
  <c r="M36" i="62"/>
  <c r="R36" i="62" s="1"/>
  <c r="S36" i="62" s="1"/>
  <c r="L53" i="111"/>
  <c r="Q42" i="111"/>
  <c r="Q53" i="111" s="1"/>
  <c r="M23" i="62"/>
  <c r="R23" i="62" s="1"/>
  <c r="S23" i="62" s="1"/>
  <c r="L42" i="119"/>
  <c r="G42" i="85"/>
  <c r="Q42" i="1"/>
  <c r="Q53" i="1" s="1"/>
  <c r="L4" i="71" s="1"/>
  <c r="M4" i="71" s="1"/>
  <c r="D32" i="71" s="1"/>
  <c r="L53" i="1"/>
  <c r="C10" i="69" s="1"/>
  <c r="M10" i="62"/>
  <c r="F17" i="129"/>
  <c r="E25" i="129"/>
  <c r="Q42" i="110"/>
  <c r="Q53" i="110" s="1"/>
  <c r="M22" i="62"/>
  <c r="R22" i="62" s="1"/>
  <c r="S22" i="62" s="1"/>
  <c r="L53" i="110"/>
  <c r="Q66" i="128"/>
  <c r="Q77" i="128" s="1"/>
  <c r="M46" i="62"/>
  <c r="R46" i="62" s="1"/>
  <c r="S46" i="62" s="1"/>
  <c r="L77" i="128"/>
  <c r="L53" i="108"/>
  <c r="Q42" i="108"/>
  <c r="Q53" i="108" s="1"/>
  <c r="M20" i="62"/>
  <c r="R20" i="62" s="1"/>
  <c r="S20" i="62" s="1"/>
  <c r="D11" i="131"/>
  <c r="B34" i="129"/>
  <c r="M29" i="62"/>
  <c r="R29" i="62" s="1"/>
  <c r="S29" i="62" s="1"/>
  <c r="L53" i="116"/>
  <c r="Q42" i="116"/>
  <c r="Q53" i="116" s="1"/>
  <c r="D9" i="131"/>
  <c r="B14" i="129"/>
  <c r="F11" i="129"/>
  <c r="E14" i="129"/>
  <c r="T37" i="62"/>
  <c r="V37" i="62" s="1"/>
  <c r="X37" i="62" s="1"/>
  <c r="M18" i="62"/>
  <c r="R18" i="62" s="1"/>
  <c r="S18" i="62" s="1"/>
  <c r="L53" i="106"/>
  <c r="Q42" i="106"/>
  <c r="Q53" i="106" s="1"/>
  <c r="F27" i="129"/>
  <c r="E34" i="129"/>
  <c r="F37" i="129"/>
  <c r="E38" i="129"/>
  <c r="M19" i="62"/>
  <c r="R19" i="62" s="1"/>
  <c r="S19" i="62" s="1"/>
  <c r="L53" i="107"/>
  <c r="Q42" i="107"/>
  <c r="Q53" i="107" s="1"/>
  <c r="Q42" i="115"/>
  <c r="Q53" i="115" s="1"/>
  <c r="M28" i="62"/>
  <c r="R28" i="62" s="1"/>
  <c r="S28" i="62" s="1"/>
  <c r="L53" i="115"/>
  <c r="AE37" i="62"/>
  <c r="L53" i="102"/>
  <c r="M12" i="62"/>
  <c r="R12" i="62" s="1"/>
  <c r="S12" i="62" s="1"/>
  <c r="Q42" i="102"/>
  <c r="Q53" i="102" s="1"/>
  <c r="L33" i="62"/>
  <c r="N35" i="82"/>
  <c r="R35" i="82"/>
  <c r="M41" i="62"/>
  <c r="R41" i="62" s="1"/>
  <c r="S41" i="62" s="1"/>
  <c r="L54" i="125"/>
  <c r="Q43" i="125"/>
  <c r="Q54" i="125" s="1"/>
  <c r="L42" i="105"/>
  <c r="G20" i="85"/>
  <c r="M26" i="62"/>
  <c r="L53" i="113"/>
  <c r="Q42" i="113"/>
  <c r="Q53" i="113" s="1"/>
  <c r="M31" i="62"/>
  <c r="R31" i="62" s="1"/>
  <c r="S31" i="62" s="1"/>
  <c r="L53" i="118"/>
  <c r="Q42" i="118"/>
  <c r="Q53" i="118" s="1"/>
  <c r="AE33" i="62"/>
  <c r="H48" i="83"/>
  <c r="C56" i="69" s="1"/>
  <c r="I35" i="83"/>
  <c r="L42" i="117"/>
  <c r="G38" i="85"/>
  <c r="T33" i="62"/>
  <c r="V33" i="62" s="1"/>
  <c r="B70" i="61"/>
  <c r="E10" i="61"/>
  <c r="L42" i="101"/>
  <c r="G14" i="85"/>
  <c r="M48" i="62"/>
  <c r="R48" i="62" s="1"/>
  <c r="S48" i="62" s="1"/>
  <c r="L53" i="112"/>
  <c r="Q42" i="112"/>
  <c r="Q53" i="112" s="1"/>
  <c r="L24" i="62"/>
  <c r="L37" i="62"/>
  <c r="M35" i="62"/>
  <c r="L53" i="121"/>
  <c r="Q42" i="121"/>
  <c r="Q53" i="121" s="1"/>
  <c r="AE24" i="62"/>
  <c r="L53" i="126"/>
  <c r="Q42" i="126"/>
  <c r="Q53" i="126" s="1"/>
  <c r="M42" i="62"/>
  <c r="R42" i="62" s="1"/>
  <c r="S42" i="62" s="1"/>
  <c r="H58" i="127"/>
  <c r="H81" i="127" s="1"/>
  <c r="B45" i="62" s="1"/>
  <c r="H25" i="135" s="1"/>
  <c r="S58" i="127"/>
  <c r="AB17" i="32"/>
  <c r="U66" i="32"/>
  <c r="L53" i="104"/>
  <c r="Q42" i="104"/>
  <c r="Q53" i="104" s="1"/>
  <c r="M16" i="62"/>
  <c r="N70" i="127"/>
  <c r="G18" i="85"/>
  <c r="G36" i="85" l="1"/>
  <c r="G22" i="85"/>
  <c r="G34" i="85"/>
  <c r="G26" i="85"/>
  <c r="G56" i="85"/>
  <c r="Z31" i="62"/>
  <c r="AA31" i="62" s="1"/>
  <c r="Z41" i="62"/>
  <c r="AA41" i="62" s="1"/>
  <c r="Z46" i="62"/>
  <c r="Z21" i="62"/>
  <c r="Z18" i="62"/>
  <c r="Z42" i="62"/>
  <c r="AA42" i="62" s="1"/>
  <c r="Z48" i="62"/>
  <c r="Z12" i="62"/>
  <c r="Z27" i="62"/>
  <c r="Z40" i="62"/>
  <c r="AA40" i="62" s="1"/>
  <c r="Z29" i="62"/>
  <c r="AA29" i="62" s="1"/>
  <c r="Z19" i="62"/>
  <c r="Z22" i="62"/>
  <c r="AA22" i="62" s="1"/>
  <c r="Z28" i="62"/>
  <c r="Z36" i="62"/>
  <c r="AA36" i="62" s="1"/>
  <c r="Z20" i="62"/>
  <c r="Z23" i="62"/>
  <c r="AA23" i="62" s="1"/>
  <c r="G24" i="85"/>
  <c r="G46" i="85"/>
  <c r="G52" i="85"/>
  <c r="G16" i="85"/>
  <c r="G54" i="85"/>
  <c r="G62" i="85"/>
  <c r="G58" i="85"/>
  <c r="G28" i="85"/>
  <c r="G64" i="85"/>
  <c r="G48" i="85"/>
  <c r="G30" i="85"/>
  <c r="G50" i="85"/>
  <c r="M37" i="62"/>
  <c r="G40" i="85"/>
  <c r="R10" i="62"/>
  <c r="M43" i="62"/>
  <c r="R39" i="62"/>
  <c r="R35" i="62"/>
  <c r="Q42" i="117"/>
  <c r="Q53" i="117" s="1"/>
  <c r="M30" i="62"/>
  <c r="R30" i="62" s="1"/>
  <c r="S30" i="62" s="1"/>
  <c r="L53" i="117"/>
  <c r="C70" i="69"/>
  <c r="B10" i="88"/>
  <c r="D10" i="69"/>
  <c r="AC17" i="32"/>
  <c r="AB66" i="32"/>
  <c r="E13" i="131"/>
  <c r="G13" i="131" s="1"/>
  <c r="E70" i="61"/>
  <c r="F70" i="61" s="1"/>
  <c r="F10" i="61"/>
  <c r="R26" i="62"/>
  <c r="M11" i="62"/>
  <c r="R11" i="62" s="1"/>
  <c r="S11" i="62" s="1"/>
  <c r="Q42" i="101"/>
  <c r="Q53" i="101" s="1"/>
  <c r="L53" i="101"/>
  <c r="R16" i="62"/>
  <c r="B20" i="88"/>
  <c r="D20" i="88" s="1"/>
  <c r="E20" i="88" s="1"/>
  <c r="D20" i="69"/>
  <c r="E20" i="69" s="1"/>
  <c r="B46" i="129"/>
  <c r="E46" i="129" s="1"/>
  <c r="F46" i="129" s="1"/>
  <c r="D14" i="131"/>
  <c r="D18" i="131" s="1"/>
  <c r="L45" i="62"/>
  <c r="L50" i="62" s="1"/>
  <c r="B50" i="62"/>
  <c r="S70" i="127"/>
  <c r="M45" i="62" s="1"/>
  <c r="N81" i="127"/>
  <c r="E15" i="131"/>
  <c r="G15" i="131" s="1"/>
  <c r="Q42" i="119"/>
  <c r="Q53" i="119" s="1"/>
  <c r="M32" i="62"/>
  <c r="R32" i="62" s="1"/>
  <c r="S32" i="62" s="1"/>
  <c r="L53" i="119"/>
  <c r="J35" i="83"/>
  <c r="K35" i="83" s="1"/>
  <c r="M35" i="83" s="1"/>
  <c r="R35" i="83" s="1"/>
  <c r="I48" i="83"/>
  <c r="C56" i="88" s="1"/>
  <c r="AE45" i="62"/>
  <c r="AE50" i="62" s="1"/>
  <c r="V58" i="127"/>
  <c r="V81" i="127" s="1"/>
  <c r="T45" i="62" s="1"/>
  <c r="B56" i="88"/>
  <c r="D56" i="69"/>
  <c r="E56" i="69" s="1"/>
  <c r="M17" i="62"/>
  <c r="R17" i="62" s="1"/>
  <c r="S17" i="62" s="1"/>
  <c r="L53" i="105"/>
  <c r="Q42" i="105"/>
  <c r="Q53" i="105" s="1"/>
  <c r="H34" i="135" l="1"/>
  <c r="J14" i="135"/>
  <c r="K14" i="135" s="1"/>
  <c r="AA20" i="62"/>
  <c r="I14" i="135" s="1"/>
  <c r="J13" i="135"/>
  <c r="K13" i="135" s="1"/>
  <c r="AA19" i="62"/>
  <c r="I13" i="135" s="1"/>
  <c r="L13" i="135" s="1"/>
  <c r="M13" i="135" s="1"/>
  <c r="AA12" i="62"/>
  <c r="I8" i="135" s="1"/>
  <c r="L8" i="135" s="1"/>
  <c r="M8" i="135" s="1"/>
  <c r="J8" i="135"/>
  <c r="K8" i="135" s="1"/>
  <c r="J17" i="135"/>
  <c r="K17" i="135" s="1"/>
  <c r="AA21" i="62"/>
  <c r="I17" i="135" s="1"/>
  <c r="L17" i="135" s="1"/>
  <c r="M17" i="135" s="1"/>
  <c r="AA48" i="62"/>
  <c r="I24" i="135" s="1"/>
  <c r="L24" i="135" s="1"/>
  <c r="M24" i="135" s="1"/>
  <c r="J24" i="135"/>
  <c r="J26" i="135"/>
  <c r="K26" i="135" s="1"/>
  <c r="AA46" i="62"/>
  <c r="I26" i="135" s="1"/>
  <c r="L26" i="135" s="1"/>
  <c r="M26" i="135" s="1"/>
  <c r="Z11" i="62"/>
  <c r="K24" i="135"/>
  <c r="Z17" i="62"/>
  <c r="Z32" i="62"/>
  <c r="AA32" i="62" s="1"/>
  <c r="AA28" i="62"/>
  <c r="I20" i="135" s="1"/>
  <c r="L20" i="135" s="1"/>
  <c r="M20" i="135" s="1"/>
  <c r="J20" i="135"/>
  <c r="K20" i="135" s="1"/>
  <c r="Z30" i="62"/>
  <c r="AA30" i="62" s="1"/>
  <c r="AA27" i="62"/>
  <c r="I19" i="135" s="1"/>
  <c r="L19" i="135" s="1"/>
  <c r="M19" i="135" s="1"/>
  <c r="J19" i="135"/>
  <c r="K19" i="135" s="1"/>
  <c r="AA18" i="62"/>
  <c r="I16" i="135" s="1"/>
  <c r="L16" i="135" s="1"/>
  <c r="M16" i="135" s="1"/>
  <c r="J16" i="135"/>
  <c r="K16" i="135" s="1"/>
  <c r="G66" i="85"/>
  <c r="M24" i="62"/>
  <c r="E51" i="129"/>
  <c r="B57" i="62" s="1"/>
  <c r="S81" i="127"/>
  <c r="R37" i="62"/>
  <c r="S35" i="62"/>
  <c r="M13" i="62"/>
  <c r="R43" i="62"/>
  <c r="S39" i="62"/>
  <c r="R13" i="62"/>
  <c r="S10" i="62"/>
  <c r="V45" i="62"/>
  <c r="T50" i="62"/>
  <c r="I15" i="131"/>
  <c r="H15" i="131"/>
  <c r="I13" i="131"/>
  <c r="H13" i="131"/>
  <c r="E10" i="69"/>
  <c r="D70" i="69"/>
  <c r="E70" i="69" s="1"/>
  <c r="R45" i="62"/>
  <c r="S45" i="62" s="1"/>
  <c r="B70" i="88"/>
  <c r="D10" i="88"/>
  <c r="B56" i="56"/>
  <c r="D56" i="56" s="1"/>
  <c r="E56" i="56" s="1"/>
  <c r="D56" i="88"/>
  <c r="E56" i="88" s="1"/>
  <c r="B51" i="129"/>
  <c r="B58" i="62"/>
  <c r="R33" i="62"/>
  <c r="S26" i="62"/>
  <c r="R24" i="62"/>
  <c r="S16" i="62"/>
  <c r="M33" i="62"/>
  <c r="L14" i="135" l="1"/>
  <c r="M14" i="135" s="1"/>
  <c r="AA11" i="62"/>
  <c r="J7" i="135"/>
  <c r="K7" i="135" s="1"/>
  <c r="Z45" i="62"/>
  <c r="Z10" i="62"/>
  <c r="AA17" i="62"/>
  <c r="I15" i="135" s="1"/>
  <c r="L15" i="135" s="1"/>
  <c r="M15" i="135" s="1"/>
  <c r="J15" i="135"/>
  <c r="K15" i="135" s="1"/>
  <c r="Z26" i="62"/>
  <c r="Z39" i="62"/>
  <c r="Z16" i="62"/>
  <c r="Z35" i="62"/>
  <c r="M50" i="62"/>
  <c r="V50" i="62"/>
  <c r="X45" i="62"/>
  <c r="R50" i="62"/>
  <c r="S43" i="62"/>
  <c r="S37" i="62"/>
  <c r="E10" i="88"/>
  <c r="D70" i="88"/>
  <c r="E70" i="88" s="1"/>
  <c r="E14" i="131"/>
  <c r="G14" i="131" s="1"/>
  <c r="S13" i="62"/>
  <c r="S33" i="62"/>
  <c r="S24" i="62"/>
  <c r="Z33" i="62" l="1"/>
  <c r="J18" i="135"/>
  <c r="K18" i="135" s="1"/>
  <c r="AA26" i="62"/>
  <c r="J25" i="135"/>
  <c r="K25" i="135" s="1"/>
  <c r="AA45" i="62"/>
  <c r="I25" i="135" s="1"/>
  <c r="AA35" i="62"/>
  <c r="AA37" i="62" s="1"/>
  <c r="Z37" i="62"/>
  <c r="I7" i="135"/>
  <c r="L7" i="135" s="1"/>
  <c r="M7" i="135" s="1"/>
  <c r="AA16" i="62"/>
  <c r="J12" i="135"/>
  <c r="K12" i="135" s="1"/>
  <c r="Z24" i="62"/>
  <c r="Z43" i="62"/>
  <c r="AA39" i="62"/>
  <c r="AA43" i="62" s="1"/>
  <c r="J22" i="135"/>
  <c r="K22" i="135" s="1"/>
  <c r="J6" i="135"/>
  <c r="AA10" i="62"/>
  <c r="I6" i="135" s="1"/>
  <c r="Z13" i="62"/>
  <c r="E12" i="131"/>
  <c r="G12" i="131" s="1"/>
  <c r="S50" i="62"/>
  <c r="E10" i="131"/>
  <c r="G10" i="131" s="1"/>
  <c r="E11" i="131"/>
  <c r="G11" i="131" s="1"/>
  <c r="I14" i="131"/>
  <c r="H14" i="131"/>
  <c r="E9" i="131"/>
  <c r="Z50" i="62" l="1"/>
  <c r="AA13" i="62"/>
  <c r="J34" i="135"/>
  <c r="K6" i="135"/>
  <c r="L25" i="135"/>
  <c r="M25" i="135" s="1"/>
  <c r="I18" i="135"/>
  <c r="L18" i="135" s="1"/>
  <c r="M18" i="135" s="1"/>
  <c r="AA33" i="62"/>
  <c r="L6" i="135"/>
  <c r="M6" i="135" s="1"/>
  <c r="I12" i="135"/>
  <c r="L12" i="135" s="1"/>
  <c r="M12" i="135" s="1"/>
  <c r="AA24" i="62"/>
  <c r="I22" i="135"/>
  <c r="L22" i="135" s="1"/>
  <c r="M22" i="135" s="1"/>
  <c r="I12" i="131"/>
  <c r="H12" i="131"/>
  <c r="I11" i="131"/>
  <c r="H11" i="131"/>
  <c r="I10" i="131"/>
  <c r="H10" i="131"/>
  <c r="G9" i="131"/>
  <c r="E18" i="131"/>
  <c r="I9" i="131" l="1"/>
  <c r="H9" i="131"/>
  <c r="AA50" i="62"/>
  <c r="I34" i="135" s="1"/>
  <c r="L34" i="135" s="1"/>
  <c r="M34" i="135" s="1"/>
  <c r="J35" i="135"/>
  <c r="K34" i="135"/>
  <c r="G18" i="131"/>
  <c r="I18" i="131" s="1"/>
  <c r="H18" i="131"/>
  <c r="P40" i="49" l="1"/>
  <c r="P62" i="49" s="1"/>
  <c r="P155" i="49" s="1"/>
  <c r="P157" i="49" s="1"/>
  <c r="X48" i="62" l="1"/>
  <c r="X46" i="62" l="1"/>
  <c r="X13" i="62" l="1"/>
  <c r="X43" i="62" l="1"/>
  <c r="X33" i="62" l="1"/>
  <c r="X50" i="62" s="1"/>
  <c r="W50"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N6" authorId="0" shapeId="0" xr:uid="{00000000-0006-0000-3200-000001000000}">
      <text>
        <r>
          <rPr>
            <b/>
            <sz val="9"/>
            <color indexed="81"/>
            <rFont val="Tahoma"/>
            <family val="2"/>
          </rPr>
          <t>AEP:</t>
        </r>
        <r>
          <rPr>
            <sz val="9"/>
            <color indexed="81"/>
            <rFont val="Tahoma"/>
            <family val="2"/>
          </rPr>
          <t xml:space="preserve">
KES</t>
        </r>
      </text>
    </comment>
    <comment ref="K7" authorId="0" shapeId="0" xr:uid="{00000000-0006-0000-3200-000002000000}">
      <text>
        <r>
          <rPr>
            <b/>
            <sz val="9"/>
            <color indexed="81"/>
            <rFont val="Tahoma"/>
            <family val="2"/>
          </rPr>
          <t>AEP:</t>
        </r>
        <r>
          <rPr>
            <sz val="9"/>
            <color indexed="81"/>
            <rFont val="Tahoma"/>
            <family val="2"/>
          </rPr>
          <t xml:space="preserve">
KES on CSIRP Aug - Dec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K6" authorId="0" shapeId="0" xr:uid="{00000000-0006-0000-3300-000001000000}">
      <text>
        <r>
          <rPr>
            <b/>
            <sz val="9"/>
            <color indexed="81"/>
            <rFont val="Tahoma"/>
            <family val="2"/>
          </rPr>
          <t>AEP:</t>
        </r>
        <r>
          <rPr>
            <sz val="9"/>
            <color indexed="81"/>
            <rFont val="Tahoma"/>
            <family val="2"/>
          </rPr>
          <t xml:space="preserve">
AIR Products March-Aug IGS Sub BDs</t>
        </r>
      </text>
    </comment>
  </commentList>
</comments>
</file>

<file path=xl/sharedStrings.xml><?xml version="1.0" encoding="utf-8"?>
<sst xmlns="http://schemas.openxmlformats.org/spreadsheetml/2006/main" count="3214" uniqueCount="898">
  <si>
    <t>KENTUCKY POWER BILLING ANALYSIS</t>
  </si>
  <si>
    <t>Description</t>
  </si>
  <si>
    <t>Tariff</t>
  </si>
  <si>
    <t>Tariff Summary</t>
  </si>
  <si>
    <t>Current</t>
  </si>
  <si>
    <t>Rate</t>
  </si>
  <si>
    <t>Revenue</t>
  </si>
  <si>
    <t>(1)</t>
  </si>
  <si>
    <t>(2)</t>
  </si>
  <si>
    <t>(3)</t>
  </si>
  <si>
    <t>(6)</t>
  </si>
  <si>
    <t>Metered kWh</t>
  </si>
  <si>
    <t>Customer Charge</t>
  </si>
  <si>
    <t>Number of Customers</t>
  </si>
  <si>
    <t xml:space="preserve">Fuel </t>
  </si>
  <si>
    <t>Environmental Surcharge</t>
  </si>
  <si>
    <t>System Sales Clause</t>
  </si>
  <si>
    <t>Total</t>
  </si>
  <si>
    <t>Employee Discount</t>
  </si>
  <si>
    <t>All kWh</t>
  </si>
  <si>
    <t>Billing kW</t>
  </si>
  <si>
    <t>Billing kWh</t>
  </si>
  <si>
    <t xml:space="preserve">  On-peak kWh</t>
  </si>
  <si>
    <t xml:space="preserve">  Off-peak kWh</t>
  </si>
  <si>
    <t xml:space="preserve">  On-Peak</t>
  </si>
  <si>
    <t>Billing KVAR</t>
  </si>
  <si>
    <t>High Pressure Sodium</t>
  </si>
  <si>
    <t>Mercury Vapor</t>
  </si>
  <si>
    <t>Metal Halide</t>
  </si>
  <si>
    <t>OH Service on Distribution Poles</t>
  </si>
  <si>
    <t>Overhead Lighting Service</t>
  </si>
  <si>
    <t>Post Top Lighting Service</t>
  </si>
  <si>
    <t>Flood Lighting Service</t>
  </si>
  <si>
    <t>Facilities Charge</t>
  </si>
  <si>
    <t>MW</t>
  </si>
  <si>
    <t>OL</t>
  </si>
  <si>
    <t>SL</t>
  </si>
  <si>
    <t>PER BOOKS</t>
  </si>
  <si>
    <t>LGS Pri</t>
  </si>
  <si>
    <t>Customers</t>
  </si>
  <si>
    <t>C&amp;LM Credit</t>
  </si>
  <si>
    <t>MEDIUM GENERAL SERVICE TIME-OF-DAY (229)</t>
  </si>
  <si>
    <t>LARGE GENERAL SERVICE - PRIMARY (244, 246)</t>
  </si>
  <si>
    <t>LARGE GENERAL SERVICE - SUBTRANSMISSION (248)</t>
  </si>
  <si>
    <t xml:space="preserve">  Off-Peak </t>
  </si>
  <si>
    <t xml:space="preserve">  Minimum</t>
  </si>
  <si>
    <t xml:space="preserve">  100 watts, 9,500 Lumens (094)</t>
  </si>
  <si>
    <t xml:space="preserve">  150 watts, 16,000 Lumens (113)</t>
  </si>
  <si>
    <t xml:space="preserve">  200 watts, 22,000 Lumens (097)</t>
  </si>
  <si>
    <t xml:space="preserve">  400 watts, 50,000 Lumens (098)</t>
  </si>
  <si>
    <t xml:space="preserve">  175 watts, 7,000 Lumens (093)</t>
  </si>
  <si>
    <t xml:space="preserve">  400 watts, 20,000 Lumens (095)</t>
  </si>
  <si>
    <t xml:space="preserve">  100 watts, 9,500 Lumens (111)</t>
  </si>
  <si>
    <t xml:space="preserve">  150 watts, 16,000 Lumens (122)</t>
  </si>
  <si>
    <t xml:space="preserve">  175 watts, 7,000 Lumens (099)</t>
  </si>
  <si>
    <t xml:space="preserve">  200 watts, 22,000 Lumens (107)</t>
  </si>
  <si>
    <t xml:space="preserve">  400 watts, 50,000 Lumens (109)</t>
  </si>
  <si>
    <t xml:space="preserve">  250 watts, 20,500 Lumens (110)</t>
  </si>
  <si>
    <t xml:space="preserve">  400 watts, 36,000 Lumens (116)</t>
  </si>
  <si>
    <t xml:space="preserve">  1000 watts, 110,000 Lumens (131)</t>
  </si>
  <si>
    <t xml:space="preserve">  Pole</t>
  </si>
  <si>
    <t xml:space="preserve">  Span</t>
  </si>
  <si>
    <t xml:space="preserve">  Lateral</t>
  </si>
  <si>
    <t>STREET LIGHTING (528)</t>
  </si>
  <si>
    <t xml:space="preserve">  100 watts, 9,500 Lumens </t>
  </si>
  <si>
    <t xml:space="preserve">  150 watts, 16,000 Lumens </t>
  </si>
  <si>
    <t xml:space="preserve">  200 watts, 22,000 Lumens </t>
  </si>
  <si>
    <t xml:space="preserve">  400 watts, 50,000 Lumens </t>
  </si>
  <si>
    <t>Service on New Metal or Concrete Poles</t>
  </si>
  <si>
    <t>kWh</t>
  </si>
  <si>
    <t>Billed &amp; Accrued</t>
  </si>
  <si>
    <t xml:space="preserve">Unbilled </t>
  </si>
  <si>
    <t>Fuel</t>
  </si>
  <si>
    <t xml:space="preserve">Total </t>
  </si>
  <si>
    <t xml:space="preserve">Per Books </t>
  </si>
  <si>
    <t xml:space="preserve">Calculated </t>
  </si>
  <si>
    <t>Difference</t>
  </si>
  <si>
    <t>%</t>
  </si>
  <si>
    <t>LARGE GENERAL SERVICE - SECONDARY (240, 242)</t>
  </si>
  <si>
    <t xml:space="preserve">  Off-Peak</t>
  </si>
  <si>
    <t>RS Total</t>
  </si>
  <si>
    <t>RSLMTOD Total</t>
  </si>
  <si>
    <t>OL Total</t>
  </si>
  <si>
    <t>SGS Metered Total</t>
  </si>
  <si>
    <t>SGS NM Total</t>
  </si>
  <si>
    <t>MGS RL (214)</t>
  </si>
  <si>
    <t>MGS Sec Total</t>
  </si>
  <si>
    <t>MGSLMTOD (223)</t>
  </si>
  <si>
    <t>MGSTOD (229)</t>
  </si>
  <si>
    <t>MGS Pri Total</t>
  </si>
  <si>
    <t>MGS Sub (236)</t>
  </si>
  <si>
    <t>LGS Sec Total</t>
  </si>
  <si>
    <t>LGSLMTOD (251)</t>
  </si>
  <si>
    <t>LGS Sub (248)</t>
  </si>
  <si>
    <t>SL (528)</t>
  </si>
  <si>
    <t>MW (540)</t>
  </si>
  <si>
    <t>LGS Pri Total</t>
  </si>
  <si>
    <t>Total RS</t>
  </si>
  <si>
    <t>Total RSLMTOD</t>
  </si>
  <si>
    <t>12 MONTHS TARIFF SUMMARY</t>
  </si>
  <si>
    <t>Minimum kW</t>
  </si>
  <si>
    <t>Monthly</t>
  </si>
  <si>
    <t>Year End</t>
  </si>
  <si>
    <t>Adjustment</t>
  </si>
  <si>
    <t>(8)</t>
  </si>
  <si>
    <t xml:space="preserve">Revised </t>
  </si>
  <si>
    <t>Migration</t>
  </si>
  <si>
    <t>Per Books</t>
  </si>
  <si>
    <t>Environmental</t>
  </si>
  <si>
    <t>System Sales</t>
  </si>
  <si>
    <t>KENTUCKY POWER COMPANY</t>
  </si>
  <si>
    <t>DEVELOPMENT OF ANNUALIZATION ADJUSTMENT</t>
  </si>
  <si>
    <t xml:space="preserve">Annual </t>
  </si>
  <si>
    <t>Average</t>
  </si>
  <si>
    <t>KWH</t>
  </si>
  <si>
    <t>Number of</t>
  </si>
  <si>
    <t xml:space="preserve">Customer </t>
  </si>
  <si>
    <t>Average KWH</t>
  </si>
  <si>
    <t>Annualization</t>
  </si>
  <si>
    <t xml:space="preserve">Revenue </t>
  </si>
  <si>
    <t>Growth</t>
  </si>
  <si>
    <t>Per Customer</t>
  </si>
  <si>
    <t>Per KWH</t>
  </si>
  <si>
    <t>Adjusted</t>
  </si>
  <si>
    <t>(4)</t>
  </si>
  <si>
    <t>(5)=(4)-(3)</t>
  </si>
  <si>
    <t>NO. OF CUSTOMERS BY TARIFF</t>
  </si>
  <si>
    <t>Metered</t>
  </si>
  <si>
    <t>(7)=(6)/(3)</t>
  </si>
  <si>
    <t>(8)=(5)x(7)</t>
  </si>
  <si>
    <t>(9)</t>
  </si>
  <si>
    <t>(10)=(9)/(6)</t>
  </si>
  <si>
    <t>(11)=(8)x(10)</t>
  </si>
  <si>
    <t>Service on New Wood Distribution Poles</t>
  </si>
  <si>
    <t>Customer</t>
  </si>
  <si>
    <t>Annualized</t>
  </si>
  <si>
    <t>Revised</t>
  </si>
  <si>
    <t>PER BOOKS SUMMARY</t>
  </si>
  <si>
    <t>Clause</t>
  </si>
  <si>
    <t>System</t>
  </si>
  <si>
    <t>Sales</t>
  </si>
  <si>
    <t>Surcharge</t>
  </si>
  <si>
    <t>Excl.</t>
  </si>
  <si>
    <t>with</t>
  </si>
  <si>
    <t>Annualized Fuel</t>
  </si>
  <si>
    <t>PER BOOKS WITHOUT SYSTEM SALES SUMMARY</t>
  </si>
  <si>
    <t>Without</t>
  </si>
  <si>
    <t>With</t>
  </si>
  <si>
    <t>YEAR END MIGRATION ADJUSTMENT SUMMARY</t>
  </si>
  <si>
    <t>PER BOOKS WITH ANNUALIZED FUEL SUMMARY</t>
  </si>
  <si>
    <t>BILLED &amp; ACCRUED SURCHARGES</t>
  </si>
  <si>
    <t>Charge</t>
  </si>
  <si>
    <t>MUNICIPAL WATERWORKS (540)</t>
  </si>
  <si>
    <t>FUEL ADJUSTMENT</t>
  </si>
  <si>
    <t>Kilowatthours</t>
  </si>
  <si>
    <t>RESIDENTIAL LOAD MANAGEMENT TIME-OF-DAY SERVICE (028, 030, 032, 034)</t>
  </si>
  <si>
    <t>Check</t>
  </si>
  <si>
    <t>Total RS TOD</t>
  </si>
  <si>
    <t>Capacity</t>
  </si>
  <si>
    <t>Billed + Estimated</t>
  </si>
  <si>
    <t>RS TOD Total</t>
  </si>
  <si>
    <t>Capacity Charge</t>
  </si>
  <si>
    <t>Adjustments</t>
  </si>
  <si>
    <t>Customer Charge *</t>
  </si>
  <si>
    <t xml:space="preserve">  All kWh</t>
  </si>
  <si>
    <t>Specific</t>
  </si>
  <si>
    <t>(13)</t>
  </si>
  <si>
    <t>Double</t>
  </si>
  <si>
    <t xml:space="preserve">  Book to Bill Adjustment</t>
  </si>
  <si>
    <t>REVENUE SUMMARY SHEET</t>
  </si>
  <si>
    <t>Proposed</t>
  </si>
  <si>
    <t xml:space="preserve">Verification </t>
  </si>
  <si>
    <t xml:space="preserve">Proposed </t>
  </si>
  <si>
    <t>Increase</t>
  </si>
  <si>
    <t>Residential Total</t>
  </si>
  <si>
    <t>LGS Total</t>
  </si>
  <si>
    <t xml:space="preserve">  Storage Water Heating</t>
  </si>
  <si>
    <t>(4)=(2)x(3)</t>
  </si>
  <si>
    <t>(5)</t>
  </si>
  <si>
    <t>(7)</t>
  </si>
  <si>
    <t>(10)</t>
  </si>
  <si>
    <t>(14)</t>
  </si>
  <si>
    <t>(16)=(3)x(15)</t>
  </si>
  <si>
    <t>LARGE GENERAL SERVICE LOAD MANAGEMENT TIME-OF-DAY (251)</t>
  </si>
  <si>
    <t>After Specific Customer Adjustment</t>
  </si>
  <si>
    <t>(10)=(2)+(6)</t>
  </si>
  <si>
    <t>(11)=(3)+(7)</t>
  </si>
  <si>
    <t>(12)=(4)+(8)</t>
  </si>
  <si>
    <t>(13)=(5)+(9)</t>
  </si>
  <si>
    <r>
      <t>Adjustment</t>
    </r>
    <r>
      <rPr>
        <sz val="10"/>
        <rFont val="Arial"/>
        <family val="2"/>
      </rPr>
      <t xml:space="preserve"> **</t>
    </r>
  </si>
  <si>
    <r>
      <t>Customers</t>
    </r>
    <r>
      <rPr>
        <sz val="10"/>
        <rFont val="Arial"/>
        <family val="2"/>
      </rPr>
      <t xml:space="preserve"> *</t>
    </r>
  </si>
  <si>
    <r>
      <t>KWH</t>
    </r>
    <r>
      <rPr>
        <sz val="10"/>
        <rFont val="Arial"/>
        <family val="2"/>
      </rPr>
      <t xml:space="preserve"> *</t>
    </r>
  </si>
  <si>
    <r>
      <t>Revenue</t>
    </r>
    <r>
      <rPr>
        <sz val="10"/>
        <rFont val="Arial"/>
        <family val="2"/>
      </rPr>
      <t xml:space="preserve"> *</t>
    </r>
  </si>
  <si>
    <t>* After Specific Customer Adjustment</t>
  </si>
  <si>
    <t>** Values may not calculate due to rounding and calculation by lamp instead of customer for lighting.</t>
  </si>
  <si>
    <t>SGSLMTOD (225)</t>
  </si>
  <si>
    <t>SMALL GENERAL SERVICE LOAD MANAGEMENT TIME-OF-DAY (225)</t>
  </si>
  <si>
    <t>LARGE GENERAL SERVICE - TRANSMISSION (250)</t>
  </si>
  <si>
    <t>LGS Tran (250)</t>
  </si>
  <si>
    <t>SMALL GENERAL SERVICE EXPERIMENTAL TIME-OF-DAY (227)</t>
  </si>
  <si>
    <t xml:space="preserve">  Summer On-Peak</t>
  </si>
  <si>
    <t xml:space="preserve">  Winter On-Peak</t>
  </si>
  <si>
    <t>SGS TOD</t>
  </si>
  <si>
    <t>SGS TOD (227)</t>
  </si>
  <si>
    <t>DSM</t>
  </si>
  <si>
    <t xml:space="preserve">  250 watts, 28,000 Lumens (120)</t>
  </si>
  <si>
    <t>Employee Customer Charge</t>
  </si>
  <si>
    <t>Book to Bill Adjustment</t>
  </si>
  <si>
    <t>HEAP Charge</t>
  </si>
  <si>
    <t>Separate Meter Charge</t>
  </si>
  <si>
    <t>(15)</t>
  </si>
  <si>
    <t>Revenues</t>
  </si>
  <si>
    <t>Rider</t>
  </si>
  <si>
    <t>Weather</t>
  </si>
  <si>
    <t>Normalization</t>
  </si>
  <si>
    <t>Normalized</t>
  </si>
  <si>
    <t>WEATHER NORMALIZED LOAD ADJUSTMENT SUMMARY</t>
  </si>
  <si>
    <t>Weather &amp; Specific Customer Adjustments</t>
  </si>
  <si>
    <t>Tariff Class</t>
  </si>
  <si>
    <t>w/ Annualized Fuel</t>
  </si>
  <si>
    <t>Realization</t>
  </si>
  <si>
    <t>Migration Adjusted</t>
  </si>
  <si>
    <t>w/ Specific Adjustments*</t>
  </si>
  <si>
    <t>Annualization Adjusted</t>
  </si>
  <si>
    <t>RS</t>
  </si>
  <si>
    <t>RS LMTOD</t>
  </si>
  <si>
    <t>RS TOD</t>
  </si>
  <si>
    <t>SGS</t>
  </si>
  <si>
    <t>SGS LMTOD</t>
  </si>
  <si>
    <t>SGS NM</t>
  </si>
  <si>
    <t>MGS RL</t>
  </si>
  <si>
    <t>MGS SEC</t>
  </si>
  <si>
    <t>MGS LMTOD</t>
  </si>
  <si>
    <t>MGS TOD</t>
  </si>
  <si>
    <t>MGS PRI</t>
  </si>
  <si>
    <t>MGS SUB</t>
  </si>
  <si>
    <t>LGS SEC</t>
  </si>
  <si>
    <t>LGS LMTOD</t>
  </si>
  <si>
    <t>LGS PRI</t>
  </si>
  <si>
    <t>LGS SUB</t>
  </si>
  <si>
    <t>LGS TRAN</t>
  </si>
  <si>
    <t>CIP SUB</t>
  </si>
  <si>
    <t>CIP TRAN</t>
  </si>
  <si>
    <t>Ann Fl vs Mig</t>
  </si>
  <si>
    <t>Ann Fl vs SA</t>
  </si>
  <si>
    <t>Ann FL vs YEC</t>
  </si>
  <si>
    <t>PER BOOKS WITHOUT ENVIRONMENTAL SURCHARGE</t>
  </si>
  <si>
    <t>Env. Surcharge</t>
  </si>
  <si>
    <t>HEAP COLLECTIONS</t>
  </si>
  <si>
    <t>Number of Bills</t>
  </si>
  <si>
    <t>HEAP Collections</t>
  </si>
  <si>
    <t>Tariff                 Class</t>
  </si>
  <si>
    <t>LGS</t>
  </si>
  <si>
    <t>N/A</t>
  </si>
  <si>
    <t>COGEN/SPP II</t>
  </si>
  <si>
    <t>Customer  Classification</t>
  </si>
  <si>
    <t>Percent    Change</t>
  </si>
  <si>
    <t>LARGE GENERAL SERVICE - TIME OF DAY - SECONDARY (256)</t>
  </si>
  <si>
    <t>PUBLIC SCHOOL - SECONDARY (260)</t>
  </si>
  <si>
    <t>PUBLIC SCHOOL - PRIMARY (264)</t>
  </si>
  <si>
    <t>INDUSTRIAL GENERAL SERVICE - SECONDARY (356)</t>
  </si>
  <si>
    <t>CONTRACT SERVICE - INTERRUPTIBLE POWER - TRANSMISSION (321)</t>
  </si>
  <si>
    <t>Demand Credit</t>
  </si>
  <si>
    <t>CONTRACT SERVICE - INTERRUPTIBLE POWER - SUBTRANSMISSION (331)</t>
  </si>
  <si>
    <t>Economic Development Charge</t>
  </si>
  <si>
    <t>Purchased Power Adjustment</t>
  </si>
  <si>
    <t>Big Sandy Retirement Rider</t>
  </si>
  <si>
    <t>Jan</t>
  </si>
  <si>
    <t>Feb</t>
  </si>
  <si>
    <t>Mar</t>
  </si>
  <si>
    <t>Apr</t>
  </si>
  <si>
    <t>May</t>
  </si>
  <si>
    <t>Jun</t>
  </si>
  <si>
    <t>Jul</t>
  </si>
  <si>
    <t>Aug</t>
  </si>
  <si>
    <t>Sep</t>
  </si>
  <si>
    <t>Oct</t>
  </si>
  <si>
    <t>Nov</t>
  </si>
  <si>
    <t>Dec</t>
  </si>
  <si>
    <t>Excl. BSRR</t>
  </si>
  <si>
    <t>Purchased</t>
  </si>
  <si>
    <t>Power</t>
  </si>
  <si>
    <t>LGSSECTOD (256)</t>
  </si>
  <si>
    <t>PS Sec (260)</t>
  </si>
  <si>
    <t>PS Pri (264)</t>
  </si>
  <si>
    <t>IGS Sec (356)</t>
  </si>
  <si>
    <t>IGS Pri (358)</t>
  </si>
  <si>
    <t>IGS Sub Total (359,371)</t>
  </si>
  <si>
    <t>IGS Tran Total (360,372)</t>
  </si>
  <si>
    <t>Econ Dev Charge</t>
  </si>
  <si>
    <t>(11)</t>
  </si>
  <si>
    <t>(12)=(2)+(11)</t>
  </si>
  <si>
    <t>PS Total</t>
  </si>
  <si>
    <t>(15)=(12)+(14)</t>
  </si>
  <si>
    <t>(13)=(3)*(12)</t>
  </si>
  <si>
    <t>(16)</t>
  </si>
  <si>
    <t>(17)=(15)+(16)</t>
  </si>
  <si>
    <t>(18)=(3)x(17)</t>
  </si>
  <si>
    <t>% of Total</t>
  </si>
  <si>
    <t>Mitchell FGD</t>
  </si>
  <si>
    <t>Amount</t>
  </si>
  <si>
    <t>Envir Surcharge</t>
  </si>
  <si>
    <t>Less</t>
  </si>
  <si>
    <t>FGD</t>
  </si>
  <si>
    <t>Enviromental Surcharge Going Level Revenue</t>
  </si>
  <si>
    <t>By Tariff Class</t>
  </si>
  <si>
    <t>Big Sandy 1 Operation Rider kWh</t>
  </si>
  <si>
    <t>Big Sandy 1 Operation Rider kW</t>
  </si>
  <si>
    <t>Per Books Customer</t>
  </si>
  <si>
    <t>Economic Surcharge</t>
  </si>
  <si>
    <t>PER BOOKS WITHOUT ECONOMIC DEVELOPMENT SURCHAGE SUMMARY</t>
  </si>
  <si>
    <t>Economic Development Rider</t>
  </si>
  <si>
    <t>PER BOOKS WITHOUT BSRR SURCHARGE</t>
  </si>
  <si>
    <t>BSRR Surcharge</t>
  </si>
  <si>
    <t>Economic Development</t>
  </si>
  <si>
    <t>(3)=(1)-(2)</t>
  </si>
  <si>
    <t>HEAP</t>
  </si>
  <si>
    <t>Excl FGD</t>
  </si>
  <si>
    <t>Enviro Sur</t>
  </si>
  <si>
    <t>B&amp;A</t>
  </si>
  <si>
    <t>Per Books Calculated</t>
  </si>
  <si>
    <t>Temporary</t>
  </si>
  <si>
    <t>CS IRP Tran (321)</t>
  </si>
  <si>
    <t>CS IRP Sub (331)</t>
  </si>
  <si>
    <t>IGS Total</t>
  </si>
  <si>
    <t>Unbilled Rev</t>
  </si>
  <si>
    <t>April - January</t>
  </si>
  <si>
    <t>Feb - March</t>
  </si>
  <si>
    <t>Unbilled</t>
  </si>
  <si>
    <t>Decommissioning Rider</t>
  </si>
  <si>
    <t>Units</t>
  </si>
  <si>
    <t xml:space="preserve">  First 4,450 kWh </t>
  </si>
  <si>
    <t xml:space="preserve">  Over 4,450 kWh </t>
  </si>
  <si>
    <t xml:space="preserve">Test Year Fuel </t>
  </si>
  <si>
    <t>Base + FAC</t>
  </si>
  <si>
    <t>Total Billing Unit Adjs</t>
  </si>
  <si>
    <t>Base Fuel ONLY</t>
  </si>
  <si>
    <t xml:space="preserve">Total Adjusted Fuel </t>
  </si>
  <si>
    <t>In Revenues</t>
  </si>
  <si>
    <t>Residential</t>
  </si>
  <si>
    <t>GENERAL SERVICE - NON METERED (204, 213)</t>
  </si>
  <si>
    <t>Excess kVA</t>
  </si>
  <si>
    <t>Billing  kVAR</t>
  </si>
  <si>
    <t>CS-IRP Demand Credit</t>
  </si>
  <si>
    <t>Municipal Waterworks</t>
  </si>
  <si>
    <t>EDR</t>
  </si>
  <si>
    <t>Fed Tax Cut</t>
  </si>
  <si>
    <t xml:space="preserve">Base </t>
  </si>
  <si>
    <t xml:space="preserve">Decommissioning </t>
  </si>
  <si>
    <t>DSM Surcharge</t>
  </si>
  <si>
    <t>LARGE GENERAL SERVICE - TIME OF DAY - PRIMARY (257)</t>
  </si>
  <si>
    <t>GS Total</t>
  </si>
  <si>
    <t>HEAP and</t>
  </si>
  <si>
    <t>Total TY</t>
  </si>
  <si>
    <t>Base</t>
  </si>
  <si>
    <t xml:space="preserve"> Fuel Adjustment Clause</t>
  </si>
  <si>
    <t xml:space="preserve">Less </t>
  </si>
  <si>
    <t>Purchase Power Adj</t>
  </si>
  <si>
    <t xml:space="preserve">Test Year </t>
  </si>
  <si>
    <t>Base Rate</t>
  </si>
  <si>
    <t>Weather Adj Total</t>
  </si>
  <si>
    <t>Annualization/</t>
  </si>
  <si>
    <t>Total Riders - No DSM</t>
  </si>
  <si>
    <t>Riders Unbilled</t>
  </si>
  <si>
    <t>Unbilled Revenue</t>
  </si>
  <si>
    <t>GS-NM</t>
  </si>
  <si>
    <t>GS-SEC</t>
  </si>
  <si>
    <t>GS-AF</t>
  </si>
  <si>
    <t>GS-PRI</t>
  </si>
  <si>
    <t>GSLMTOD</t>
  </si>
  <si>
    <t>MGSTOD</t>
  </si>
  <si>
    <t>GS-SUB</t>
  </si>
  <si>
    <t>LGS-SEC</t>
  </si>
  <si>
    <t>LGS-PRI</t>
  </si>
  <si>
    <t>LGS-SUB</t>
  </si>
  <si>
    <t>LGS-TRAN</t>
  </si>
  <si>
    <t>LGSLMTOD</t>
  </si>
  <si>
    <t>LGS-SEC TOD</t>
  </si>
  <si>
    <t>LGS-PRI TOD</t>
  </si>
  <si>
    <t>PS-SEC</t>
  </si>
  <si>
    <t>PS-PRI</t>
  </si>
  <si>
    <t>IGS-PRI</t>
  </si>
  <si>
    <t>IGS-SUB</t>
  </si>
  <si>
    <t>IGS-TRAN</t>
  </si>
  <si>
    <t>IGS-SEC</t>
  </si>
  <si>
    <t>11</t>
  </si>
  <si>
    <t>12</t>
  </si>
  <si>
    <t>13</t>
  </si>
  <si>
    <t>14</t>
  </si>
  <si>
    <t>15</t>
  </si>
  <si>
    <t>17</t>
  </si>
  <si>
    <t>18</t>
  </si>
  <si>
    <t>22</t>
  </si>
  <si>
    <t>28</t>
  </si>
  <si>
    <t>30</t>
  </si>
  <si>
    <t>32</t>
  </si>
  <si>
    <t>34</t>
  </si>
  <si>
    <t>36</t>
  </si>
  <si>
    <t>62</t>
  </si>
  <si>
    <t>93</t>
  </si>
  <si>
    <t>94</t>
  </si>
  <si>
    <t>95</t>
  </si>
  <si>
    <t>97</t>
  </si>
  <si>
    <t>98</t>
  </si>
  <si>
    <t>99</t>
  </si>
  <si>
    <t>103</t>
  </si>
  <si>
    <t>107</t>
  </si>
  <si>
    <t>109</t>
  </si>
  <si>
    <t>110</t>
  </si>
  <si>
    <t>111</t>
  </si>
  <si>
    <t>113</t>
  </si>
  <si>
    <t>116</t>
  </si>
  <si>
    <t>120</t>
  </si>
  <si>
    <t>122</t>
  </si>
  <si>
    <t>126</t>
  </si>
  <si>
    <t>130</t>
  </si>
  <si>
    <t>131</t>
  </si>
  <si>
    <t>136</t>
  </si>
  <si>
    <t>204</t>
  </si>
  <si>
    <t>211</t>
  </si>
  <si>
    <t>212</t>
  </si>
  <si>
    <t>213</t>
  </si>
  <si>
    <t>214</t>
  </si>
  <si>
    <t>215</t>
  </si>
  <si>
    <t>216</t>
  </si>
  <si>
    <t>217</t>
  </si>
  <si>
    <t>218</t>
  </si>
  <si>
    <t>220</t>
  </si>
  <si>
    <t>223</t>
  </si>
  <si>
    <t>225</t>
  </si>
  <si>
    <t>227</t>
  </si>
  <si>
    <t>229</t>
  </si>
  <si>
    <t>236</t>
  </si>
  <si>
    <t>240</t>
  </si>
  <si>
    <t>242</t>
  </si>
  <si>
    <t>244</t>
  </si>
  <si>
    <t>246</t>
  </si>
  <si>
    <t>248</t>
  </si>
  <si>
    <t>250</t>
  </si>
  <si>
    <t>251</t>
  </si>
  <si>
    <t>256</t>
  </si>
  <si>
    <t>257</t>
  </si>
  <si>
    <t>260</t>
  </si>
  <si>
    <t>264</t>
  </si>
  <si>
    <t>330</t>
  </si>
  <si>
    <t>331</t>
  </si>
  <si>
    <t>332</t>
  </si>
  <si>
    <t>333</t>
  </si>
  <si>
    <t>356</t>
  </si>
  <si>
    <t>358</t>
  </si>
  <si>
    <t>359</t>
  </si>
  <si>
    <t>360</t>
  </si>
  <si>
    <t>370</t>
  </si>
  <si>
    <t>371</t>
  </si>
  <si>
    <t>372</t>
  </si>
  <si>
    <t>528</t>
  </si>
  <si>
    <t>540</t>
  </si>
  <si>
    <t>RS TOTAL</t>
  </si>
  <si>
    <t>GS TOTAL</t>
  </si>
  <si>
    <t>LGS TOTAL</t>
  </si>
  <si>
    <t>PS TOTAL</t>
  </si>
  <si>
    <t>IGS TOTAL</t>
  </si>
  <si>
    <t>TOTAL</t>
  </si>
  <si>
    <t>GS</t>
  </si>
  <si>
    <t>Demand Charge</t>
  </si>
  <si>
    <t>IGS</t>
  </si>
  <si>
    <t>PS</t>
  </si>
  <si>
    <t>Annualized 12M</t>
  </si>
  <si>
    <t>RESIDENTIAL SERVICE (011, 012, 013, 014, 015, 017, 022, 062)</t>
  </si>
  <si>
    <t>Billed kWh</t>
  </si>
  <si>
    <t>Storage Water Heating</t>
  </si>
  <si>
    <t>Summer On-Peak</t>
  </si>
  <si>
    <t>Winter On-Peak</t>
  </si>
  <si>
    <t>Off-Peak</t>
  </si>
  <si>
    <t>On-peak kWh</t>
  </si>
  <si>
    <t>Off-peak kWh</t>
  </si>
  <si>
    <t>Customer Count</t>
  </si>
  <si>
    <t>Anualized Customer</t>
  </si>
  <si>
    <t>Rev</t>
  </si>
  <si>
    <t>TOTAL - Excluding OL and SL</t>
  </si>
  <si>
    <t>Test Year</t>
  </si>
  <si>
    <t>Unbilled Base Rates</t>
  </si>
  <si>
    <t>Rate Change</t>
  </si>
  <si>
    <t>Customer %</t>
  </si>
  <si>
    <t>Base Revenues Adjustments</t>
  </si>
  <si>
    <t>Adjusted Base</t>
  </si>
  <si>
    <t>Unbilled Test Year Revenues</t>
  </si>
  <si>
    <t xml:space="preserve">Surcharge </t>
  </si>
  <si>
    <t>Excluding FGD</t>
  </si>
  <si>
    <t>RESIDENTIAL TIME-OF-DAY SERVICE (036)</t>
  </si>
  <si>
    <t xml:space="preserve">  400 watts, 40,000 Lumens (136)</t>
  </si>
  <si>
    <t xml:space="preserve">  250 watts, 19,000 Lumens (130)</t>
  </si>
  <si>
    <t xml:space="preserve">  250 watts, 28,000 Lumens (103)</t>
  </si>
  <si>
    <t xml:space="preserve">  400 watts, 50,000 Lumens (126)</t>
  </si>
  <si>
    <t>Unit Adjustments</t>
  </si>
  <si>
    <t>(12)</t>
  </si>
  <si>
    <t>Pro Forma</t>
  </si>
  <si>
    <t>GENERAL SERVICE - SECONDARY (211, 212, 215, 216, 218)</t>
  </si>
  <si>
    <t>GENERAL SERVICE - ATHLETIC FIELDS (214)</t>
  </si>
  <si>
    <t>GENERAL SERVICE LOAD MANAGEMENT TIME-OF-DAY (223,225)</t>
  </si>
  <si>
    <t>GENERAL SERVICE - PRIMARY (217,220)</t>
  </si>
  <si>
    <t>GENERAL SERVICE - SUBTRAN 236</t>
  </si>
  <si>
    <t>INDUSTRIAL GENERAL SERVICE - PRIMARY (330, 358, 370)</t>
  </si>
  <si>
    <t>INDUSTRIAL GENERAL SERVICE - SUBTRANSMISSION (331, 333, 359, 371)</t>
  </si>
  <si>
    <t>INDUSTRIAL GENERAL SERVICE - TRANSMISSION (332, 360, 372)</t>
  </si>
  <si>
    <t>Billing Analysis</t>
  </si>
  <si>
    <t>Book2Bill</t>
  </si>
  <si>
    <t>a</t>
  </si>
  <si>
    <t>b</t>
  </si>
  <si>
    <t>c=b-a</t>
  </si>
  <si>
    <t>total Riders</t>
  </si>
  <si>
    <t>Remove</t>
  </si>
  <si>
    <t>accounting</t>
  </si>
  <si>
    <t>billing analysis</t>
  </si>
  <si>
    <t xml:space="preserve">Book To Bill </t>
  </si>
  <si>
    <t>base fuel</t>
  </si>
  <si>
    <t>FAC</t>
  </si>
  <si>
    <t>Base Fuel</t>
  </si>
  <si>
    <t>Total Lamps</t>
  </si>
  <si>
    <t>Total kWh</t>
  </si>
  <si>
    <t>Avg kWh</t>
  </si>
  <si>
    <t>Income Statement</t>
  </si>
  <si>
    <t>increase firm sales</t>
  </si>
  <si>
    <t>Ties</t>
  </si>
  <si>
    <t>Total Firm Sales</t>
  </si>
  <si>
    <t>SSC deferral</t>
  </si>
  <si>
    <t>CC Deferral</t>
  </si>
  <si>
    <t>Included in SSC Adjustment</t>
  </si>
  <si>
    <t>Included in CC adjustment</t>
  </si>
  <si>
    <t>Billing analysis</t>
  </si>
  <si>
    <t>Book to bill adj</t>
  </si>
  <si>
    <t>new TY FS total</t>
  </si>
  <si>
    <t>Rates</t>
  </si>
  <si>
    <t>Service Charge</t>
  </si>
  <si>
    <t>kW Demand</t>
  </si>
  <si>
    <t>Reactive Demand</t>
  </si>
  <si>
    <t>Lamp Charge</t>
  </si>
  <si>
    <t>RESIDENTIAL SERVICE (011, 012, 013, 014, 015, 017, 022, 054)</t>
  </si>
  <si>
    <t>on peak</t>
  </si>
  <si>
    <t>off peak</t>
  </si>
  <si>
    <t>Sep Meter Charge</t>
  </si>
  <si>
    <t>SMALL GENERAL SERVICE TIME-OF-DAY (227)</t>
  </si>
  <si>
    <t xml:space="preserve">  On-Peak - Summer</t>
  </si>
  <si>
    <t xml:space="preserve">  On-Peak - Winter</t>
  </si>
  <si>
    <t>GENERAL SERVICE - SECONDARY (215, 216, 218)</t>
  </si>
  <si>
    <t xml:space="preserve">  First 4,450 kWh</t>
  </si>
  <si>
    <t xml:space="preserve">  Over 4,450 kWh</t>
  </si>
  <si>
    <t xml:space="preserve"> GENERAL SERVICE - RECREATIONAL LIGHTING (214)</t>
  </si>
  <si>
    <t xml:space="preserve"> GENERAL SERVICE - NON METERED (204, 213)</t>
  </si>
  <si>
    <t xml:space="preserve"> GENERAL SERVICE - PRIMARY (217, 220)</t>
  </si>
  <si>
    <t>LARGE GENERAL SERVICE SECONDARY TIME-OF-DAY (256)</t>
  </si>
  <si>
    <t>LARGE GENERAL SERVICE  TIME-OF-DAY Primary</t>
  </si>
  <si>
    <t>LARGE GENERAL SERVICE  TIME-OF-DAY Sub</t>
  </si>
  <si>
    <t>LARGE GENERAL SERVICE  TIME-OF-DAY Tran</t>
  </si>
  <si>
    <t>Public Schools Sec (260)</t>
  </si>
  <si>
    <t>Public Schools Pri (264)</t>
  </si>
  <si>
    <t>Minimum</t>
  </si>
  <si>
    <t>High Pressure Sodium - PT - UG Circuit</t>
  </si>
  <si>
    <t>Mercury Vapor - PT - UG Circuit</t>
  </si>
  <si>
    <t>High Pressure Sodium - Shoebox with Decorative Pole</t>
  </si>
  <si>
    <t xml:space="preserve">  100 watts, 9,500 Lumens (121)</t>
  </si>
  <si>
    <t>High Pressure Sodium - Floodlight, existing pole</t>
  </si>
  <si>
    <t>Metal Halide - Floodlight, existing pole</t>
  </si>
  <si>
    <t>Metal Halide - Mongoose Light, existing pole</t>
  </si>
  <si>
    <t xml:space="preserve">  250 watts, 20,500 Lumens (130)</t>
  </si>
  <si>
    <t xml:space="preserve">  400 watts, 36,000 Lumens (136)</t>
  </si>
  <si>
    <t>B&amp;A TY</t>
  </si>
  <si>
    <t>winter tail block</t>
  </si>
  <si>
    <t xml:space="preserve"> GENERAL SERVICE LOAD MANAGEMENT TIME-OF-DAY (223, 225)</t>
  </si>
  <si>
    <t>GENERAL SERVICE - SUBTRANSMISSION (236)</t>
  </si>
  <si>
    <t>LARGE GENERAL SERVICE LOAD MANAGEMENT TIME-OF-DAY SEC (251)</t>
  </si>
  <si>
    <t>NA</t>
  </si>
  <si>
    <t>Proposed Total Net  Increase</t>
  </si>
  <si>
    <t>Proposed           Revenue</t>
  </si>
  <si>
    <t>c</t>
  </si>
  <si>
    <t>* TOD tariffs have been included in the major class they belong to</t>
  </si>
  <si>
    <t>RS*</t>
  </si>
  <si>
    <t>GS*</t>
  </si>
  <si>
    <t>LGS*</t>
  </si>
  <si>
    <t>On-Peak Billing kW</t>
  </si>
  <si>
    <t>Outdoor Lighting - Light Emitting Diode (LED)</t>
  </si>
  <si>
    <t>Residential Demand</t>
  </si>
  <si>
    <t>On Peak Energy Charge</t>
  </si>
  <si>
    <t>Off Peak Energy Charge</t>
  </si>
  <si>
    <t xml:space="preserve">On-Peak Demand Charge </t>
  </si>
  <si>
    <t>Residential TOD 2</t>
  </si>
  <si>
    <t>Customer Charge - TOD</t>
  </si>
  <si>
    <t>Summer</t>
  </si>
  <si>
    <t xml:space="preserve">Winter </t>
  </si>
  <si>
    <t>Other</t>
  </si>
  <si>
    <t>Alternate Feed Service</t>
  </si>
  <si>
    <t>AFS Demand Charge (Primary AFS)</t>
  </si>
  <si>
    <t>AFS Transfer Switch Test Charge (monthly)</t>
  </si>
  <si>
    <t>check</t>
  </si>
  <si>
    <t xml:space="preserve"> Base Revenue</t>
  </si>
  <si>
    <t>Total Transmission Level</t>
  </si>
  <si>
    <t xml:space="preserve">Adjusted </t>
  </si>
  <si>
    <t>150</t>
  </si>
  <si>
    <t>151</t>
  </si>
  <si>
    <t>152</t>
  </si>
  <si>
    <t>153</t>
  </si>
  <si>
    <t>160</t>
  </si>
  <si>
    <t>165</t>
  </si>
  <si>
    <t>166</t>
  </si>
  <si>
    <t>175</t>
  </si>
  <si>
    <t>201</t>
  </si>
  <si>
    <t>TEST YEAR ENDED MARCH 31, 2023</t>
  </si>
  <si>
    <t>Apr-Mar</t>
  </si>
  <si>
    <t>12M Mar 2023</t>
  </si>
  <si>
    <t>Apr - Mar</t>
  </si>
  <si>
    <t>OUTDOOR LIGHTING (093, 094, 095, 097, 098, 099, 103, 107, 109, 110, 111, 113, 116, 120, 122, 126, 131, 136, 150, 151, 152, 153, 160, 165, 166, 175, 201)</t>
  </si>
  <si>
    <t>LED</t>
  </si>
  <si>
    <t>4,300-6,300 Lumens (160)</t>
  </si>
  <si>
    <t>19,500-21,500 Lumens (165)</t>
  </si>
  <si>
    <t>36,500-38,500 Lumens (166)</t>
  </si>
  <si>
    <t>LED - 7,900-9,900 Lumens</t>
  </si>
  <si>
    <t>LED - 10,500-12,500 Lumens</t>
  </si>
  <si>
    <t>LED - 24,000-26,000 Lumens</t>
  </si>
  <si>
    <t>Post Top 4,300-6,300 Lumens</t>
  </si>
  <si>
    <t>Post Top 7,300-9,300 Lumens</t>
  </si>
  <si>
    <t>Flood 19,500-21,500 Lumens</t>
  </si>
  <si>
    <t>HEAP/REA</t>
  </si>
  <si>
    <t>011 RSW-LMWH</t>
  </si>
  <si>
    <t>012 RSW-A</t>
  </si>
  <si>
    <t>013 RSW-B</t>
  </si>
  <si>
    <t>RSW-C</t>
  </si>
  <si>
    <t>015 RS</t>
  </si>
  <si>
    <t>017 RS EMP</t>
  </si>
  <si>
    <t>022 RSW-RS</t>
  </si>
  <si>
    <t>028 AORH-W ON</t>
  </si>
  <si>
    <t>030 RSW-ONPK</t>
  </si>
  <si>
    <t>032 RS LM-ON</t>
  </si>
  <si>
    <t>034 AORH-ON</t>
  </si>
  <si>
    <t>036 RS TOD</t>
  </si>
  <si>
    <t>211 SGS</t>
  </si>
  <si>
    <t>GSTOD ON</t>
  </si>
  <si>
    <t>EXPGSTOD</t>
  </si>
  <si>
    <t>GS-MTRD</t>
  </si>
  <si>
    <t>GS-UMR</t>
  </si>
  <si>
    <t>214 GS - AF</t>
  </si>
  <si>
    <t>215 GS SEC</t>
  </si>
  <si>
    <t>218 GS M SEC</t>
  </si>
  <si>
    <t>223 GS LM ON</t>
  </si>
  <si>
    <t>229 GS-TOD</t>
  </si>
  <si>
    <t>217 GS PRI</t>
  </si>
  <si>
    <t>220 GSCC PRI</t>
  </si>
  <si>
    <t>236 GSCC-Sub</t>
  </si>
  <si>
    <t>240 LGS SEC</t>
  </si>
  <si>
    <t>242 LGS M SEC</t>
  </si>
  <si>
    <t>251 LGS-LM-TD</t>
  </si>
  <si>
    <t>256 LGSSECTOD</t>
  </si>
  <si>
    <t>LGSPRITOD</t>
  </si>
  <si>
    <t>244 LGS PRI</t>
  </si>
  <si>
    <t>246 LGS M PRI</t>
  </si>
  <si>
    <t>248 LGS Sub</t>
  </si>
  <si>
    <t>250 LGS Tran</t>
  </si>
  <si>
    <t>260 PS SEC</t>
  </si>
  <si>
    <t>264 PS PRI</t>
  </si>
  <si>
    <t>CS-IRP PR</t>
  </si>
  <si>
    <t>CS-IRP ST</t>
  </si>
  <si>
    <t>CS-IRP TR</t>
  </si>
  <si>
    <t>356 IGS SEC</t>
  </si>
  <si>
    <t>IGS PRI</t>
  </si>
  <si>
    <t>IGS SUB</t>
  </si>
  <si>
    <t>360 IGS</t>
  </si>
  <si>
    <t>372 IGS</t>
  </si>
  <si>
    <t>540 MW</t>
  </si>
  <si>
    <t>OL 175 MV</t>
  </si>
  <si>
    <t>OL 100 HP</t>
  </si>
  <si>
    <t>OL 400 MV</t>
  </si>
  <si>
    <t>OL 200 HP</t>
  </si>
  <si>
    <t>OL 400 HP</t>
  </si>
  <si>
    <t>OL175 MVP</t>
  </si>
  <si>
    <t>OL 250 HP</t>
  </si>
  <si>
    <t>OL 200HPF</t>
  </si>
  <si>
    <t>OL400 HPF</t>
  </si>
  <si>
    <t>OL 250 MH</t>
  </si>
  <si>
    <t>OL100 HPP</t>
  </si>
  <si>
    <t>OL 150 HP</t>
  </si>
  <si>
    <t>OL 400 MH</t>
  </si>
  <si>
    <t>OL 250HPP</t>
  </si>
  <si>
    <t>OL150 HPP</t>
  </si>
  <si>
    <t>OL 400HPP</t>
  </si>
  <si>
    <t>OL 250MON</t>
  </si>
  <si>
    <t>OL 1000MH</t>
  </si>
  <si>
    <t>OL 400MON</t>
  </si>
  <si>
    <t>55W</t>
  </si>
  <si>
    <t>100WLEDOL</t>
  </si>
  <si>
    <t>175WLEDOL</t>
  </si>
  <si>
    <t>300WLEDOL</t>
  </si>
  <si>
    <t>65W LEDOL</t>
  </si>
  <si>
    <t>297WLEDOL</t>
  </si>
  <si>
    <t>FLEXOLOPT</t>
  </si>
  <si>
    <t>528 SL</t>
  </si>
  <si>
    <t>tariff</t>
  </si>
  <si>
    <t>desc</t>
  </si>
  <si>
    <t>revenue</t>
  </si>
  <si>
    <t xml:space="preserve">RSW-LMWH </t>
  </si>
  <si>
    <t xml:space="preserve">RSW-A    </t>
  </si>
  <si>
    <t xml:space="preserve">RSW-B    </t>
  </si>
  <si>
    <t xml:space="preserve">RSW-C    </t>
  </si>
  <si>
    <t xml:space="preserve">RS       </t>
  </si>
  <si>
    <t xml:space="preserve">RS EMP   </t>
  </si>
  <si>
    <t xml:space="preserve">RSW-RS   </t>
  </si>
  <si>
    <t>AORH-W ON</t>
  </si>
  <si>
    <t xml:space="preserve">RSW-ONPK </t>
  </si>
  <si>
    <t xml:space="preserve">RS LM-ON </t>
  </si>
  <si>
    <t xml:space="preserve">AORH-ON  </t>
  </si>
  <si>
    <t>RS-TOD-ON</t>
  </si>
  <si>
    <t>55W LEDOL</t>
  </si>
  <si>
    <t>64W LEDOL</t>
  </si>
  <si>
    <t>146WLEDOL</t>
  </si>
  <si>
    <t xml:space="preserve">GS-MTRD  </t>
  </si>
  <si>
    <t xml:space="preserve">GS SEC   </t>
  </si>
  <si>
    <t xml:space="preserve">GS-SEC M </t>
  </si>
  <si>
    <t xml:space="preserve">GS-UMR   </t>
  </si>
  <si>
    <t xml:space="preserve">GS - AF  </t>
  </si>
  <si>
    <t xml:space="preserve">GS PRI   </t>
  </si>
  <si>
    <t xml:space="preserve">GS M SEC </t>
  </si>
  <si>
    <t xml:space="preserve">GSCC PRI </t>
  </si>
  <si>
    <t xml:space="preserve">GS LM ON </t>
  </si>
  <si>
    <t>GS LM TOD</t>
  </si>
  <si>
    <t>EXP GSTOD</t>
  </si>
  <si>
    <t xml:space="preserve">GS-TOD   </t>
  </si>
  <si>
    <t xml:space="preserve">GSCC SUB </t>
  </si>
  <si>
    <t xml:space="preserve">LGS SEC  </t>
  </si>
  <si>
    <t>LGS M SEC</t>
  </si>
  <si>
    <t xml:space="preserve">LGS PRI  </t>
  </si>
  <si>
    <t>LGS M PRI</t>
  </si>
  <si>
    <t xml:space="preserve">LGS SUB  </t>
  </si>
  <si>
    <t>LGS-LM-TD</t>
  </si>
  <si>
    <t>LGSSECTOD</t>
  </si>
  <si>
    <t xml:space="preserve">PS SEC   </t>
  </si>
  <si>
    <t xml:space="preserve">PS PRI   </t>
  </si>
  <si>
    <t xml:space="preserve">CS-IRP   </t>
  </si>
  <si>
    <t xml:space="preserve">IGS SEC  </t>
  </si>
  <si>
    <t xml:space="preserve">IGS PRI  </t>
  </si>
  <si>
    <t xml:space="preserve">IGS SUB  </t>
  </si>
  <si>
    <t xml:space="preserve">IGS      </t>
  </si>
  <si>
    <t xml:space="preserve">SL       </t>
  </si>
  <si>
    <t xml:space="preserve">MW       </t>
  </si>
  <si>
    <t xml:space="preserve">B+E </t>
  </si>
  <si>
    <t>162</t>
  </si>
  <si>
    <t>Total Unbilled</t>
  </si>
  <si>
    <t xml:space="preserve">11 RSW-LMWH </t>
  </si>
  <si>
    <t xml:space="preserve">12 RSW-A    </t>
  </si>
  <si>
    <t xml:space="preserve">13 RSW-B    </t>
  </si>
  <si>
    <t xml:space="preserve">14 RSW-C    </t>
  </si>
  <si>
    <t xml:space="preserve">15 RS       </t>
  </si>
  <si>
    <t xml:space="preserve">17 RS EMP   </t>
  </si>
  <si>
    <t xml:space="preserve">22 RSW-RS   </t>
  </si>
  <si>
    <t>28 AORH-W ON</t>
  </si>
  <si>
    <t xml:space="preserve">30 RSW-ONPK </t>
  </si>
  <si>
    <t xml:space="preserve">32 RS LM-ON </t>
  </si>
  <si>
    <t xml:space="preserve">34 AORH-ON  </t>
  </si>
  <si>
    <t>36 RS-TOD-ON</t>
  </si>
  <si>
    <t>93 OL 175 MV</t>
  </si>
  <si>
    <t>94 OL 100 HP</t>
  </si>
  <si>
    <t>95 OL 400 MV</t>
  </si>
  <si>
    <t>97 OL 200 HP</t>
  </si>
  <si>
    <t>98 OL 400 HP</t>
  </si>
  <si>
    <t>99 OL175 MVP</t>
  </si>
  <si>
    <t>103 OL 250 HP</t>
  </si>
  <si>
    <t>107 OL 200HPF</t>
  </si>
  <si>
    <t>109 OL400 HPF</t>
  </si>
  <si>
    <t>110 OL 250 MH</t>
  </si>
  <si>
    <t>111 OL100 HPP</t>
  </si>
  <si>
    <t>113 OL 150 HP</t>
  </si>
  <si>
    <t>116 OL 400 MH</t>
  </si>
  <si>
    <t>120 OL 250HPP</t>
  </si>
  <si>
    <t>122 OL150 HPP</t>
  </si>
  <si>
    <t>126 OL 400HPP</t>
  </si>
  <si>
    <t>130 OL 250MON</t>
  </si>
  <si>
    <t>131 OL 1000MH</t>
  </si>
  <si>
    <t>136 OL 400MON</t>
  </si>
  <si>
    <t>150 55W LEDOL</t>
  </si>
  <si>
    <t>151 100WLEDOL</t>
  </si>
  <si>
    <t>152 175WLEDOL</t>
  </si>
  <si>
    <t>153 300WLEDOL</t>
  </si>
  <si>
    <t>160 64W LEDOL</t>
  </si>
  <si>
    <t>165 146WLEDOL</t>
  </si>
  <si>
    <t>166 297WLEDOL</t>
  </si>
  <si>
    <t>201 FLEXOLOPT</t>
  </si>
  <si>
    <t xml:space="preserve">204 GS-MTRD  </t>
  </si>
  <si>
    <t xml:space="preserve">211 GS SEC   </t>
  </si>
  <si>
    <t xml:space="preserve">212 GS-SEC M </t>
  </si>
  <si>
    <t xml:space="preserve">213 GS-UMR   </t>
  </si>
  <si>
    <t xml:space="preserve">214 GS - AF  </t>
  </si>
  <si>
    <t xml:space="preserve">215 GS SEC   </t>
  </si>
  <si>
    <t xml:space="preserve">217 GS PRI   </t>
  </si>
  <si>
    <t xml:space="preserve">218 GS M SEC </t>
  </si>
  <si>
    <t xml:space="preserve">220 GSCC PRI </t>
  </si>
  <si>
    <t xml:space="preserve">223 GS LM ON </t>
  </si>
  <si>
    <t>225 GS LM TOD</t>
  </si>
  <si>
    <t>227 EXP GSTOD</t>
  </si>
  <si>
    <t xml:space="preserve">229 GS-TOD   </t>
  </si>
  <si>
    <t xml:space="preserve">236 GSCC SUB </t>
  </si>
  <si>
    <t xml:space="preserve">240 LGS SEC  </t>
  </si>
  <si>
    <t xml:space="preserve">244 LGS PRI  </t>
  </si>
  <si>
    <t xml:space="preserve">248 LGS SUB  </t>
  </si>
  <si>
    <t>257 LGSPRITOD</t>
  </si>
  <si>
    <t xml:space="preserve">260 PS SEC   </t>
  </si>
  <si>
    <t xml:space="preserve">264 PS PRI   </t>
  </si>
  <si>
    <t>330 CS-IRP PR</t>
  </si>
  <si>
    <t>331 CS-IRP ST</t>
  </si>
  <si>
    <t>332 CS-IRP TR</t>
  </si>
  <si>
    <t xml:space="preserve">333 CS-IRP   </t>
  </si>
  <si>
    <t xml:space="preserve">356 IGS SEC  </t>
  </si>
  <si>
    <t xml:space="preserve">358 IGS PRI  </t>
  </si>
  <si>
    <t xml:space="preserve">359 IGS SUB  </t>
  </si>
  <si>
    <t xml:space="preserve">360 IGS      </t>
  </si>
  <si>
    <t xml:space="preserve">370 IGS      </t>
  </si>
  <si>
    <t xml:space="preserve">371 IGS      </t>
  </si>
  <si>
    <t xml:space="preserve">372 IGS      </t>
  </si>
  <si>
    <t xml:space="preserve">528 SL       </t>
  </si>
  <si>
    <t xml:space="preserve">540 MW       </t>
  </si>
  <si>
    <t>Billed Rider Totals</t>
  </si>
  <si>
    <t>Billed Rider</t>
  </si>
  <si>
    <t>GS Billing Demand - All kW including in excess of 10 kW</t>
  </si>
  <si>
    <t>GS Sec</t>
  </si>
  <si>
    <t>GS Pri</t>
  </si>
  <si>
    <t>GS Sub</t>
  </si>
  <si>
    <t>Special Contract Billing</t>
  </si>
  <si>
    <t>EDR Credit</t>
  </si>
  <si>
    <t xml:space="preserve">B&amp;A </t>
  </si>
  <si>
    <t>Total Revenue</t>
  </si>
  <si>
    <t>B&amp;A Revenue</t>
  </si>
  <si>
    <t>% Riders</t>
  </si>
  <si>
    <t>DRS Credit</t>
  </si>
  <si>
    <t>6,000-8,500 Lumens (150,151,152,153)</t>
  </si>
  <si>
    <t>201 Flex</t>
  </si>
  <si>
    <t>over 4450</t>
  </si>
  <si>
    <t>first 4450</t>
  </si>
  <si>
    <t>GS NM</t>
  </si>
  <si>
    <t>Test Year Fuel</t>
  </si>
  <si>
    <t>Energy per Lamp</t>
  </si>
  <si>
    <t>Annual Energy</t>
  </si>
  <si>
    <t>Energy</t>
  </si>
  <si>
    <t>Test Year Energy</t>
  </si>
  <si>
    <t>B+E Energy</t>
  </si>
  <si>
    <t>Other Rates</t>
  </si>
  <si>
    <t>SL LED</t>
  </si>
  <si>
    <t>PPA</t>
  </si>
  <si>
    <t>PER BOOKS PPA</t>
  </si>
  <si>
    <t>New Rate</t>
  </si>
  <si>
    <t>RS Seasonal</t>
  </si>
  <si>
    <t>Winter</t>
  </si>
  <si>
    <t>All Other</t>
  </si>
  <si>
    <t>REA Increase</t>
  </si>
  <si>
    <t>Targets</t>
  </si>
  <si>
    <t>CCOS</t>
  </si>
  <si>
    <t>Rate Design</t>
  </si>
  <si>
    <t>Verification</t>
  </si>
  <si>
    <t>Tie-Out</t>
  </si>
  <si>
    <t>COGEN/SPP I</t>
  </si>
  <si>
    <t>Electric Rate Class</t>
  </si>
  <si>
    <t>Residential Service</t>
  </si>
  <si>
    <t xml:space="preserve">Residential Load Management Time-of-Day </t>
  </si>
  <si>
    <t>Residential Service Time-of-Day</t>
  </si>
  <si>
    <t>Experimental Residential Service Time-of-Day</t>
  </si>
  <si>
    <t>Residential Demand-Meter Electric Service</t>
  </si>
  <si>
    <t>General Service</t>
  </si>
  <si>
    <t>Industrial Service</t>
  </si>
  <si>
    <t>NMS</t>
  </si>
  <si>
    <t>NMS II - Residential</t>
  </si>
  <si>
    <t>NMS II - Non-Residential</t>
  </si>
  <si>
    <t>Outdoor Lighting</t>
  </si>
  <si>
    <t>Street Lighting</t>
  </si>
  <si>
    <t>Pole Attachments</t>
  </si>
  <si>
    <t>Industrial General Service</t>
  </si>
  <si>
    <t>Recreational Lighting Service</t>
  </si>
  <si>
    <t>Load Management TOD</t>
  </si>
  <si>
    <t>Small General Service TOD</t>
  </si>
  <si>
    <t>Medium General Service TOD</t>
  </si>
  <si>
    <t>Large General Service</t>
  </si>
  <si>
    <t>Large General Service TOD</t>
  </si>
  <si>
    <t>L.G.S. Load Management TOD</t>
  </si>
  <si>
    <t>Usage</t>
  </si>
  <si>
    <t>(kWh)</t>
  </si>
  <si>
    <t>Annual</t>
  </si>
  <si>
    <t>$</t>
  </si>
  <si>
    <t>Bill$</t>
  </si>
  <si>
    <t>Bill%</t>
  </si>
  <si>
    <t># of Customers</t>
  </si>
  <si>
    <t>kW</t>
  </si>
  <si>
    <t>Demand (kW)</t>
  </si>
  <si>
    <t>Present</t>
  </si>
  <si>
    <t>Billing</t>
  </si>
  <si>
    <t>For newspaper table 1</t>
  </si>
  <si>
    <t>Unmetered Service</t>
  </si>
  <si>
    <t>d = b+c</t>
  </si>
  <si>
    <t>e = a+d</t>
  </si>
  <si>
    <t>f = d/a</t>
  </si>
  <si>
    <t>** Test Year Billing Analysis Revenue</t>
  </si>
  <si>
    <t>***Proposed rate billing analysis, differs from proposed increase by revenue verification (rounding) differences</t>
  </si>
  <si>
    <t>Current  Test Year Revenue**</t>
  </si>
  <si>
    <t>General Base Rate Increase***</t>
  </si>
  <si>
    <t>Decrease 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</si>
</sst>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_);\(#,##0.000\)"/>
    <numFmt numFmtId="165" formatCode="0.00000"/>
    <numFmt numFmtId="166" formatCode="&quot;$&quot;#,##0.00000"/>
    <numFmt numFmtId="167" formatCode="&quot;$&quot;#,##0.00"/>
    <numFmt numFmtId="168" formatCode="_(* #,##0_);_(* \(#,##0\);_(* &quot;-&quot;??_);_(@_)"/>
    <numFmt numFmtId="169" formatCode="&quot;$&quot;#,##0.00000_);\(&quot;$&quot;#,##0.00000\)"/>
    <numFmt numFmtId="170" formatCode="&quot;$&quot;#,##0.0000000_);\(&quot;$&quot;#,##0.0000000\)"/>
    <numFmt numFmtId="171" formatCode="&quot;$&quot;#,##0"/>
    <numFmt numFmtId="172" formatCode="_(&quot;$&quot;* #,##0_);_(&quot;$&quot;* \(#,##0\);_(&quot;$&quot;* &quot;-&quot;??_);_(@_)"/>
    <numFmt numFmtId="173" formatCode="#,##0.00000"/>
    <numFmt numFmtId="174" formatCode="#,##0.0_);\(#,##0.0\)"/>
    <numFmt numFmtId="175" formatCode="_(&quot;$&quot;* #,##0.00000_);_(&quot;$&quot;* \(#,##0.00000\);_(&quot;$&quot;* &quot;-&quot;??_);_(@_)"/>
    <numFmt numFmtId="176" formatCode="_(* #,##0.00000_);_(* \(#,##0.00000\);_(* &quot;-&quot;??_);_(@_)"/>
    <numFmt numFmtId="177" formatCode="0.00000%"/>
    <numFmt numFmtId="178" formatCode="_(* #,##0.0000_);_(* \(#,##0.0000\);_(* &quot;-&quot;??_);_(@_)"/>
    <numFmt numFmtId="179" formatCode="_(* #,##0.0000000_);_(* \(#,##0.0000000\);_(* &quot;-&quot;??_);_(@_)"/>
    <numFmt numFmtId="180" formatCode="0.0"/>
    <numFmt numFmtId="181" formatCode="_(&quot;$&quot;* #,##0.0_);_(&quot;$&quot;* \(#,##0.0\);_(&quot;$&quot;* &quot;-&quot;??_);_(@_)"/>
    <numFmt numFmtId="182" formatCode="#,##0.000000000_);\(#,##0.000000000\)"/>
    <numFmt numFmtId="183" formatCode="0.000%"/>
    <numFmt numFmtId="184" formatCode="_(&quot;$&quot;* #,##0.000000_);_(&quot;$&quot;* \(#,##0.000000\);_(&quot;$&quot;* &quot;-&quot;??_);_(@_)"/>
    <numFmt numFmtId="185" formatCode="0.0%"/>
    <numFmt numFmtId="186" formatCode="0.0000"/>
    <numFmt numFmtId="187" formatCode="0.0000%"/>
    <numFmt numFmtId="188" formatCode="0.000000%"/>
    <numFmt numFmtId="189" formatCode="_(* #,##0.0_);_(* \(#,##0.0\);&quot;&quot;;_(@_)"/>
    <numFmt numFmtId="190" formatCode="[Blue]#,##0,_);[Red]\(#,##0,\)"/>
  </numFmts>
  <fonts count="1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name val="Arial"/>
      <family val="2"/>
    </font>
    <font>
      <sz val="10"/>
      <name val="Arial"/>
      <family val="2"/>
    </font>
    <font>
      <sz val="10"/>
      <color theme="3"/>
      <name val="Arial"/>
      <family val="2"/>
    </font>
    <font>
      <sz val="9"/>
      <color indexed="81"/>
      <name val="Tahoma"/>
      <family val="2"/>
    </font>
    <font>
      <b/>
      <sz val="9"/>
      <color indexed="81"/>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b/>
      <sz val="11"/>
      <color indexed="63"/>
      <name val="Calibri"/>
      <family val="2"/>
    </font>
    <font>
      <sz val="10"/>
      <name val="MS Sans Serif"/>
      <family val="2"/>
    </font>
    <font>
      <b/>
      <sz val="18"/>
      <color indexed="56"/>
      <name val="Cambria"/>
      <family val="2"/>
    </font>
    <font>
      <b/>
      <sz val="11"/>
      <color indexed="8"/>
      <name val="Calibri"/>
      <family val="2"/>
    </font>
    <font>
      <sz val="11"/>
      <color indexed="10"/>
      <name val="Calibri"/>
      <family val="2"/>
    </font>
    <font>
      <b/>
      <sz val="10"/>
      <name val="MS Sans Serif"/>
      <family val="2"/>
    </font>
    <font>
      <sz val="10"/>
      <name val="MS Sans Serif"/>
      <family val="2"/>
    </font>
    <font>
      <sz val="10"/>
      <name val="Helv"/>
    </font>
    <font>
      <sz val="10"/>
      <name val="Arial"/>
      <family val="2"/>
    </font>
    <font>
      <sz val="8"/>
      <color theme="1"/>
      <name val="Arial"/>
      <family val="2"/>
    </font>
    <font>
      <b/>
      <sz val="8"/>
      <color theme="1"/>
      <name val="Arial"/>
      <family val="2"/>
    </font>
    <font>
      <sz val="8"/>
      <name val="Arial"/>
      <family val="2"/>
    </font>
    <font>
      <b/>
      <sz val="10"/>
      <name val="Arial"/>
      <family val="2"/>
    </font>
    <font>
      <sz val="10"/>
      <color rgb="FFFF0000"/>
      <name val="Arial"/>
      <family val="2"/>
    </font>
    <font>
      <sz val="10"/>
      <color rgb="FF0070C0"/>
      <name val="Arial"/>
      <family val="2"/>
    </font>
    <font>
      <sz val="10"/>
      <name val="Arial MT"/>
    </font>
    <font>
      <u/>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Arial"/>
      <family val="2"/>
    </font>
    <font>
      <sz val="10"/>
      <color theme="1"/>
      <name val="Arial"/>
      <family val="2"/>
    </font>
    <font>
      <u/>
      <sz val="8"/>
      <name val="Arial"/>
      <family val="2"/>
    </font>
    <font>
      <b/>
      <sz val="8"/>
      <name val="Arial"/>
      <family val="2"/>
    </font>
    <font>
      <u/>
      <sz val="8"/>
      <color theme="1"/>
      <name val="Arial"/>
      <family val="2"/>
    </font>
    <font>
      <sz val="8"/>
      <name val="Arial MT"/>
    </font>
    <font>
      <sz val="10"/>
      <color rgb="FF000000"/>
      <name val="Arial"/>
      <family val="2"/>
    </font>
    <font>
      <u/>
      <sz val="10"/>
      <color theme="1"/>
      <name val="Arial"/>
      <family val="2"/>
    </font>
    <font>
      <sz val="8"/>
      <color theme="3"/>
      <name val="Arial"/>
      <family val="2"/>
    </font>
    <font>
      <sz val="8"/>
      <color rgb="FFFF0000"/>
      <name val="Arial"/>
      <family val="2"/>
    </font>
    <font>
      <u val="singleAccounting"/>
      <sz val="8"/>
      <name val="Arial"/>
      <family val="2"/>
    </font>
    <font>
      <b/>
      <u/>
      <sz val="10"/>
      <name val="Arial"/>
      <family val="2"/>
    </font>
    <font>
      <b/>
      <sz val="14"/>
      <color rgb="FFFF0000"/>
      <name val="CG Times"/>
    </font>
    <font>
      <sz val="12"/>
      <name val="Arial"/>
      <family val="2"/>
    </font>
    <font>
      <b/>
      <sz val="8"/>
      <color rgb="FFFF0000"/>
      <name val="Arial"/>
      <family val="2"/>
    </font>
    <font>
      <b/>
      <u/>
      <sz val="8"/>
      <color theme="1"/>
      <name val="Arial"/>
      <family val="2"/>
    </font>
    <font>
      <sz val="12"/>
      <name val="CG Times"/>
    </font>
    <font>
      <sz val="10"/>
      <color indexed="10"/>
      <name val="Arial"/>
      <family val="2"/>
    </font>
    <font>
      <sz val="11"/>
      <color indexed="8"/>
      <name val="Calibri"/>
      <family val="2"/>
      <scheme val="minor"/>
    </font>
    <font>
      <sz val="10"/>
      <color indexed="8"/>
      <name val="Arial"/>
      <family val="2"/>
    </font>
    <font>
      <sz val="10"/>
      <name val="Arial Unicode MS"/>
      <family val="2"/>
    </font>
    <font>
      <sz val="10"/>
      <color indexed="8"/>
      <name val="Tahoma"/>
      <family val="2"/>
    </font>
    <font>
      <sz val="10"/>
      <color indexed="9"/>
      <name val="Arial"/>
      <family val="2"/>
    </font>
    <font>
      <sz val="10"/>
      <color indexed="9"/>
      <name val="Tahoma"/>
      <family val="2"/>
    </font>
    <font>
      <sz val="10"/>
      <color indexed="20"/>
      <name val="Arial"/>
      <family val="2"/>
    </font>
    <font>
      <sz val="10"/>
      <color indexed="20"/>
      <name val="Tahoma"/>
      <family val="2"/>
    </font>
    <font>
      <b/>
      <sz val="10"/>
      <color indexed="52"/>
      <name val="Arial"/>
      <family val="2"/>
    </font>
    <font>
      <b/>
      <sz val="10"/>
      <color indexed="52"/>
      <name val="Tahoma"/>
      <family val="2"/>
    </font>
    <font>
      <b/>
      <sz val="10"/>
      <color indexed="9"/>
      <name val="Arial"/>
      <family val="2"/>
    </font>
    <font>
      <b/>
      <sz val="10"/>
      <color indexed="9"/>
      <name val="Tahoma"/>
      <family val="2"/>
    </font>
    <font>
      <b/>
      <sz val="10"/>
      <name val="Arial Unicode MS"/>
      <family val="2"/>
    </font>
    <font>
      <i/>
      <sz val="10"/>
      <color indexed="23"/>
      <name val="Arial"/>
      <family val="2"/>
    </font>
    <font>
      <i/>
      <sz val="10"/>
      <color indexed="23"/>
      <name val="Tahoma"/>
      <family val="2"/>
    </font>
    <font>
      <sz val="10"/>
      <color indexed="17"/>
      <name val="Arial"/>
      <family val="2"/>
    </font>
    <font>
      <sz val="10"/>
      <color indexed="17"/>
      <name val="Tahoma"/>
      <family val="2"/>
    </font>
    <font>
      <b/>
      <sz val="15"/>
      <color indexed="62"/>
      <name val="Calibri"/>
      <family val="2"/>
    </font>
    <font>
      <b/>
      <sz val="15"/>
      <color indexed="62"/>
      <name val="Arial"/>
      <family val="2"/>
    </font>
    <font>
      <b/>
      <sz val="15"/>
      <color indexed="56"/>
      <name val="Tahoma"/>
      <family val="2"/>
    </font>
    <font>
      <b/>
      <sz val="15"/>
      <color indexed="56"/>
      <name val="Arial"/>
      <family val="2"/>
    </font>
    <font>
      <b/>
      <sz val="13"/>
      <color indexed="62"/>
      <name val="Calibri"/>
      <family val="2"/>
    </font>
    <font>
      <b/>
      <sz val="13"/>
      <color indexed="62"/>
      <name val="Arial"/>
      <family val="2"/>
    </font>
    <font>
      <b/>
      <sz val="13"/>
      <color indexed="56"/>
      <name val="Tahoma"/>
      <family val="2"/>
    </font>
    <font>
      <b/>
      <sz val="13"/>
      <color indexed="56"/>
      <name val="Arial"/>
      <family val="2"/>
    </font>
    <font>
      <b/>
      <sz val="11"/>
      <color indexed="62"/>
      <name val="Calibri"/>
      <family val="2"/>
    </font>
    <font>
      <b/>
      <sz val="11"/>
      <color indexed="62"/>
      <name val="Arial"/>
      <family val="2"/>
    </font>
    <font>
      <b/>
      <sz val="11"/>
      <color indexed="56"/>
      <name val="Tahoma"/>
      <family val="2"/>
    </font>
    <font>
      <b/>
      <sz val="11"/>
      <color indexed="56"/>
      <name val="Arial"/>
      <family val="2"/>
    </font>
    <font>
      <sz val="10"/>
      <color indexed="62"/>
      <name val="Arial"/>
      <family val="2"/>
    </font>
    <font>
      <sz val="10"/>
      <color indexed="62"/>
      <name val="Tahoma"/>
      <family val="2"/>
    </font>
    <font>
      <b/>
      <sz val="12"/>
      <color indexed="12"/>
      <name val="Arial"/>
      <family val="2"/>
    </font>
    <font>
      <sz val="10"/>
      <color indexed="52"/>
      <name val="Arial"/>
      <family val="2"/>
    </font>
    <font>
      <sz val="10"/>
      <color indexed="52"/>
      <name val="Tahoma"/>
      <family val="2"/>
    </font>
    <font>
      <sz val="10"/>
      <color indexed="60"/>
      <name val="Arial"/>
      <family val="2"/>
    </font>
    <font>
      <sz val="10"/>
      <color indexed="60"/>
      <name val="Tahoma"/>
      <family val="2"/>
    </font>
    <font>
      <sz val="10"/>
      <color indexed="64"/>
      <name val="Arial"/>
      <family val="2"/>
    </font>
    <font>
      <sz val="8"/>
      <color indexed="48"/>
      <name val="Arial"/>
      <family val="2"/>
    </font>
    <font>
      <b/>
      <sz val="10"/>
      <color indexed="63"/>
      <name val="Arial"/>
      <family val="2"/>
    </font>
    <font>
      <b/>
      <sz val="10"/>
      <color indexed="63"/>
      <name val="Tahoma"/>
      <family val="2"/>
    </font>
    <font>
      <b/>
      <sz val="18"/>
      <color indexed="62"/>
      <name val="Cambria"/>
      <family val="2"/>
    </font>
    <font>
      <b/>
      <sz val="10"/>
      <color indexed="8"/>
      <name val="Arial"/>
      <family val="2"/>
    </font>
    <font>
      <b/>
      <sz val="10"/>
      <color indexed="8"/>
      <name val="Tahoma"/>
      <family val="2"/>
    </font>
    <font>
      <sz val="10"/>
      <color indexed="10"/>
      <name val="Tahoma"/>
      <family val="2"/>
    </font>
    <font>
      <sz val="10"/>
      <color theme="1"/>
      <name val="Tahoma"/>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indexed="23"/>
      </patternFill>
    </fill>
    <fill>
      <patternFill patternType="solid">
        <fgColor indexed="54"/>
      </patternFill>
    </fill>
    <fill>
      <patternFill patternType="solid">
        <fgColor indexed="14"/>
      </patternFill>
    </fill>
  </fills>
  <borders count="68">
    <border>
      <left/>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theme="0"/>
      </left>
      <right/>
      <top/>
      <bottom style="thin">
        <color indexed="64"/>
      </bottom>
      <diagonal/>
    </border>
    <border>
      <left/>
      <right style="thick">
        <color theme="0"/>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top/>
      <bottom style="thick">
        <color indexed="49"/>
      </bottom>
      <diagonal/>
    </border>
    <border>
      <left/>
      <right/>
      <top/>
      <bottom style="thick">
        <color indexed="23"/>
      </bottom>
      <diagonal/>
    </border>
    <border>
      <left/>
      <right/>
      <top/>
      <bottom style="medium">
        <color indexed="49"/>
      </bottom>
      <diagonal/>
    </border>
    <border>
      <left/>
      <right/>
      <top style="thin">
        <color indexed="49"/>
      </top>
      <bottom style="double">
        <color indexed="49"/>
      </bottom>
      <diagonal/>
    </border>
  </borders>
  <cellStyleXfs count="14992">
    <xf numFmtId="0" fontId="0" fillId="0" borderId="0"/>
    <xf numFmtId="43" fontId="8" fillId="0" borderId="0" applyFont="0" applyFill="0" applyBorder="0" applyAlignment="0" applyProtection="0"/>
    <xf numFmtId="9" fontId="8"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3" applyNumberFormat="0" applyAlignment="0" applyProtection="0"/>
    <xf numFmtId="0" fontId="19" fillId="21" borderId="4"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3" applyNumberFormat="0" applyAlignment="0" applyProtection="0"/>
    <xf numFmtId="0" fontId="26" fillId="0" borderId="8" applyNumberFormat="0" applyFill="0" applyAlignment="0" applyProtection="0"/>
    <xf numFmtId="0" fontId="27" fillId="22" borderId="0" applyNumberFormat="0" applyBorder="0" applyAlignment="0" applyProtection="0"/>
    <xf numFmtId="37" fontId="2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7" fontId="28" fillId="0" borderId="0"/>
    <xf numFmtId="0" fontId="8" fillId="0" borderId="0"/>
    <xf numFmtId="0" fontId="8" fillId="0" borderId="0"/>
    <xf numFmtId="0" fontId="14" fillId="23" borderId="9" applyNumberFormat="0" applyFont="0" applyAlignment="0" applyProtection="0"/>
    <xf numFmtId="0" fontId="14" fillId="23" borderId="9" applyNumberFormat="0" applyFont="0" applyAlignment="0" applyProtection="0"/>
    <xf numFmtId="0" fontId="14" fillId="23" borderId="9" applyNumberFormat="0" applyFont="0" applyAlignment="0" applyProtection="0"/>
    <xf numFmtId="0" fontId="14" fillId="23" borderId="9" applyNumberFormat="0" applyFont="0" applyAlignment="0" applyProtection="0"/>
    <xf numFmtId="0" fontId="29" fillId="20" borderId="1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0" fillId="0" borderId="0" applyNumberFormat="0" applyFont="0" applyFill="0" applyBorder="0" applyAlignment="0" applyProtection="0">
      <alignment horizontal="left"/>
    </xf>
    <xf numFmtId="0" fontId="31" fillId="0" borderId="0" applyNumberFormat="0" applyFill="0" applyBorder="0" applyAlignment="0" applyProtection="0"/>
    <xf numFmtId="0" fontId="32" fillId="0" borderId="11" applyNumberFormat="0" applyFill="0" applyAlignment="0" applyProtection="0"/>
    <xf numFmtId="0" fontId="33"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35" fillId="0" borderId="0" applyNumberFormat="0" applyFont="0" applyFill="0" applyBorder="0" applyAlignment="0" applyProtection="0">
      <alignment horizontal="left"/>
    </xf>
    <xf numFmtId="4" fontId="35" fillId="0" borderId="0" applyFont="0" applyFill="0" applyBorder="0" applyAlignment="0" applyProtection="0"/>
    <xf numFmtId="0" fontId="34" fillId="0" borderId="2">
      <alignment horizontal="center"/>
    </xf>
    <xf numFmtId="3" fontId="35" fillId="0" borderId="0" applyFont="0" applyFill="0" applyBorder="0" applyAlignment="0" applyProtection="0"/>
    <xf numFmtId="44" fontId="8" fillId="0" borderId="0" applyFont="0" applyFill="0" applyBorder="0" applyAlignment="0" applyProtection="0"/>
    <xf numFmtId="0" fontId="35" fillId="0" borderId="0"/>
    <xf numFmtId="40" fontId="35" fillId="0" borderId="0" applyFont="0" applyFill="0" applyBorder="0" applyAlignment="0" applyProtection="0"/>
    <xf numFmtId="44" fontId="35"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5" fillId="0" borderId="0"/>
    <xf numFmtId="0" fontId="35" fillId="0" borderId="0"/>
    <xf numFmtId="0" fontId="35" fillId="0" borderId="0"/>
    <xf numFmtId="9" fontId="35" fillId="0" borderId="0" applyFont="0" applyFill="0" applyBorder="0" applyAlignment="0" applyProtection="0"/>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34" fillId="0" borderId="2">
      <alignment horizontal="center"/>
    </xf>
    <xf numFmtId="0" fontId="35" fillId="24" borderId="0" applyNumberFormat="0" applyFont="0" applyBorder="0" applyAlignment="0" applyProtection="0"/>
    <xf numFmtId="0" fontId="7"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23" borderId="9" applyNumberFormat="0" applyFont="0" applyAlignment="0" applyProtection="0"/>
    <xf numFmtId="0" fontId="14" fillId="23" borderId="9" applyNumberFormat="0" applyFont="0" applyAlignment="0" applyProtection="0"/>
    <xf numFmtId="0" fontId="14" fillId="23" borderId="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8" fontId="36" fillId="0" borderId="0" applyNumberFormat="0" applyFill="0" applyBorder="0" applyAlignment="0" applyProtection="0"/>
    <xf numFmtId="0" fontId="36" fillId="0" borderId="0" applyNumberFormat="0" applyFill="0" applyBorder="0" applyAlignment="0" applyProtection="0"/>
    <xf numFmtId="43" fontId="8" fillId="0" borderId="0" applyFont="0" applyFill="0" applyBorder="0" applyAlignment="0" applyProtection="0"/>
    <xf numFmtId="44" fontId="37" fillId="0" borderId="0" applyFont="0" applyFill="0" applyBorder="0" applyAlignment="0" applyProtection="0"/>
    <xf numFmtId="15" fontId="30" fillId="0" borderId="0" applyFont="0" applyFill="0" applyBorder="0" applyAlignment="0" applyProtection="0"/>
    <xf numFmtId="4" fontId="30" fillId="0" borderId="0" applyFont="0" applyFill="0" applyBorder="0" applyAlignment="0" applyProtection="0"/>
    <xf numFmtId="3" fontId="30" fillId="0" borderId="0" applyFont="0" applyFill="0" applyBorder="0" applyAlignment="0" applyProtection="0"/>
    <xf numFmtId="0" fontId="30" fillId="24" borderId="0" applyNumberFormat="0" applyFont="0" applyBorder="0" applyAlignment="0" applyProtection="0"/>
    <xf numFmtId="0" fontId="47"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27" borderId="0" applyNumberFormat="0" applyBorder="0" applyAlignment="0" applyProtection="0"/>
    <xf numFmtId="0" fontId="52" fillId="28" borderId="0" applyNumberFormat="0" applyBorder="0" applyAlignment="0" applyProtection="0"/>
    <xf numFmtId="0" fontId="53" fillId="29" borderId="0" applyNumberFormat="0" applyBorder="0" applyAlignment="0" applyProtection="0"/>
    <xf numFmtId="0" fontId="54" fillId="30" borderId="24" applyNumberFormat="0" applyAlignment="0" applyProtection="0"/>
    <xf numFmtId="0" fontId="55" fillId="31" borderId="25" applyNumberFormat="0" applyAlignment="0" applyProtection="0"/>
    <xf numFmtId="0" fontId="56" fillId="31" borderId="24" applyNumberFormat="0" applyAlignment="0" applyProtection="0"/>
    <xf numFmtId="0" fontId="57" fillId="0" borderId="26" applyNumberFormat="0" applyFill="0" applyAlignment="0" applyProtection="0"/>
    <xf numFmtId="0" fontId="58" fillId="32" borderId="2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2" fillId="57" borderId="0" applyNumberFormat="0" applyBorder="0" applyAlignment="0" applyProtection="0"/>
    <xf numFmtId="0" fontId="6" fillId="0" borderId="0"/>
    <xf numFmtId="0" fontId="6" fillId="33" borderId="28" applyNumberFormat="0" applyFont="0" applyAlignment="0" applyProtection="0"/>
    <xf numFmtId="0" fontId="46" fillId="0" borderId="0"/>
    <xf numFmtId="44" fontId="6" fillId="0" borderId="0" applyFont="0" applyFill="0" applyBorder="0" applyAlignment="0" applyProtection="0"/>
    <xf numFmtId="0" fontId="5" fillId="0" borderId="0"/>
    <xf numFmtId="0" fontId="5" fillId="33" borderId="28" applyNumberFormat="0" applyFont="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37"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7" fontId="28" fillId="0" borderId="0"/>
    <xf numFmtId="0" fontId="8" fillId="23" borderId="9" applyNumberFormat="0" applyFont="0" applyAlignment="0" applyProtection="0"/>
    <xf numFmtId="0" fontId="8" fillId="23" borderId="9" applyNumberFormat="0" applyFont="0" applyAlignment="0" applyProtection="0"/>
    <xf numFmtId="0" fontId="8" fillId="23" borderId="9" applyNumberFormat="0" applyFont="0" applyAlignment="0" applyProtection="0"/>
    <xf numFmtId="0" fontId="8" fillId="23" borderId="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43" fontId="5" fillId="0" borderId="0" applyFont="0" applyFill="0" applyBorder="0" applyAlignment="0" applyProtection="0"/>
    <xf numFmtId="0" fontId="30" fillId="0" borderId="0" applyNumberFormat="0" applyFont="0" applyFill="0" applyBorder="0" applyAlignment="0" applyProtection="0">
      <alignment horizontal="left"/>
    </xf>
    <xf numFmtId="0" fontId="30" fillId="0" borderId="0"/>
    <xf numFmtId="40" fontId="30" fillId="0" borderId="0" applyFont="0" applyFill="0" applyBorder="0" applyAlignment="0" applyProtection="0"/>
    <xf numFmtId="44" fontId="30" fillId="0" borderId="0" applyFont="0" applyFill="0" applyBorder="0" applyAlignment="0" applyProtection="0"/>
    <xf numFmtId="43" fontId="5"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30" fillId="0" borderId="0" applyNumberFormat="0" applyFont="0" applyFill="0" applyBorder="0" applyAlignment="0" applyProtection="0">
      <alignment horizontal="left"/>
    </xf>
    <xf numFmtId="4" fontId="30"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23" borderId="9" applyNumberFormat="0" applyFont="0" applyAlignment="0" applyProtection="0"/>
    <xf numFmtId="0" fontId="8" fillId="23" borderId="9" applyNumberFormat="0" applyFont="0" applyAlignment="0" applyProtection="0"/>
    <xf numFmtId="0" fontId="8" fillId="23" borderId="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4" fontId="8" fillId="0" borderId="0" applyFont="0" applyFill="0" applyBorder="0" applyAlignment="0" applyProtection="0"/>
    <xf numFmtId="0" fontId="5" fillId="0" borderId="0"/>
    <xf numFmtId="0" fontId="5" fillId="33" borderId="28" applyNumberFormat="0" applyFont="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0" borderId="0"/>
    <xf numFmtId="0" fontId="4" fillId="33" borderId="28" applyNumberFormat="0" applyFont="0" applyAlignment="0" applyProtection="0"/>
    <xf numFmtId="0" fontId="8" fillId="0" borderId="0"/>
    <xf numFmtId="44" fontId="4" fillId="0" borderId="0" applyFont="0" applyFill="0" applyBorder="0" applyAlignment="0" applyProtection="0"/>
    <xf numFmtId="0" fontId="4" fillId="0" borderId="0"/>
    <xf numFmtId="0" fontId="4" fillId="33" borderId="28" applyNumberFormat="0" applyFont="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3" borderId="28" applyNumberFormat="0" applyFont="0" applyAlignment="0" applyProtection="0"/>
    <xf numFmtId="44" fontId="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0" borderId="0"/>
    <xf numFmtId="0" fontId="3" fillId="33" borderId="28" applyNumberFormat="0" applyFont="0" applyAlignment="0" applyProtection="0"/>
    <xf numFmtId="44" fontId="3" fillId="0" borderId="0" applyFont="0" applyFill="0" applyBorder="0" applyAlignment="0" applyProtection="0"/>
    <xf numFmtId="0" fontId="3" fillId="0" borderId="0"/>
    <xf numFmtId="0" fontId="3" fillId="33" borderId="28"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3" borderId="28" applyNumberFormat="0" applyFont="0" applyAlignment="0" applyProtection="0"/>
    <xf numFmtId="44" fontId="3" fillId="0" borderId="0" applyFont="0" applyFill="0" applyBorder="0" applyAlignment="0" applyProtection="0"/>
    <xf numFmtId="0" fontId="2" fillId="0" borderId="0"/>
    <xf numFmtId="0" fontId="2" fillId="33" borderId="28"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3" borderId="28" applyNumberFormat="0" applyFont="0" applyAlignment="0" applyProtection="0"/>
    <xf numFmtId="44" fontId="2" fillId="0" borderId="0" applyFont="0" applyFill="0" applyBorder="0" applyAlignment="0" applyProtection="0"/>
    <xf numFmtId="0" fontId="8" fillId="0" borderId="0"/>
    <xf numFmtId="0" fontId="2" fillId="0" borderId="0"/>
    <xf numFmtId="0" fontId="2" fillId="33" borderId="28"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3" borderId="28" applyNumberFormat="0" applyFont="0" applyAlignment="0" applyProtection="0"/>
    <xf numFmtId="44" fontId="2" fillId="0" borderId="0" applyFont="0" applyFill="0" applyBorder="0" applyAlignment="0" applyProtection="0"/>
    <xf numFmtId="0" fontId="8" fillId="0" borderId="0"/>
    <xf numFmtId="0" fontId="8" fillId="0" borderId="0"/>
    <xf numFmtId="0" fontId="8" fillId="0" borderId="0"/>
    <xf numFmtId="0" fontId="28" fillId="0" borderId="0"/>
    <xf numFmtId="0" fontId="79" fillId="0" borderId="0"/>
    <xf numFmtId="0" fontId="79" fillId="0" borderId="0"/>
    <xf numFmtId="3" fontId="7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37" fontId="28" fillId="0" borderId="0"/>
    <xf numFmtId="0" fontId="81" fillId="0" borderId="0"/>
    <xf numFmtId="0" fontId="1" fillId="0" borderId="0"/>
    <xf numFmtId="0" fontId="1" fillId="0" borderId="0"/>
    <xf numFmtId="0" fontId="81" fillId="0" borderId="0"/>
    <xf numFmtId="0" fontId="8" fillId="0" borderId="0"/>
    <xf numFmtId="0" fontId="81" fillId="0" borderId="0"/>
    <xf numFmtId="0" fontId="1" fillId="0" borderId="0"/>
    <xf numFmtId="0" fontId="1" fillId="0" borderId="0"/>
    <xf numFmtId="0" fontId="8" fillId="0" borderId="0"/>
    <xf numFmtId="0" fontId="81" fillId="0" borderId="0"/>
    <xf numFmtId="0" fontId="36" fillId="0" borderId="0" applyNumberFormat="0" applyFill="0" applyBorder="0" applyAlignment="0" applyProtection="0"/>
    <xf numFmtId="0" fontId="81" fillId="0" borderId="0"/>
    <xf numFmtId="0" fontId="81" fillId="0" borderId="0"/>
    <xf numFmtId="0" fontId="1" fillId="33" borderId="28" applyNumberFormat="0" applyFont="0" applyAlignment="0" applyProtection="0"/>
    <xf numFmtId="9" fontId="8" fillId="0" borderId="0" applyFont="0" applyFill="0" applyBorder="0" applyAlignment="0" applyProtection="0"/>
    <xf numFmtId="0" fontId="40"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0" fillId="0" borderId="0"/>
    <xf numFmtId="40" fontId="30" fillId="0" borderId="0" applyFont="0" applyFill="0" applyBorder="0" applyAlignment="0" applyProtection="0"/>
    <xf numFmtId="44" fontId="3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4" fillId="2" borderId="0" applyNumberFormat="0" applyBorder="0" applyAlignment="0" applyProtection="0"/>
    <xf numFmtId="0" fontId="82"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4" fillId="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4" fillId="4" borderId="0" applyNumberFormat="0" applyBorder="0" applyAlignment="0" applyProtection="0"/>
    <xf numFmtId="0" fontId="82" fillId="4" borderId="0" applyNumberFormat="0" applyBorder="0" applyAlignment="0" applyProtection="0"/>
    <xf numFmtId="0" fontId="15" fillId="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4" fillId="5" borderId="0" applyNumberFormat="0" applyBorder="0" applyAlignment="0" applyProtection="0"/>
    <xf numFmtId="0" fontId="82"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4" fillId="6" borderId="0" applyNumberFormat="0" applyBorder="0" applyAlignment="0" applyProtection="0"/>
    <xf numFmtId="0" fontId="15"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4" fillId="7"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4" fillId="8" borderId="0" applyNumberFormat="0" applyBorder="0" applyAlignment="0" applyProtection="0"/>
    <xf numFmtId="0" fontId="82"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4" fillId="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4" fillId="10" borderId="0" applyNumberFormat="0" applyBorder="0" applyAlignment="0" applyProtection="0"/>
    <xf numFmtId="0" fontId="82" fillId="10" borderId="0" applyNumberFormat="0" applyBorder="0" applyAlignment="0" applyProtection="0"/>
    <xf numFmtId="0" fontId="15" fillId="10"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4" fillId="5" borderId="0" applyNumberFormat="0" applyBorder="0" applyAlignment="0" applyProtection="0"/>
    <xf numFmtId="0" fontId="82"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4"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4" fillId="11" borderId="0" applyNumberFormat="0" applyBorder="0" applyAlignment="0" applyProtection="0"/>
    <xf numFmtId="0" fontId="82"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6" fillId="12" borderId="0" applyNumberFormat="0" applyBorder="0" applyAlignment="0" applyProtection="0"/>
    <xf numFmtId="0" fontId="85" fillId="12" borderId="0" applyNumberFormat="0" applyBorder="0" applyAlignment="0" applyProtection="0"/>
    <xf numFmtId="0" fontId="16" fillId="12"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6" fillId="9" borderId="0" applyNumberFormat="0" applyBorder="0" applyAlignment="0" applyProtection="0"/>
    <xf numFmtId="0" fontId="16"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6" fillId="10" borderId="0" applyNumberFormat="0" applyBorder="0" applyAlignment="0" applyProtection="0"/>
    <xf numFmtId="0" fontId="85" fillId="10" borderId="0" applyNumberFormat="0" applyBorder="0" applyAlignment="0" applyProtection="0"/>
    <xf numFmtId="0" fontId="16" fillId="10" borderId="0" applyNumberFormat="0" applyBorder="0" applyAlignment="0" applyProtection="0"/>
    <xf numFmtId="0" fontId="16"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6" fillId="13" borderId="0" applyNumberFormat="0" applyBorder="0" applyAlignment="0" applyProtection="0"/>
    <xf numFmtId="0" fontId="85" fillId="13" borderId="0" applyNumberFormat="0" applyBorder="0" applyAlignment="0" applyProtection="0"/>
    <xf numFmtId="0" fontId="16"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6" fillId="14" borderId="0" applyNumberFormat="0" applyBorder="0" applyAlignment="0" applyProtection="0"/>
    <xf numFmtId="0" fontId="16"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6" fillId="15" borderId="0" applyNumberFormat="0" applyBorder="0" applyAlignment="0" applyProtection="0"/>
    <xf numFmtId="0" fontId="85"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6" fillId="16" borderId="0" applyNumberFormat="0" applyBorder="0" applyAlignment="0" applyProtection="0"/>
    <xf numFmtId="0" fontId="85" fillId="16" borderId="0" applyNumberFormat="0" applyBorder="0" applyAlignment="0" applyProtection="0"/>
    <xf numFmtId="0" fontId="16"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6" fillId="18" borderId="0" applyNumberFormat="0" applyBorder="0" applyAlignment="0" applyProtection="0"/>
    <xf numFmtId="0" fontId="16"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13" borderId="0" applyNumberFormat="0" applyBorder="0" applyAlignment="0" applyProtection="0"/>
    <xf numFmtId="0" fontId="85" fillId="13" borderId="0" applyNumberFormat="0" applyBorder="0" applyAlignment="0" applyProtection="0"/>
    <xf numFmtId="0" fontId="16"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6" fillId="1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6" fillId="19" borderId="0" applyNumberFormat="0" applyBorder="0" applyAlignment="0" applyProtection="0"/>
    <xf numFmtId="0" fontId="1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7" fillId="63" borderId="0" applyNumberFormat="0" applyBorder="0" applyAlignment="0" applyProtection="0"/>
    <xf numFmtId="0" fontId="88" fillId="3" borderId="0" applyNumberFormat="0" applyBorder="0" applyAlignment="0" applyProtection="0"/>
    <xf numFmtId="0" fontId="87" fillId="3" borderId="0" applyNumberFormat="0" applyBorder="0" applyAlignment="0" applyProtection="0"/>
    <xf numFmtId="0" fontId="17" fillId="3" borderId="0" applyNumberFormat="0" applyBorder="0" applyAlignment="0" applyProtection="0"/>
    <xf numFmtId="0" fontId="89" fillId="20" borderId="3" applyNumberFormat="0" applyAlignment="0" applyProtection="0"/>
    <xf numFmtId="0" fontId="89" fillId="20" borderId="3" applyNumberFormat="0" applyAlignment="0" applyProtection="0"/>
    <xf numFmtId="0" fontId="89" fillId="20" borderId="3" applyNumberFormat="0" applyAlignment="0" applyProtection="0"/>
    <xf numFmtId="0" fontId="90" fillId="20" borderId="3" applyNumberFormat="0" applyAlignment="0" applyProtection="0"/>
    <xf numFmtId="0" fontId="19" fillId="61" borderId="4" applyNumberFormat="0" applyAlignment="0" applyProtection="0"/>
    <xf numFmtId="0" fontId="91" fillId="61" borderId="4" applyNumberFormat="0" applyAlignment="0" applyProtection="0"/>
    <xf numFmtId="0" fontId="91" fillId="61" borderId="4" applyNumberFormat="0" applyAlignment="0" applyProtection="0"/>
    <xf numFmtId="0" fontId="91" fillId="61" borderId="4" applyNumberFormat="0" applyAlignment="0" applyProtection="0"/>
    <xf numFmtId="0" fontId="92" fillId="21" borderId="4" applyNumberFormat="0" applyAlignment="0" applyProtection="0"/>
    <xf numFmtId="0" fontId="91" fillId="21" borderId="4" applyNumberFormat="0" applyAlignment="0" applyProtection="0"/>
    <xf numFmtId="0" fontId="19" fillId="21" borderId="4" applyNumberFormat="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3" fillId="0" borderId="0" applyFont="0" applyFill="0" applyBorder="0" applyAlignment="0" applyProtection="0"/>
    <xf numFmtId="40" fontId="3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0" fontId="30" fillId="0" borderId="0" applyFont="0" applyFill="0" applyBorder="0" applyAlignment="0" applyProtection="0"/>
    <xf numFmtId="40" fontId="30"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8"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30" fillId="0" borderId="0" applyFont="0" applyFill="0" applyBorder="0" applyAlignment="0" applyProtection="0"/>
    <xf numFmtId="8" fontId="30" fillId="0" borderId="0" applyFont="0" applyFill="0" applyBorder="0" applyAlignment="0" applyProtection="0"/>
    <xf numFmtId="44" fontId="8"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7" fillId="4" borderId="0" applyNumberFormat="0" applyBorder="0" applyAlignment="0" applyProtection="0"/>
    <xf numFmtId="0" fontId="98" fillId="0" borderId="64" applyNumberFormat="0" applyFill="0" applyAlignment="0" applyProtection="0"/>
    <xf numFmtId="0" fontId="99" fillId="0" borderId="64" applyNumberFormat="0" applyFill="0" applyAlignment="0" applyProtection="0"/>
    <xf numFmtId="0" fontId="99" fillId="0" borderId="64" applyNumberFormat="0" applyFill="0" applyAlignment="0" applyProtection="0"/>
    <xf numFmtId="0" fontId="99" fillId="0" borderId="64" applyNumberFormat="0" applyFill="0" applyAlignment="0" applyProtection="0"/>
    <xf numFmtId="0" fontId="100" fillId="0" borderId="5" applyNumberFormat="0" applyFill="0" applyAlignment="0" applyProtection="0"/>
    <xf numFmtId="0" fontId="101" fillId="0" borderId="5" applyNumberFormat="0" applyFill="0" applyAlignment="0" applyProtection="0"/>
    <xf numFmtId="0" fontId="22" fillId="0" borderId="5" applyNumberFormat="0" applyFill="0" applyAlignment="0" applyProtection="0"/>
    <xf numFmtId="0" fontId="102"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4" fillId="0" borderId="6" applyNumberFormat="0" applyFill="0" applyAlignment="0" applyProtection="0"/>
    <xf numFmtId="0" fontId="105" fillId="0" borderId="6" applyNumberFormat="0" applyFill="0" applyAlignment="0" applyProtection="0"/>
    <xf numFmtId="0" fontId="23" fillId="0" borderId="6" applyNumberFormat="0" applyFill="0" applyAlignment="0" applyProtection="0"/>
    <xf numFmtId="0" fontId="106" fillId="0" borderId="66" applyNumberFormat="0" applyFill="0" applyAlignment="0" applyProtection="0"/>
    <xf numFmtId="0" fontId="107" fillId="0" borderId="66" applyNumberFormat="0" applyFill="0" applyAlignment="0" applyProtection="0"/>
    <xf numFmtId="0" fontId="107" fillId="0" borderId="66" applyNumberFormat="0" applyFill="0" applyAlignment="0" applyProtection="0"/>
    <xf numFmtId="0" fontId="107" fillId="0" borderId="66" applyNumberFormat="0" applyFill="0" applyAlignment="0" applyProtection="0"/>
    <xf numFmtId="0" fontId="108" fillId="0" borderId="7" applyNumberFormat="0" applyFill="0" applyAlignment="0" applyProtection="0"/>
    <xf numFmtId="0" fontId="109" fillId="0" borderId="7" applyNumberFormat="0" applyFill="0" applyAlignment="0" applyProtection="0"/>
    <xf numFmtId="0" fontId="24" fillId="0" borderId="7"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24" fillId="0" borderId="0" applyNumberFormat="0" applyFill="0" applyBorder="0" applyAlignment="0" applyProtection="0"/>
    <xf numFmtId="0" fontId="110" fillId="7" borderId="3" applyNumberFormat="0" applyAlignment="0" applyProtection="0"/>
    <xf numFmtId="0" fontId="110" fillId="7" borderId="3" applyNumberFormat="0" applyAlignment="0" applyProtection="0"/>
    <xf numFmtId="0" fontId="110" fillId="7" borderId="3" applyNumberFormat="0" applyAlignment="0" applyProtection="0"/>
    <xf numFmtId="0" fontId="111" fillId="7" borderId="3" applyNumberFormat="0" applyAlignment="0" applyProtection="0"/>
    <xf numFmtId="41" fontId="112" fillId="0" borderId="0">
      <alignment horizontal="left"/>
    </xf>
    <xf numFmtId="0" fontId="113" fillId="0" borderId="8" applyNumberFormat="0" applyFill="0" applyAlignment="0" applyProtection="0"/>
    <xf numFmtId="0" fontId="113" fillId="0" borderId="8" applyNumberFormat="0" applyFill="0" applyAlignment="0" applyProtection="0"/>
    <xf numFmtId="0" fontId="113" fillId="0" borderId="8" applyNumberFormat="0" applyFill="0" applyAlignment="0" applyProtection="0"/>
    <xf numFmtId="0" fontId="114" fillId="0" borderId="8" applyNumberFormat="0" applyFill="0" applyAlignment="0" applyProtection="0"/>
    <xf numFmtId="0" fontId="115" fillId="22" borderId="0" applyNumberFormat="0" applyBorder="0" applyAlignment="0" applyProtection="0"/>
    <xf numFmtId="0" fontId="115" fillId="22" borderId="0" applyNumberFormat="0" applyBorder="0" applyAlignment="0" applyProtection="0"/>
    <xf numFmtId="0" fontId="115" fillId="22" borderId="0" applyNumberFormat="0" applyBorder="0" applyAlignment="0" applyProtection="0"/>
    <xf numFmtId="0" fontId="116" fillId="22" borderId="0" applyNumberFormat="0" applyBorder="0" applyAlignment="0" applyProtection="0"/>
    <xf numFmtId="0" fontId="64" fillId="0" borderId="0"/>
    <xf numFmtId="0" fontId="83" fillId="0" borderId="0"/>
    <xf numFmtId="37" fontId="28" fillId="0" borderId="0"/>
    <xf numFmtId="0" fontId="28" fillId="0" borderId="0"/>
    <xf numFmtId="0" fontId="30" fillId="0" borderId="0"/>
    <xf numFmtId="0" fontId="1" fillId="0" borderId="0"/>
    <xf numFmtId="38" fontId="8" fillId="0" borderId="0"/>
    <xf numFmtId="38" fontId="8" fillId="0" borderId="0"/>
    <xf numFmtId="38" fontId="8" fillId="0" borderId="0"/>
    <xf numFmtId="38" fontId="8" fillId="0" borderId="0"/>
    <xf numFmtId="0" fontId="30" fillId="0" borderId="0"/>
    <xf numFmtId="0" fontId="30" fillId="0" borderId="0"/>
    <xf numFmtId="38" fontId="8" fillId="0" borderId="0"/>
    <xf numFmtId="38" fontId="8" fillId="0" borderId="0"/>
    <xf numFmtId="38" fontId="8" fillId="0" borderId="0"/>
    <xf numFmtId="38" fontId="8" fillId="0" borderId="0"/>
    <xf numFmtId="38" fontId="8" fillId="0" borderId="0"/>
    <xf numFmtId="38" fontId="8" fillId="0" borderId="0"/>
    <xf numFmtId="38" fontId="8" fillId="0" borderId="0"/>
    <xf numFmtId="38" fontId="8" fillId="0" borderId="0"/>
    <xf numFmtId="38" fontId="8" fillId="0" borderId="0"/>
    <xf numFmtId="38" fontId="8" fillId="0" borderId="0"/>
    <xf numFmtId="0" fontId="83" fillId="0" borderId="0"/>
    <xf numFmtId="0" fontId="117" fillId="0" borderId="0"/>
    <xf numFmtId="0" fontId="117" fillId="0" borderId="0"/>
    <xf numFmtId="0" fontId="83" fillId="0" borderId="0"/>
    <xf numFmtId="0" fontId="117" fillId="0" borderId="0"/>
    <xf numFmtId="38" fontId="8" fillId="0" borderId="0"/>
    <xf numFmtId="38" fontId="8" fillId="0" borderId="0"/>
    <xf numFmtId="38" fontId="8" fillId="0" borderId="0"/>
    <xf numFmtId="38" fontId="8" fillId="0" borderId="0"/>
    <xf numFmtId="38" fontId="8" fillId="0" borderId="0"/>
    <xf numFmtId="0" fontId="1" fillId="0" borderId="0"/>
    <xf numFmtId="0" fontId="83" fillId="0" borderId="0"/>
    <xf numFmtId="0" fontId="8" fillId="0" borderId="0"/>
    <xf numFmtId="0" fontId="8" fillId="0" borderId="0"/>
    <xf numFmtId="0" fontId="64" fillId="0" borderId="0"/>
    <xf numFmtId="0" fontId="64" fillId="0" borderId="0"/>
    <xf numFmtId="0" fontId="64" fillId="0" borderId="0"/>
    <xf numFmtId="0" fontId="8" fillId="23" borderId="9"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43" fontId="110" fillId="0" borderId="0"/>
    <xf numFmtId="190" fontId="118" fillId="0" borderId="0"/>
    <xf numFmtId="0" fontId="119" fillId="20" borderId="10" applyNumberFormat="0" applyAlignment="0" applyProtection="0"/>
    <xf numFmtId="0" fontId="119" fillId="20" borderId="10" applyNumberFormat="0" applyAlignment="0" applyProtection="0"/>
    <xf numFmtId="0" fontId="119" fillId="20" borderId="10" applyNumberFormat="0" applyAlignment="0" applyProtection="0"/>
    <xf numFmtId="0" fontId="120" fillId="20" borderId="10" applyNumberFormat="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0" fontId="30" fillId="0" borderId="0" applyNumberFormat="0" applyFont="0" applyFill="0" applyBorder="0" applyAlignment="0" applyProtection="0">
      <alignment horizontal="left"/>
    </xf>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15"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0" fontId="34" fillId="0" borderId="2">
      <alignment horizontal="center"/>
    </xf>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3" fontId="30" fillId="0" borderId="0" applyFont="0" applyFill="0" applyBorder="0" applyAlignment="0" applyProtection="0"/>
    <xf numFmtId="0" fontId="30" fillId="24" borderId="0" applyNumberFormat="0" applyFont="0" applyBorder="0" applyAlignment="0" applyProtection="0"/>
    <xf numFmtId="0" fontId="30" fillId="24" borderId="0" applyNumberFormat="0" applyFont="0" applyBorder="0" applyAlignment="0" applyProtection="0"/>
    <xf numFmtId="0" fontId="30" fillId="24" borderId="0" applyNumberFormat="0" applyFont="0" applyBorder="0" applyAlignment="0" applyProtection="0"/>
    <xf numFmtId="0" fontId="30" fillId="24" borderId="0" applyNumberFormat="0" applyFont="0" applyBorder="0" applyAlignment="0" applyProtection="0"/>
    <xf numFmtId="0" fontId="30" fillId="24" borderId="0" applyNumberFormat="0" applyFont="0" applyBorder="0" applyAlignment="0" applyProtection="0"/>
    <xf numFmtId="0" fontId="30" fillId="24" borderId="0" applyNumberFormat="0" applyFont="0" applyBorder="0" applyAlignment="0" applyProtection="0"/>
    <xf numFmtId="0" fontId="30" fillId="24" borderId="0" applyNumberFormat="0" applyFont="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1" fillId="0" borderId="0" applyNumberFormat="0" applyFill="0" applyBorder="0" applyAlignment="0" applyProtection="0"/>
    <xf numFmtId="0" fontId="32" fillId="0" borderId="67" applyNumberFormat="0" applyFill="0" applyAlignment="0" applyProtection="0"/>
    <xf numFmtId="0" fontId="122" fillId="0" borderId="67" applyNumberFormat="0" applyFill="0" applyAlignment="0" applyProtection="0"/>
    <xf numFmtId="0" fontId="122" fillId="0" borderId="67" applyNumberFormat="0" applyFill="0" applyAlignment="0" applyProtection="0"/>
    <xf numFmtId="0" fontId="122" fillId="0" borderId="67" applyNumberFormat="0" applyFill="0" applyAlignment="0" applyProtection="0"/>
    <xf numFmtId="0" fontId="123" fillId="0" borderId="11" applyNumberFormat="0" applyFill="0" applyAlignment="0" applyProtection="0"/>
    <xf numFmtId="0" fontId="122" fillId="0" borderId="11" applyNumberFormat="0" applyFill="0" applyAlignment="0" applyProtection="0"/>
    <xf numFmtId="0" fontId="32" fillId="0" borderId="1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24" fillId="0" borderId="0" applyNumberFormat="0" applyFill="0" applyBorder="0" applyAlignment="0" applyProtection="0"/>
    <xf numFmtId="0" fontId="30" fillId="0" borderId="0"/>
    <xf numFmtId="44" fontId="30" fillId="0" borderId="0" applyFont="0" applyFill="0" applyBorder="0" applyAlignment="0" applyProtection="0"/>
    <xf numFmtId="43" fontId="1" fillId="0" borderId="0" applyFont="0" applyFill="0" applyBorder="0" applyAlignment="0" applyProtection="0"/>
    <xf numFmtId="9" fontId="3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0" fontId="3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0" fontId="1" fillId="0" borderId="0"/>
    <xf numFmtId="0" fontId="83" fillId="0" borderId="0"/>
    <xf numFmtId="0" fontId="1" fillId="0" borderId="0"/>
    <xf numFmtId="0" fontId="83" fillId="0" borderId="0"/>
    <xf numFmtId="0" fontId="8" fillId="0" borderId="0"/>
    <xf numFmtId="0" fontId="8" fillId="0" borderId="0"/>
    <xf numFmtId="9"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43" fontId="40" fillId="0" borderId="0" applyFon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8" fillId="0" borderId="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0" fontId="1" fillId="33" borderId="28" applyNumberFormat="0" applyFont="0" applyAlignment="0" applyProtection="0"/>
    <xf numFmtId="0" fontId="8" fillId="0" borderId="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37" fontId="28" fillId="0" borderId="0"/>
    <xf numFmtId="0" fontId="8" fillId="23" borderId="9" applyNumberFormat="0" applyFont="0" applyAlignment="0" applyProtection="0"/>
    <xf numFmtId="0" fontId="8" fillId="23" borderId="9" applyNumberFormat="0" applyFont="0" applyAlignment="0" applyProtection="0"/>
    <xf numFmtId="0" fontId="8" fillId="23" borderId="9" applyNumberFormat="0" applyFont="0" applyAlignment="0" applyProtection="0"/>
    <xf numFmtId="0" fontId="8" fillId="23" borderId="9"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0" fontId="30" fillId="0" borderId="0"/>
    <xf numFmtId="43" fontId="1" fillId="0" borderId="0" applyFont="0" applyFill="0" applyBorder="0" applyAlignment="0" applyProtection="0"/>
    <xf numFmtId="9" fontId="30" fillId="0" borderId="0" applyFont="0" applyFill="0" applyBorder="0" applyAlignment="0" applyProtection="0"/>
    <xf numFmtId="0" fontId="1" fillId="0" borderId="0"/>
    <xf numFmtId="43" fontId="8" fillId="0" borderId="0" applyFont="0" applyFill="0" applyBorder="0" applyAlignment="0" applyProtection="0"/>
    <xf numFmtId="0" fontId="8" fillId="23" borderId="9" applyNumberFormat="0" applyFont="0" applyAlignment="0" applyProtection="0"/>
    <xf numFmtId="0" fontId="8" fillId="23" borderId="9" applyNumberFormat="0" applyFont="0" applyAlignment="0" applyProtection="0"/>
    <xf numFmtId="0" fontId="8" fillId="23" borderId="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3" borderId="28" applyNumberFormat="0" applyFont="0" applyAlignment="0" applyProtection="0"/>
    <xf numFmtId="0" fontId="8" fillId="0" borderId="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9" fontId="3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7" fillId="0" borderId="0" applyNumberFormat="0" applyFill="0" applyBorder="0" applyAlignment="0" applyProtection="0"/>
    <xf numFmtId="0" fontId="48" fillId="0" borderId="21" applyNumberFormat="0" applyFill="0" applyAlignment="0" applyProtection="0"/>
    <xf numFmtId="0" fontId="49" fillId="0" borderId="22" applyNumberFormat="0" applyFill="0" applyAlignment="0" applyProtection="0"/>
    <xf numFmtId="0" fontId="50" fillId="0" borderId="23" applyNumberFormat="0" applyFill="0" applyAlignment="0" applyProtection="0"/>
    <xf numFmtId="0" fontId="50" fillId="0" borderId="0" applyNumberFormat="0" applyFill="0" applyBorder="0" applyAlignment="0" applyProtection="0"/>
    <xf numFmtId="0" fontId="51" fillId="27" borderId="0" applyNumberFormat="0" applyBorder="0" applyAlignment="0" applyProtection="0"/>
    <xf numFmtId="0" fontId="52" fillId="28" borderId="0" applyNumberFormat="0" applyBorder="0" applyAlignment="0" applyProtection="0"/>
    <xf numFmtId="0" fontId="53" fillId="29" borderId="0" applyNumberFormat="0" applyBorder="0" applyAlignment="0" applyProtection="0"/>
    <xf numFmtId="0" fontId="54" fillId="30" borderId="24" applyNumberFormat="0" applyAlignment="0" applyProtection="0"/>
    <xf numFmtId="0" fontId="55" fillId="31" borderId="25" applyNumberFormat="0" applyAlignment="0" applyProtection="0"/>
    <xf numFmtId="0" fontId="56" fillId="31" borderId="24" applyNumberFormat="0" applyAlignment="0" applyProtection="0"/>
    <xf numFmtId="0" fontId="57" fillId="0" borderId="26" applyNumberFormat="0" applyFill="0" applyAlignment="0" applyProtection="0"/>
    <xf numFmtId="0" fontId="58" fillId="32" borderId="2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62" fillId="57" borderId="0" applyNumberFormat="0" applyBorder="0" applyAlignment="0" applyProtection="0"/>
    <xf numFmtId="0" fontId="8" fillId="0" borderId="0"/>
    <xf numFmtId="0" fontId="15" fillId="2"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43" fontId="1" fillId="0" borderId="0" applyFont="0" applyFill="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7" fillId="3" borderId="0" applyNumberFormat="0" applyBorder="0" applyAlignment="0" applyProtection="0"/>
    <xf numFmtId="0" fontId="19" fillId="21" borderId="4" applyNumberFormat="0" applyAlignment="0" applyProtection="0"/>
    <xf numFmtId="43" fontId="8" fillId="0" borderId="0" applyFont="0" applyFill="0" applyBorder="0" applyAlignment="0" applyProtection="0"/>
    <xf numFmtId="43" fontId="1"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37" fontId="28" fillId="0" borderId="0"/>
    <xf numFmtId="37" fontId="28" fillId="0" borderId="0"/>
    <xf numFmtId="0" fontId="8" fillId="23" borderId="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43"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79" fillId="0" borderId="0"/>
    <xf numFmtId="0" fontId="79" fillId="0" borderId="0"/>
    <xf numFmtId="3" fontId="7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37" fontId="28" fillId="0" borderId="0"/>
    <xf numFmtId="0" fontId="81" fillId="0" borderId="0"/>
    <xf numFmtId="0" fontId="1" fillId="0" borderId="0"/>
    <xf numFmtId="0" fontId="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1" fillId="33" borderId="28" applyNumberFormat="0" applyFont="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0" fontId="30" fillId="0" borderId="0" applyFont="0" applyFill="0" applyBorder="0" applyAlignment="0" applyProtection="0"/>
    <xf numFmtId="43" fontId="1" fillId="0" borderId="0" applyFont="0" applyFill="0" applyBorder="0" applyAlignment="0" applyProtection="0"/>
    <xf numFmtId="0" fontId="30" fillId="0" borderId="0"/>
    <xf numFmtId="0" fontId="30" fillId="0" borderId="0"/>
    <xf numFmtId="9" fontId="30" fillId="0" borderId="0" applyFont="0" applyFill="0" applyBorder="0" applyAlignment="0" applyProtection="0"/>
    <xf numFmtId="0" fontId="1" fillId="0" borderId="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4" fillId="2"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2" fillId="3" borderId="0" applyNumberFormat="0" applyBorder="0" applyAlignment="0" applyProtection="0"/>
    <xf numFmtId="0" fontId="84" fillId="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4" fillId="4"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4" fillId="5"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2" fillId="6" borderId="0" applyNumberFormat="0" applyBorder="0" applyAlignment="0" applyProtection="0"/>
    <xf numFmtId="0" fontId="84" fillId="6"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4" fillId="7"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4" fillId="8"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4" fillId="9"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4" fillId="10"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4" fillId="5"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4" fillId="8"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4" fillId="11" borderId="0" applyNumberFormat="0" applyBorder="0" applyAlignment="0" applyProtection="0"/>
    <xf numFmtId="43" fontId="1" fillId="0" borderId="0" applyFont="0" applyFill="0" applyBorder="0" applyAlignment="0" applyProtection="0"/>
    <xf numFmtId="40" fontId="30"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30" fillId="0" borderId="0" applyFont="0" applyFill="0" applyBorder="0" applyAlignment="0" applyProtection="0"/>
    <xf numFmtId="8" fontId="30" fillId="0" borderId="0" applyFont="0" applyFill="0" applyBorder="0" applyAlignment="0" applyProtection="0"/>
    <xf numFmtId="0" fontId="1" fillId="0" borderId="0"/>
    <xf numFmtId="0" fontId="117" fillId="0" borderId="0"/>
    <xf numFmtId="0" fontId="83" fillId="0" borderId="0"/>
    <xf numFmtId="0" fontId="1" fillId="0" borderId="0"/>
    <xf numFmtId="0" fontId="83" fillId="0" borderId="0"/>
    <xf numFmtId="0" fontId="64" fillId="0" borderId="0"/>
    <xf numFmtId="0" fontId="64" fillId="0" borderId="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0" fontId="8" fillId="23" borderId="3" applyNumberFormat="0" applyFont="0" applyAlignment="0" applyProtection="0"/>
    <xf numFmtId="9" fontId="1" fillId="0" borderId="0" applyFont="0" applyFill="0" applyBorder="0" applyAlignment="0" applyProtection="0"/>
    <xf numFmtId="9" fontId="8" fillId="0" borderId="0" applyFont="0" applyFill="0" applyBorder="0" applyAlignment="0" applyProtection="0"/>
    <xf numFmtId="0" fontId="30" fillId="0" borderId="0"/>
    <xf numFmtId="44" fontId="30" fillId="0" borderId="0" applyFont="0" applyFill="0" applyBorder="0" applyAlignment="0" applyProtection="0"/>
    <xf numFmtId="43" fontId="1" fillId="0" borderId="0" applyFont="0" applyFill="0" applyBorder="0" applyAlignment="0" applyProtection="0"/>
    <xf numFmtId="9" fontId="3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0" fontId="3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83" fillId="0" borderId="0"/>
    <xf numFmtId="9"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8" fillId="0" borderId="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3" borderId="28"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0" fontId="1" fillId="0" borderId="0"/>
    <xf numFmtId="0" fontId="1" fillId="33" borderId="28"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28"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3" borderId="28"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5" fillId="0" borderId="0"/>
    <xf numFmtId="43" fontId="125" fillId="0" borderId="0" applyFont="0" applyFill="0" applyBorder="0" applyAlignment="0" applyProtection="0"/>
  </cellStyleXfs>
  <cellXfs count="585">
    <xf numFmtId="0" fontId="0" fillId="0" borderId="0" xfId="0"/>
    <xf numFmtId="0" fontId="0" fillId="0" borderId="0" xfId="0" applyAlignment="1">
      <alignment horizontal="center"/>
    </xf>
    <xf numFmtId="0" fontId="0" fillId="0" borderId="0" xfId="0" quotePrefix="1" applyNumberFormat="1" applyAlignment="1">
      <alignment horizontal="center"/>
    </xf>
    <xf numFmtId="0" fontId="9" fillId="0" borderId="0" xfId="0" applyFont="1" applyAlignment="1">
      <alignment horizontal="center"/>
    </xf>
    <xf numFmtId="0" fontId="9" fillId="0" borderId="0" xfId="0" applyFont="1"/>
    <xf numFmtId="0" fontId="10" fillId="0" borderId="0" xfId="0" applyFont="1"/>
    <xf numFmtId="37" fontId="0" fillId="0" borderId="0" xfId="0" applyNumberFormat="1"/>
    <xf numFmtId="3" fontId="0" fillId="0" borderId="0" xfId="0" applyNumberFormat="1"/>
    <xf numFmtId="5" fontId="0" fillId="0" borderId="0" xfId="0" applyNumberFormat="1"/>
    <xf numFmtId="0" fontId="0" fillId="0" borderId="0" xfId="0" applyAlignment="1">
      <alignment horizontal="left"/>
    </xf>
    <xf numFmtId="7" fontId="0" fillId="0" borderId="0" xfId="0" applyNumberFormat="1"/>
    <xf numFmtId="39" fontId="0" fillId="0" borderId="0" xfId="0" applyNumberFormat="1"/>
    <xf numFmtId="0" fontId="0" fillId="0" borderId="1" xfId="0" applyBorder="1"/>
    <xf numFmtId="7" fontId="0" fillId="0" borderId="1" xfId="0" applyNumberFormat="1" applyBorder="1"/>
    <xf numFmtId="10" fontId="0" fillId="0" borderId="0" xfId="0" applyNumberFormat="1"/>
    <xf numFmtId="0" fontId="0" fillId="0" borderId="1" xfId="0" applyBorder="1" applyAlignment="1">
      <alignment horizontal="left"/>
    </xf>
    <xf numFmtId="37" fontId="0" fillId="0" borderId="1" xfId="0" applyNumberFormat="1" applyBorder="1"/>
    <xf numFmtId="0" fontId="0" fillId="0" borderId="0" xfId="0" applyBorder="1"/>
    <xf numFmtId="164" fontId="0" fillId="0" borderId="0" xfId="0" applyNumberFormat="1"/>
    <xf numFmtId="0" fontId="0" fillId="0" borderId="0" xfId="0" quotePrefix="1" applyAlignment="1">
      <alignment horizontal="center"/>
    </xf>
    <xf numFmtId="165" fontId="0" fillId="0" borderId="0" xfId="0" applyNumberFormat="1"/>
    <xf numFmtId="166" fontId="0" fillId="0" borderId="0" xfId="0" applyNumberFormat="1"/>
    <xf numFmtId="167" fontId="0" fillId="0" borderId="0" xfId="0" applyNumberFormat="1"/>
    <xf numFmtId="168" fontId="0" fillId="0" borderId="0" xfId="1" applyNumberFormat="1" applyFont="1"/>
    <xf numFmtId="168" fontId="0" fillId="0" borderId="0" xfId="0" applyNumberFormat="1"/>
    <xf numFmtId="17" fontId="0" fillId="0" borderId="0" xfId="0" quotePrefix="1" applyNumberFormat="1" applyAlignment="1">
      <alignment horizontal="center"/>
    </xf>
    <xf numFmtId="37" fontId="0" fillId="0" borderId="0" xfId="0" applyNumberFormat="1" applyAlignment="1">
      <alignment horizontal="right"/>
    </xf>
    <xf numFmtId="169" fontId="0" fillId="0" borderId="0" xfId="0" applyNumberFormat="1"/>
    <xf numFmtId="0" fontId="0" fillId="0" borderId="0" xfId="0" applyFill="1"/>
    <xf numFmtId="0" fontId="0" fillId="0" borderId="0" xfId="0" applyFill="1" applyBorder="1"/>
    <xf numFmtId="5" fontId="0" fillId="0" borderId="0" xfId="0" applyNumberFormat="1" applyFill="1"/>
    <xf numFmtId="0" fontId="10" fillId="0" borderId="0" xfId="0" applyFont="1" applyAlignment="1">
      <alignment horizontal="center"/>
    </xf>
    <xf numFmtId="170" fontId="0" fillId="0" borderId="0" xfId="0" applyNumberFormat="1" applyAlignment="1">
      <alignment horizontal="center"/>
    </xf>
    <xf numFmtId="164" fontId="0" fillId="0" borderId="0" xfId="0" applyNumberFormat="1" applyAlignment="1">
      <alignment horizontal="right"/>
    </xf>
    <xf numFmtId="1" fontId="0" fillId="0" borderId="0" xfId="0" applyNumberFormat="1"/>
    <xf numFmtId="0" fontId="0" fillId="0" borderId="0" xfId="0" applyFill="1" applyAlignment="1">
      <alignment horizontal="center"/>
    </xf>
    <xf numFmtId="0" fontId="9" fillId="0" borderId="0" xfId="0" applyFont="1" applyFill="1" applyAlignment="1">
      <alignment horizontal="center"/>
    </xf>
    <xf numFmtId="38" fontId="0" fillId="0" borderId="0" xfId="0" applyNumberFormat="1"/>
    <xf numFmtId="5" fontId="0" fillId="0" borderId="1" xfId="0" applyNumberFormat="1" applyBorder="1"/>
    <xf numFmtId="5" fontId="0" fillId="0" borderId="0" xfId="0" applyNumberFormat="1" applyBorder="1"/>
    <xf numFmtId="37" fontId="0" fillId="0" borderId="1" xfId="0" applyNumberFormat="1" applyBorder="1" applyAlignment="1">
      <alignment horizontal="right"/>
    </xf>
    <xf numFmtId="164" fontId="0" fillId="0" borderId="1" xfId="0" applyNumberFormat="1" applyBorder="1"/>
    <xf numFmtId="5" fontId="0" fillId="0" borderId="1" xfId="0" applyNumberFormat="1" applyFill="1" applyBorder="1"/>
    <xf numFmtId="169" fontId="0" fillId="0" borderId="1" xfId="0" applyNumberFormat="1" applyBorder="1"/>
    <xf numFmtId="165" fontId="0" fillId="0" borderId="1" xfId="0" applyNumberFormat="1" applyBorder="1"/>
    <xf numFmtId="37" fontId="0" fillId="0" borderId="0" xfId="0" applyNumberFormat="1" applyAlignment="1">
      <alignment horizontal="left"/>
    </xf>
    <xf numFmtId="5" fontId="10" fillId="0" borderId="0" xfId="0" applyNumberFormat="1" applyFont="1"/>
    <xf numFmtId="166" fontId="11" fillId="0" borderId="0" xfId="0" applyNumberFormat="1" applyFont="1"/>
    <xf numFmtId="167" fontId="11" fillId="0" borderId="0" xfId="0" applyNumberFormat="1" applyFont="1"/>
    <xf numFmtId="37" fontId="11" fillId="0" borderId="0" xfId="0" applyNumberFormat="1" applyFont="1"/>
    <xf numFmtId="168" fontId="11" fillId="0" borderId="0" xfId="1" applyNumberFormat="1" applyFont="1"/>
    <xf numFmtId="171" fontId="11" fillId="0" borderId="0" xfId="0" applyNumberFormat="1" applyFont="1"/>
    <xf numFmtId="0" fontId="8" fillId="0" borderId="0" xfId="0" applyFont="1"/>
    <xf numFmtId="6" fontId="0" fillId="0" borderId="0" xfId="0" applyNumberFormat="1"/>
    <xf numFmtId="0" fontId="0" fillId="0" borderId="0" xfId="0" applyAlignment="1">
      <alignment wrapText="1"/>
    </xf>
    <xf numFmtId="37" fontId="11" fillId="0" borderId="0" xfId="0" applyNumberFormat="1" applyFont="1" applyFill="1"/>
    <xf numFmtId="5" fontId="11" fillId="0" borderId="0" xfId="0" applyNumberFormat="1" applyFont="1"/>
    <xf numFmtId="0" fontId="8" fillId="0" borderId="0" xfId="0" applyFont="1" applyAlignment="1">
      <alignment horizontal="center"/>
    </xf>
    <xf numFmtId="0" fontId="8" fillId="0" borderId="0" xfId="0" quotePrefix="1" applyFont="1" applyAlignment="1">
      <alignment horizontal="center"/>
    </xf>
    <xf numFmtId="0" fontId="8" fillId="0" borderId="0" xfId="0" applyFont="1" applyAlignment="1">
      <alignment horizontal="left"/>
    </xf>
    <xf numFmtId="0" fontId="8" fillId="0" borderId="0" xfId="0" applyFont="1" applyAlignment="1">
      <alignment wrapText="1"/>
    </xf>
    <xf numFmtId="0" fontId="8" fillId="0" borderId="0" xfId="0" quotePrefix="1" applyFont="1" applyAlignment="1">
      <alignment wrapText="1"/>
    </xf>
    <xf numFmtId="5" fontId="0" fillId="0" borderId="0" xfId="0" applyNumberFormat="1" applyFill="1" applyBorder="1"/>
    <xf numFmtId="0" fontId="8" fillId="0" borderId="0" xfId="0" applyFont="1" applyFill="1" applyBorder="1"/>
    <xf numFmtId="5" fontId="0" fillId="0" borderId="14" xfId="0" applyNumberFormat="1" applyBorder="1"/>
    <xf numFmtId="37" fontId="0" fillId="0" borderId="0" xfId="0" applyNumberFormat="1" applyAlignment="1">
      <alignment horizontal="center"/>
    </xf>
    <xf numFmtId="0" fontId="38" fillId="25" borderId="15" xfId="0" applyFont="1" applyFill="1" applyBorder="1" applyAlignment="1">
      <alignment horizontal="center" vertical="center" wrapText="1"/>
    </xf>
    <xf numFmtId="0" fontId="42" fillId="0" borderId="0" xfId="0" applyFont="1"/>
    <xf numFmtId="0" fontId="42" fillId="0" borderId="0" xfId="0" applyFont="1" applyAlignment="1">
      <alignment horizontal="center"/>
    </xf>
    <xf numFmtId="0" fontId="0" fillId="26" borderId="0" xfId="0" applyFill="1"/>
    <xf numFmtId="0" fontId="8" fillId="26" borderId="0" xfId="0" applyFont="1" applyFill="1"/>
    <xf numFmtId="5" fontId="0" fillId="26" borderId="0" xfId="0" applyNumberFormat="1" applyFill="1"/>
    <xf numFmtId="167" fontId="11" fillId="26" borderId="0" xfId="0" applyNumberFormat="1" applyFont="1" applyFill="1"/>
    <xf numFmtId="38" fontId="8" fillId="26" borderId="0" xfId="0" applyNumberFormat="1" applyFont="1" applyFill="1"/>
    <xf numFmtId="0" fontId="8" fillId="26" borderId="0" xfId="0" applyFont="1" applyFill="1" applyAlignment="1">
      <alignment horizontal="center"/>
    </xf>
    <xf numFmtId="0" fontId="9" fillId="26" borderId="0" xfId="0" applyFont="1" applyFill="1" applyAlignment="1">
      <alignment horizontal="center"/>
    </xf>
    <xf numFmtId="0" fontId="0" fillId="26" borderId="0" xfId="0" applyFill="1" applyAlignment="1">
      <alignment horizontal="center"/>
    </xf>
    <xf numFmtId="5" fontId="43" fillId="0" borderId="0" xfId="0" applyNumberFormat="1" applyFont="1"/>
    <xf numFmtId="5" fontId="43" fillId="26" borderId="0" xfId="0" applyNumberFormat="1" applyFont="1" applyFill="1"/>
    <xf numFmtId="37" fontId="44" fillId="0" borderId="0" xfId="60" applyFont="1"/>
    <xf numFmtId="0" fontId="10" fillId="26" borderId="0" xfId="0" applyFont="1" applyFill="1" applyAlignment="1">
      <alignment horizontal="center"/>
    </xf>
    <xf numFmtId="0" fontId="45" fillId="0" borderId="0" xfId="0" applyFont="1" applyAlignment="1">
      <alignment horizontal="center"/>
    </xf>
    <xf numFmtId="37" fontId="44" fillId="26" borderId="0" xfId="60" applyFont="1" applyFill="1"/>
    <xf numFmtId="37" fontId="44" fillId="0" borderId="0" xfId="60" applyFont="1" applyFill="1"/>
    <xf numFmtId="0" fontId="0" fillId="0" borderId="0" xfId="0" applyBorder="1" applyAlignment="1">
      <alignment horizontal="left"/>
    </xf>
    <xf numFmtId="10" fontId="0" fillId="0" borderId="0" xfId="0" applyNumberFormat="1" applyFill="1"/>
    <xf numFmtId="10" fontId="8" fillId="0" borderId="0" xfId="0" applyNumberFormat="1" applyFont="1" applyFill="1"/>
    <xf numFmtId="44" fontId="0" fillId="0" borderId="0" xfId="0" applyNumberFormat="1"/>
    <xf numFmtId="0" fontId="8" fillId="0" borderId="0" xfId="0" applyFont="1" applyFill="1"/>
    <xf numFmtId="7" fontId="0" fillId="0" borderId="0" xfId="0" applyNumberFormat="1" applyFill="1"/>
    <xf numFmtId="44" fontId="43" fillId="26" borderId="0" xfId="0" applyNumberFormat="1" applyFont="1" applyFill="1"/>
    <xf numFmtId="0" fontId="0" fillId="0" borderId="0" xfId="0" applyFill="1" applyBorder="1" applyAlignment="1">
      <alignment horizontal="left"/>
    </xf>
    <xf numFmtId="172" fontId="43" fillId="26" borderId="0" xfId="0" applyNumberFormat="1" applyFont="1" applyFill="1"/>
    <xf numFmtId="0" fontId="8" fillId="0" borderId="0" xfId="0" applyFont="1" applyBorder="1"/>
    <xf numFmtId="5" fontId="0" fillId="0" borderId="14" xfId="0" applyNumberFormat="1" applyFill="1" applyBorder="1"/>
    <xf numFmtId="0" fontId="0" fillId="0" borderId="1" xfId="0" applyFill="1" applyBorder="1"/>
    <xf numFmtId="172" fontId="0" fillId="0" borderId="0" xfId="0" applyNumberFormat="1"/>
    <xf numFmtId="0" fontId="0" fillId="0" borderId="1" xfId="0" applyFill="1" applyBorder="1" applyAlignment="1">
      <alignment horizontal="center"/>
    </xf>
    <xf numFmtId="0" fontId="0" fillId="0" borderId="0" xfId="0" quotePrefix="1" applyFill="1" applyAlignment="1">
      <alignment horizontal="center"/>
    </xf>
    <xf numFmtId="0" fontId="0" fillId="0" borderId="0" xfId="0"/>
    <xf numFmtId="5" fontId="0" fillId="0" borderId="0" xfId="0" applyNumberFormat="1"/>
    <xf numFmtId="37" fontId="0" fillId="0" borderId="0" xfId="0" applyNumberFormat="1"/>
    <xf numFmtId="0" fontId="0" fillId="0" borderId="0" xfId="0" applyFill="1" applyAlignment="1">
      <alignment horizontal="right"/>
    </xf>
    <xf numFmtId="5" fontId="8" fillId="0" borderId="0" xfId="0" applyNumberFormat="1" applyFont="1"/>
    <xf numFmtId="174" fontId="0" fillId="0" borderId="0" xfId="0" applyNumberFormat="1"/>
    <xf numFmtId="5" fontId="11" fillId="0" borderId="0" xfId="0" quotePrefix="1" applyNumberFormat="1" applyFont="1"/>
    <xf numFmtId="174" fontId="11" fillId="0" borderId="0" xfId="0" applyNumberFormat="1" applyFont="1"/>
    <xf numFmtId="5" fontId="8" fillId="0" borderId="0" xfId="0" quotePrefix="1" applyNumberFormat="1" applyFont="1"/>
    <xf numFmtId="5" fontId="0" fillId="0" borderId="0" xfId="0" quotePrefix="1" applyNumberFormat="1" applyFill="1"/>
    <xf numFmtId="7" fontId="8" fillId="0" borderId="0" xfId="0" applyNumberFormat="1" applyFont="1" applyFill="1"/>
    <xf numFmtId="44" fontId="0" fillId="0" borderId="0" xfId="170" applyFont="1" applyFill="1"/>
    <xf numFmtId="4" fontId="0" fillId="0" borderId="0" xfId="2" applyNumberFormat="1" applyFont="1" applyFill="1"/>
    <xf numFmtId="168" fontId="0" fillId="0" borderId="1" xfId="1" applyNumberFormat="1" applyFont="1" applyBorder="1"/>
    <xf numFmtId="168" fontId="0" fillId="0" borderId="0" xfId="1" applyNumberFormat="1" applyFont="1" applyFill="1"/>
    <xf numFmtId="44" fontId="0" fillId="0" borderId="0" xfId="0" quotePrefix="1" applyNumberFormat="1" applyFill="1"/>
    <xf numFmtId="0" fontId="9" fillId="0" borderId="0" xfId="0" applyFont="1" applyBorder="1" applyAlignment="1">
      <alignment horizontal="center"/>
    </xf>
    <xf numFmtId="37" fontId="44" fillId="0" borderId="0" xfId="60" applyFont="1" applyFill="1" applyBorder="1"/>
    <xf numFmtId="0" fontId="9" fillId="0" borderId="0" xfId="0" applyFont="1" applyAlignment="1">
      <alignment horizontal="center"/>
    </xf>
    <xf numFmtId="168" fontId="9" fillId="0" borderId="0" xfId="1" applyNumberFormat="1" applyFont="1" applyAlignment="1">
      <alignment horizontal="center"/>
    </xf>
    <xf numFmtId="0" fontId="9" fillId="0" borderId="0" xfId="0" applyFont="1" applyAlignment="1">
      <alignment horizontal="center"/>
    </xf>
    <xf numFmtId="168" fontId="0" fillId="0" borderId="1" xfId="1" applyNumberFormat="1" applyFont="1" applyFill="1" applyBorder="1"/>
    <xf numFmtId="168" fontId="8" fillId="0" borderId="0" xfId="1" applyNumberFormat="1" applyFont="1"/>
    <xf numFmtId="168" fontId="8" fillId="0" borderId="0" xfId="1" applyNumberFormat="1" applyFont="1" applyFill="1"/>
    <xf numFmtId="168" fontId="0" fillId="0" borderId="0" xfId="1" applyNumberFormat="1" applyFont="1" applyFill="1" applyAlignment="1">
      <alignment horizontal="center"/>
    </xf>
    <xf numFmtId="172" fontId="8" fillId="0" borderId="0" xfId="170" applyNumberFormat="1" applyFont="1" applyFill="1"/>
    <xf numFmtId="0" fontId="8" fillId="0" borderId="0" xfId="0" applyFont="1" applyBorder="1" applyAlignment="1">
      <alignment horizontal="center"/>
    </xf>
    <xf numFmtId="172" fontId="8" fillId="0" borderId="0" xfId="170" applyNumberFormat="1" applyFont="1"/>
    <xf numFmtId="5" fontId="8" fillId="0" borderId="0" xfId="0" applyNumberFormat="1" applyFont="1" applyFill="1"/>
    <xf numFmtId="0" fontId="8" fillId="0" borderId="1" xfId="0" applyFont="1" applyFill="1" applyBorder="1"/>
    <xf numFmtId="168" fontId="8" fillId="0" borderId="1" xfId="1" applyNumberFormat="1" applyFont="1" applyFill="1" applyBorder="1"/>
    <xf numFmtId="172" fontId="8" fillId="0" borderId="1" xfId="170" applyNumberFormat="1" applyFont="1" applyFill="1" applyBorder="1"/>
    <xf numFmtId="168" fontId="8" fillId="0" borderId="0" xfId="0" applyNumberFormat="1" applyFont="1" applyFill="1"/>
    <xf numFmtId="168" fontId="40" fillId="0" borderId="0" xfId="1" applyNumberFormat="1" applyFont="1" applyFill="1" applyBorder="1" applyAlignment="1">
      <alignment vertical="center"/>
    </xf>
    <xf numFmtId="168" fontId="40" fillId="0" borderId="0" xfId="1" applyNumberFormat="1" applyFont="1" applyFill="1" applyBorder="1" applyAlignment="1">
      <alignment horizontal="left" vertical="center"/>
    </xf>
    <xf numFmtId="168" fontId="40" fillId="0" borderId="40" xfId="1" applyNumberFormat="1" applyFont="1" applyFill="1" applyBorder="1" applyAlignment="1">
      <alignment vertical="center"/>
    </xf>
    <xf numFmtId="168" fontId="40" fillId="0" borderId="42" xfId="1" applyNumberFormat="1" applyFont="1" applyFill="1" applyBorder="1" applyAlignment="1">
      <alignment vertical="center"/>
    </xf>
    <xf numFmtId="168" fontId="40" fillId="0" borderId="19" xfId="1" applyNumberFormat="1" applyFont="1" applyFill="1" applyBorder="1" applyAlignment="1">
      <alignment horizontal="center" vertical="center"/>
    </xf>
    <xf numFmtId="168" fontId="40" fillId="0" borderId="39" xfId="1" applyNumberFormat="1" applyFont="1" applyFill="1" applyBorder="1" applyAlignment="1">
      <alignment horizontal="center" vertical="center"/>
    </xf>
    <xf numFmtId="168" fontId="40" fillId="0" borderId="14" xfId="1" applyNumberFormat="1" applyFont="1" applyFill="1" applyBorder="1" applyAlignment="1">
      <alignment vertical="center"/>
    </xf>
    <xf numFmtId="172" fontId="8" fillId="0" borderId="0" xfId="170" applyNumberFormat="1" applyFont="1" applyFill="1" applyBorder="1"/>
    <xf numFmtId="0" fontId="40" fillId="0" borderId="0" xfId="0" applyFont="1" applyFill="1"/>
    <xf numFmtId="5" fontId="40" fillId="0" borderId="0" xfId="0" applyNumberFormat="1" applyFont="1" applyFill="1" applyBorder="1"/>
    <xf numFmtId="0" fontId="40" fillId="0" borderId="0" xfId="0" applyFont="1" applyFill="1" applyAlignment="1">
      <alignment horizontal="center"/>
    </xf>
    <xf numFmtId="0" fontId="65" fillId="0" borderId="0" xfId="0" applyFont="1" applyFill="1" applyAlignment="1">
      <alignment horizontal="center"/>
    </xf>
    <xf numFmtId="5" fontId="40" fillId="0" borderId="0" xfId="0" applyNumberFormat="1" applyFont="1" applyFill="1"/>
    <xf numFmtId="0" fontId="40" fillId="0" borderId="1" xfId="0" applyFont="1" applyFill="1" applyBorder="1"/>
    <xf numFmtId="5" fontId="40" fillId="0" borderId="1" xfId="0" applyNumberFormat="1" applyFont="1" applyFill="1" applyBorder="1"/>
    <xf numFmtId="0" fontId="38" fillId="0" borderId="0" xfId="0" applyFont="1" applyFill="1"/>
    <xf numFmtId="0" fontId="38" fillId="0" borderId="0" xfId="0" applyFont="1" applyFill="1" applyAlignment="1"/>
    <xf numFmtId="0" fontId="38" fillId="0" borderId="0" xfId="0" applyFont="1" applyAlignment="1">
      <alignment vertical="center"/>
    </xf>
    <xf numFmtId="0" fontId="38" fillId="0" borderId="0" xfId="0" applyFont="1" applyFill="1" applyAlignment="1">
      <alignment vertical="center"/>
    </xf>
    <xf numFmtId="5" fontId="38" fillId="0" borderId="0" xfId="0" applyNumberFormat="1" applyFont="1" applyFill="1" applyBorder="1" applyAlignment="1">
      <alignment vertical="center"/>
    </xf>
    <xf numFmtId="5" fontId="38" fillId="0" borderId="0" xfId="0" applyNumberFormat="1"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8" fillId="0" borderId="0" xfId="0" applyFont="1" applyAlignment="1">
      <alignment horizontal="left" vertical="center"/>
    </xf>
    <xf numFmtId="7" fontId="38" fillId="0" borderId="0" xfId="0" applyNumberFormat="1" applyFont="1" applyAlignment="1">
      <alignment vertical="center"/>
    </xf>
    <xf numFmtId="0" fontId="38" fillId="0" borderId="1" xfId="0" applyFont="1" applyFill="1" applyBorder="1" applyAlignment="1">
      <alignment vertical="center"/>
    </xf>
    <xf numFmtId="7" fontId="38" fillId="0" borderId="0" xfId="0" applyNumberFormat="1" applyFont="1" applyFill="1" applyAlignment="1">
      <alignment vertical="center"/>
    </xf>
    <xf numFmtId="4" fontId="38" fillId="0" borderId="0" xfId="0" applyNumberFormat="1" applyFont="1" applyAlignment="1">
      <alignment vertical="center"/>
    </xf>
    <xf numFmtId="4" fontId="38" fillId="0" borderId="0" xfId="0" applyNumberFormat="1" applyFont="1" applyFill="1" applyAlignment="1">
      <alignment vertical="center"/>
    </xf>
    <xf numFmtId="43" fontId="38" fillId="0" borderId="0" xfId="1" applyNumberFormat="1" applyFont="1" applyAlignment="1">
      <alignment vertical="center"/>
    </xf>
    <xf numFmtId="43" fontId="38" fillId="0" borderId="0" xfId="1" applyNumberFormat="1" applyFont="1" applyFill="1" applyAlignment="1">
      <alignment vertical="center"/>
    </xf>
    <xf numFmtId="168" fontId="38" fillId="0" borderId="0" xfId="1" applyNumberFormat="1" applyFont="1" applyAlignment="1">
      <alignment vertical="center"/>
    </xf>
    <xf numFmtId="168" fontId="38" fillId="0" borderId="0" xfId="1" applyNumberFormat="1" applyFont="1" applyFill="1" applyAlignment="1">
      <alignment vertical="center"/>
    </xf>
    <xf numFmtId="168" fontId="38" fillId="0" borderId="1" xfId="1" applyNumberFormat="1" applyFont="1" applyFill="1" applyBorder="1" applyAlignment="1">
      <alignment vertical="center"/>
    </xf>
    <xf numFmtId="168" fontId="38" fillId="0" borderId="1" xfId="1" applyNumberFormat="1" applyFont="1" applyBorder="1" applyAlignment="1">
      <alignment vertical="center"/>
    </xf>
    <xf numFmtId="172" fontId="39" fillId="0" borderId="0" xfId="170" applyNumberFormat="1" applyFont="1" applyAlignment="1">
      <alignment vertical="center"/>
    </xf>
    <xf numFmtId="172" fontId="39" fillId="0" borderId="0" xfId="170" applyNumberFormat="1" applyFont="1" applyFill="1" applyAlignment="1">
      <alignment vertical="center"/>
    </xf>
    <xf numFmtId="0" fontId="38" fillId="0" borderId="0" xfId="0" applyFont="1" applyFill="1" applyBorder="1" applyAlignment="1">
      <alignment vertical="center"/>
    </xf>
    <xf numFmtId="168" fontId="38" fillId="0" borderId="0" xfId="1" applyNumberFormat="1" applyFont="1" applyFill="1" applyBorder="1" applyAlignment="1">
      <alignment vertical="center"/>
    </xf>
    <xf numFmtId="168" fontId="38" fillId="0" borderId="0" xfId="1" applyNumberFormat="1" applyFont="1" applyBorder="1" applyAlignment="1">
      <alignment vertical="center"/>
    </xf>
    <xf numFmtId="168" fontId="38" fillId="0" borderId="0" xfId="0" applyNumberFormat="1" applyFont="1" applyAlignment="1">
      <alignment vertical="center"/>
    </xf>
    <xf numFmtId="176" fontId="38" fillId="0" borderId="0" xfId="1" applyNumberFormat="1" applyFont="1" applyAlignment="1">
      <alignment vertical="center"/>
    </xf>
    <xf numFmtId="0" fontId="40" fillId="0" borderId="0" xfId="0" applyFont="1" applyFill="1" applyBorder="1"/>
    <xf numFmtId="37" fontId="68" fillId="0" borderId="0" xfId="60" applyFont="1" applyFill="1"/>
    <xf numFmtId="37" fontId="68" fillId="0" borderId="1" xfId="60" applyFont="1" applyFill="1" applyBorder="1"/>
    <xf numFmtId="5" fontId="40" fillId="0" borderId="14" xfId="0" applyNumberFormat="1" applyFont="1" applyFill="1" applyBorder="1"/>
    <xf numFmtId="0" fontId="40" fillId="0" borderId="2" xfId="0" applyFont="1" applyFill="1" applyBorder="1"/>
    <xf numFmtId="6" fontId="40" fillId="0" borderId="0" xfId="0" applyNumberFormat="1" applyFont="1" applyFill="1"/>
    <xf numFmtId="168" fontId="38" fillId="0" borderId="19" xfId="1" applyNumberFormat="1" applyFont="1" applyFill="1" applyBorder="1" applyAlignment="1">
      <alignment horizontal="center" vertical="center"/>
    </xf>
    <xf numFmtId="168" fontId="38" fillId="0" borderId="33" xfId="1" applyNumberFormat="1" applyFont="1" applyFill="1" applyBorder="1" applyAlignment="1">
      <alignment vertical="center"/>
    </xf>
    <xf numFmtId="168" fontId="38" fillId="0" borderId="40" xfId="1" applyNumberFormat="1" applyFont="1" applyFill="1" applyBorder="1" applyAlignment="1">
      <alignment vertical="center"/>
    </xf>
    <xf numFmtId="168" fontId="38" fillId="0" borderId="41" xfId="1" applyNumberFormat="1" applyFont="1" applyFill="1" applyBorder="1" applyAlignment="1">
      <alignment vertical="center"/>
    </xf>
    <xf numFmtId="168" fontId="38" fillId="0" borderId="34" xfId="1" applyNumberFormat="1" applyFont="1" applyFill="1" applyBorder="1" applyAlignment="1">
      <alignment vertical="center"/>
    </xf>
    <xf numFmtId="0" fontId="69" fillId="0" borderId="0" xfId="0" applyFont="1" applyFill="1" applyBorder="1" applyAlignment="1">
      <alignment horizontal="left" vertical="center"/>
    </xf>
    <xf numFmtId="172" fontId="38" fillId="0" borderId="0" xfId="0" applyNumberFormat="1" applyFont="1" applyFill="1" applyAlignment="1">
      <alignment vertical="center"/>
    </xf>
    <xf numFmtId="0" fontId="38" fillId="0" borderId="1" xfId="0" applyFont="1" applyBorder="1" applyAlignment="1">
      <alignment horizontal="center" vertical="center"/>
    </xf>
    <xf numFmtId="0" fontId="38" fillId="0" borderId="0" xfId="0" quotePrefix="1" applyFont="1" applyAlignment="1">
      <alignment horizontal="center" vertical="center"/>
    </xf>
    <xf numFmtId="172" fontId="38" fillId="0" borderId="0" xfId="0" applyNumberFormat="1" applyFont="1" applyAlignment="1">
      <alignment vertical="center"/>
    </xf>
    <xf numFmtId="168" fontId="42" fillId="0" borderId="0" xfId="1" applyNumberFormat="1" applyFont="1" applyFill="1" applyAlignment="1">
      <alignment horizontal="center"/>
    </xf>
    <xf numFmtId="0" fontId="38" fillId="0" borderId="1" xfId="0" applyFont="1" applyFill="1" applyBorder="1" applyAlignment="1">
      <alignment horizontal="center" vertical="center"/>
    </xf>
    <xf numFmtId="168" fontId="38" fillId="0" borderId="0" xfId="1" quotePrefix="1" applyNumberFormat="1" applyFont="1" applyAlignment="1">
      <alignment horizontal="center" vertical="center"/>
    </xf>
    <xf numFmtId="168" fontId="39" fillId="0" borderId="0" xfId="1" applyNumberFormat="1" applyFont="1" applyAlignment="1">
      <alignment vertical="center"/>
    </xf>
    <xf numFmtId="0" fontId="38" fillId="0" borderId="0" xfId="0" quotePrefix="1" applyNumberFormat="1" applyFont="1" applyBorder="1" applyAlignment="1">
      <alignment horizontal="center" vertical="center"/>
    </xf>
    <xf numFmtId="0" fontId="38" fillId="0" borderId="0" xfId="0" quotePrefix="1" applyFont="1" applyBorder="1" applyAlignment="1">
      <alignment horizontal="center" vertical="center"/>
    </xf>
    <xf numFmtId="0" fontId="38" fillId="0" borderId="0" xfId="0" applyFont="1" applyBorder="1" applyAlignment="1">
      <alignment horizontal="center" vertical="center"/>
    </xf>
    <xf numFmtId="9" fontId="40" fillId="0" borderId="0" xfId="2" applyFont="1" applyFill="1"/>
    <xf numFmtId="172" fontId="0" fillId="0" borderId="0" xfId="170" applyNumberFormat="1" applyFont="1" applyFill="1"/>
    <xf numFmtId="172" fontId="0" fillId="0" borderId="0" xfId="0" applyNumberFormat="1" applyFill="1"/>
    <xf numFmtId="5" fontId="72" fillId="0" borderId="0" xfId="0" applyNumberFormat="1" applyFont="1" applyFill="1"/>
    <xf numFmtId="172" fontId="38" fillId="0" borderId="0" xfId="170" applyNumberFormat="1" applyFont="1" applyFill="1" applyAlignment="1">
      <alignment vertical="center"/>
    </xf>
    <xf numFmtId="44" fontId="38" fillId="0" borderId="0" xfId="170" applyFont="1" applyFill="1" applyBorder="1"/>
    <xf numFmtId="176" fontId="38" fillId="0" borderId="0" xfId="1" applyNumberFormat="1" applyFont="1" applyFill="1" applyAlignment="1">
      <alignment vertical="center"/>
    </xf>
    <xf numFmtId="0" fontId="39" fillId="0" borderId="0" xfId="0" applyFont="1" applyFill="1"/>
    <xf numFmtId="0" fontId="38" fillId="0" borderId="30" xfId="0" applyFont="1" applyFill="1" applyBorder="1"/>
    <xf numFmtId="0" fontId="38" fillId="0" borderId="31" xfId="0" applyFont="1" applyFill="1" applyBorder="1"/>
    <xf numFmtId="0" fontId="38" fillId="0" borderId="32" xfId="0" applyFont="1" applyFill="1" applyBorder="1"/>
    <xf numFmtId="0" fontId="38" fillId="0" borderId="33" xfId="0" applyFont="1" applyFill="1" applyBorder="1"/>
    <xf numFmtId="168" fontId="38" fillId="0" borderId="18" xfId="1" applyNumberFormat="1" applyFont="1" applyFill="1" applyBorder="1" applyAlignment="1">
      <alignment horizontal="center" vertical="center"/>
    </xf>
    <xf numFmtId="168" fontId="38" fillId="0" borderId="20" xfId="1" applyNumberFormat="1" applyFont="1" applyFill="1" applyBorder="1" applyAlignment="1">
      <alignment horizontal="center" vertical="center"/>
    </xf>
    <xf numFmtId="0" fontId="67" fillId="0" borderId="0" xfId="0" applyFont="1" applyFill="1" applyBorder="1"/>
    <xf numFmtId="0" fontId="38" fillId="0" borderId="34" xfId="0" applyFont="1" applyFill="1" applyBorder="1"/>
    <xf numFmtId="0" fontId="38" fillId="0" borderId="40" xfId="0" applyFont="1" applyFill="1" applyBorder="1"/>
    <xf numFmtId="175" fontId="38" fillId="0" borderId="0" xfId="170" applyNumberFormat="1" applyFont="1" applyFill="1" applyBorder="1"/>
    <xf numFmtId="175" fontId="38" fillId="0" borderId="41" xfId="170" applyNumberFormat="1" applyFont="1" applyFill="1" applyBorder="1"/>
    <xf numFmtId="0" fontId="38" fillId="0" borderId="0" xfId="0" applyFont="1" applyFill="1" applyBorder="1"/>
    <xf numFmtId="44" fontId="38" fillId="0" borderId="41" xfId="170" applyFont="1" applyFill="1" applyBorder="1"/>
    <xf numFmtId="0" fontId="38" fillId="0" borderId="41" xfId="0" applyFont="1" applyFill="1" applyBorder="1"/>
    <xf numFmtId="0" fontId="38" fillId="0" borderId="42" xfId="0" applyFont="1" applyFill="1" applyBorder="1"/>
    <xf numFmtId="0" fontId="38" fillId="0" borderId="1" xfId="0" applyFont="1" applyFill="1" applyBorder="1"/>
    <xf numFmtId="0" fontId="38" fillId="0" borderId="43" xfId="0" applyFont="1" applyFill="1" applyBorder="1"/>
    <xf numFmtId="44" fontId="38" fillId="0" borderId="1" xfId="170" applyFont="1" applyFill="1" applyBorder="1"/>
    <xf numFmtId="44" fontId="38" fillId="0" borderId="43" xfId="170" applyFont="1" applyFill="1" applyBorder="1"/>
    <xf numFmtId="0" fontId="38" fillId="0" borderId="35" xfId="0" applyFont="1" applyFill="1" applyBorder="1"/>
    <xf numFmtId="0" fontId="38" fillId="0" borderId="2" xfId="0" applyFont="1" applyFill="1" applyBorder="1"/>
    <xf numFmtId="0" fontId="38" fillId="0" borderId="36" xfId="0" applyFont="1" applyFill="1" applyBorder="1"/>
    <xf numFmtId="0" fontId="67" fillId="0" borderId="0" xfId="0" applyFont="1" applyFill="1" applyAlignment="1"/>
    <xf numFmtId="0" fontId="38" fillId="0" borderId="31" xfId="0" applyFont="1" applyFill="1" applyBorder="1" applyAlignment="1"/>
    <xf numFmtId="0" fontId="67" fillId="0" borderId="31" xfId="0" applyFont="1" applyFill="1" applyBorder="1" applyAlignment="1"/>
    <xf numFmtId="168" fontId="40" fillId="0" borderId="18" xfId="1" applyNumberFormat="1" applyFont="1" applyFill="1" applyBorder="1" applyAlignment="1">
      <alignment horizontal="center" vertical="center"/>
    </xf>
    <xf numFmtId="168" fontId="40" fillId="0" borderId="20" xfId="1" applyNumberFormat="1" applyFont="1" applyFill="1" applyBorder="1" applyAlignment="1">
      <alignment horizontal="center" vertical="center"/>
    </xf>
    <xf numFmtId="0" fontId="38" fillId="0" borderId="0" xfId="0" applyFont="1" applyFill="1" applyBorder="1" applyAlignment="1"/>
    <xf numFmtId="0" fontId="67" fillId="0" borderId="38" xfId="0" applyFont="1" applyFill="1" applyBorder="1"/>
    <xf numFmtId="0" fontId="38" fillId="0" borderId="14" xfId="0" applyFont="1" applyFill="1" applyBorder="1"/>
    <xf numFmtId="0" fontId="38" fillId="0" borderId="39" xfId="0" applyFont="1" applyFill="1" applyBorder="1"/>
    <xf numFmtId="0" fontId="38" fillId="0" borderId="38" xfId="0" applyFont="1" applyFill="1" applyBorder="1"/>
    <xf numFmtId="175" fontId="38" fillId="0" borderId="14" xfId="170" applyNumberFormat="1" applyFont="1" applyFill="1" applyBorder="1"/>
    <xf numFmtId="175" fontId="38" fillId="0" borderId="39" xfId="170" applyNumberFormat="1" applyFont="1" applyFill="1" applyBorder="1"/>
    <xf numFmtId="0" fontId="38" fillId="0" borderId="40" xfId="0" applyFont="1" applyFill="1" applyBorder="1" applyAlignment="1">
      <alignment horizontal="left" indent="1"/>
    </xf>
    <xf numFmtId="37" fontId="38" fillId="0" borderId="0" xfId="0" applyNumberFormat="1" applyFont="1" applyFill="1" applyBorder="1"/>
    <xf numFmtId="37" fontId="38" fillId="0" borderId="41" xfId="0" applyNumberFormat="1" applyFont="1" applyFill="1" applyBorder="1"/>
    <xf numFmtId="43" fontId="38" fillId="0" borderId="0" xfId="1" applyFont="1" applyFill="1" applyBorder="1"/>
    <xf numFmtId="37" fontId="38" fillId="0" borderId="1" xfId="0" applyNumberFormat="1" applyFont="1" applyFill="1" applyBorder="1"/>
    <xf numFmtId="37" fontId="38" fillId="0" borderId="43" xfId="0" applyNumberFormat="1" applyFont="1" applyFill="1" applyBorder="1"/>
    <xf numFmtId="0" fontId="67" fillId="0" borderId="0" xfId="0" applyFont="1" applyFill="1" applyBorder="1" applyAlignment="1"/>
    <xf numFmtId="168" fontId="40" fillId="0" borderId="38" xfId="1" applyNumberFormat="1" applyFont="1" applyFill="1" applyBorder="1" applyAlignment="1">
      <alignment horizontal="center" vertical="center"/>
    </xf>
    <xf numFmtId="168" fontId="40" fillId="0" borderId="14" xfId="1" applyNumberFormat="1" applyFont="1" applyFill="1" applyBorder="1" applyAlignment="1">
      <alignment horizontal="center" vertical="center"/>
    </xf>
    <xf numFmtId="0" fontId="39" fillId="0" borderId="30" xfId="0" applyFont="1" applyFill="1" applyBorder="1"/>
    <xf numFmtId="0" fontId="67" fillId="0" borderId="32" xfId="0" applyFont="1" applyFill="1" applyBorder="1" applyAlignment="1"/>
    <xf numFmtId="0" fontId="39" fillId="0" borderId="33" xfId="0" applyFont="1" applyFill="1" applyBorder="1"/>
    <xf numFmtId="37" fontId="38" fillId="0" borderId="34" xfId="0" applyNumberFormat="1" applyFont="1" applyFill="1" applyBorder="1"/>
    <xf numFmtId="37" fontId="38" fillId="0" borderId="36" xfId="0" applyNumberFormat="1" applyFont="1" applyFill="1" applyBorder="1"/>
    <xf numFmtId="37" fontId="38" fillId="0" borderId="0" xfId="0" applyNumberFormat="1" applyFont="1" applyFill="1"/>
    <xf numFmtId="0" fontId="67" fillId="0" borderId="31" xfId="0" applyFont="1" applyFill="1" applyBorder="1"/>
    <xf numFmtId="0" fontId="67" fillId="0" borderId="40" xfId="0" applyFont="1" applyFill="1" applyBorder="1"/>
    <xf numFmtId="172" fontId="40" fillId="0" borderId="0" xfId="170" applyNumberFormat="1" applyFont="1" applyFill="1"/>
    <xf numFmtId="172" fontId="40" fillId="0" borderId="0" xfId="0" applyNumberFormat="1" applyFont="1" applyFill="1"/>
    <xf numFmtId="5" fontId="40" fillId="0" borderId="0" xfId="2" applyNumberFormat="1" applyFont="1" applyFill="1"/>
    <xf numFmtId="0" fontId="38" fillId="0" borderId="1" xfId="0" applyFont="1" applyBorder="1" applyAlignment="1">
      <alignment horizontal="center" vertical="center"/>
    </xf>
    <xf numFmtId="0" fontId="8" fillId="0" borderId="0" xfId="502" applyFill="1" applyAlignment="1">
      <alignment horizontal="center"/>
    </xf>
    <xf numFmtId="44" fontId="8" fillId="0" borderId="0" xfId="115" applyFont="1" applyFill="1" applyAlignment="1">
      <alignment horizontal="center"/>
    </xf>
    <xf numFmtId="175" fontId="8" fillId="0" borderId="0" xfId="115" applyNumberFormat="1" applyFont="1" applyFill="1" applyAlignment="1">
      <alignment horizontal="center"/>
    </xf>
    <xf numFmtId="183" fontId="8" fillId="0" borderId="0" xfId="2" applyNumberFormat="1" applyFont="1" applyFill="1" applyAlignment="1">
      <alignment horizontal="center"/>
    </xf>
    <xf numFmtId="0" fontId="0" fillId="0" borderId="0" xfId="0" applyFill="1" applyAlignment="1"/>
    <xf numFmtId="0" fontId="8" fillId="0" borderId="0" xfId="502" applyFill="1"/>
    <xf numFmtId="44" fontId="0" fillId="0" borderId="0" xfId="115" applyFont="1" applyFill="1" applyAlignment="1"/>
    <xf numFmtId="183" fontId="0" fillId="0" borderId="0" xfId="2" applyNumberFormat="1" applyFont="1" applyFill="1" applyAlignment="1"/>
    <xf numFmtId="0" fontId="8" fillId="0" borderId="0" xfId="502" applyFont="1" applyFill="1"/>
    <xf numFmtId="175" fontId="0" fillId="0" borderId="0" xfId="115" applyNumberFormat="1" applyFont="1" applyFill="1" applyAlignment="1"/>
    <xf numFmtId="0" fontId="74" fillId="0" borderId="0" xfId="502" applyFont="1" applyFill="1"/>
    <xf numFmtId="0" fontId="9" fillId="0" borderId="0" xfId="502" applyFont="1" applyFill="1"/>
    <xf numFmtId="0" fontId="41" fillId="0" borderId="1" xfId="502" applyFont="1" applyFill="1" applyBorder="1"/>
    <xf numFmtId="172" fontId="38" fillId="0" borderId="0" xfId="170" applyNumberFormat="1" applyFont="1" applyFill="1"/>
    <xf numFmtId="8" fontId="38" fillId="0" borderId="0" xfId="1" applyNumberFormat="1" applyFont="1" applyFill="1" applyAlignment="1">
      <alignment vertical="center"/>
    </xf>
    <xf numFmtId="37" fontId="44" fillId="0" borderId="1" xfId="60" applyFont="1" applyFill="1" applyBorder="1"/>
    <xf numFmtId="0" fontId="64" fillId="0" borderId="0" xfId="0" applyFont="1"/>
    <xf numFmtId="0" fontId="64" fillId="0" borderId="0" xfId="0" applyFont="1" applyFill="1"/>
    <xf numFmtId="0" fontId="0" fillId="25" borderId="0" xfId="0" applyFill="1"/>
    <xf numFmtId="0" fontId="39" fillId="25" borderId="49" xfId="0" applyFont="1" applyFill="1" applyBorder="1" applyAlignment="1">
      <alignment vertical="center" wrapText="1"/>
    </xf>
    <xf numFmtId="0" fontId="41" fillId="25" borderId="31" xfId="0" applyFont="1" applyFill="1" applyBorder="1" applyAlignment="1">
      <alignment vertical="center"/>
    </xf>
    <xf numFmtId="0" fontId="39" fillId="25" borderId="50" xfId="0" applyFont="1" applyFill="1" applyBorder="1" applyAlignment="1">
      <alignment vertical="center" wrapText="1"/>
    </xf>
    <xf numFmtId="0" fontId="38" fillId="25" borderId="51" xfId="0" applyFont="1" applyFill="1" applyBorder="1" applyAlignment="1">
      <alignment horizontal="center" wrapText="1"/>
    </xf>
    <xf numFmtId="0" fontId="39" fillId="25" borderId="15"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39" fillId="25" borderId="52" xfId="0" quotePrefix="1" applyFont="1" applyFill="1" applyBorder="1" applyAlignment="1">
      <alignment horizontal="center" vertical="center" wrapText="1"/>
    </xf>
    <xf numFmtId="0" fontId="38" fillId="25" borderId="44" xfId="0" applyFont="1" applyFill="1" applyBorder="1" applyAlignment="1">
      <alignment vertical="center" wrapText="1"/>
    </xf>
    <xf numFmtId="0" fontId="38" fillId="25" borderId="15" xfId="0" applyFont="1" applyFill="1" applyBorder="1" applyAlignment="1">
      <alignment wrapText="1"/>
    </xf>
    <xf numFmtId="172" fontId="40" fillId="25" borderId="15" xfId="115" applyNumberFormat="1" applyFont="1" applyFill="1" applyBorder="1" applyAlignment="1"/>
    <xf numFmtId="10" fontId="38" fillId="25" borderId="52" xfId="0" applyNumberFormat="1" applyFont="1" applyFill="1" applyBorder="1" applyAlignment="1">
      <alignment horizontal="center" wrapText="1"/>
    </xf>
    <xf numFmtId="0" fontId="38" fillId="25" borderId="45" xfId="0" applyFont="1" applyFill="1" applyBorder="1" applyAlignment="1">
      <alignment vertical="center" wrapText="1"/>
    </xf>
    <xf numFmtId="172" fontId="40" fillId="25" borderId="15" xfId="168" applyNumberFormat="1" applyFont="1" applyFill="1" applyBorder="1" applyAlignment="1"/>
    <xf numFmtId="0" fontId="38" fillId="25" borderId="46" xfId="0" applyFont="1" applyFill="1" applyBorder="1" applyAlignment="1">
      <alignment vertical="center" wrapText="1"/>
    </xf>
    <xf numFmtId="0" fontId="38" fillId="25" borderId="54" xfId="0" applyFont="1" applyFill="1" applyBorder="1" applyAlignment="1">
      <alignment vertical="center" wrapText="1"/>
    </xf>
    <xf numFmtId="0" fontId="38" fillId="25" borderId="54" xfId="0" applyFont="1" applyFill="1" applyBorder="1" applyAlignment="1">
      <alignment horizontal="center"/>
    </xf>
    <xf numFmtId="0" fontId="38" fillId="25" borderId="55" xfId="0" applyFont="1" applyFill="1" applyBorder="1" applyAlignment="1">
      <alignment horizontal="center"/>
    </xf>
    <xf numFmtId="172" fontId="0" fillId="25" borderId="0" xfId="0" applyNumberFormat="1" applyFill="1"/>
    <xf numFmtId="10" fontId="0" fillId="25" borderId="0" xfId="2" applyNumberFormat="1" applyFont="1" applyFill="1"/>
    <xf numFmtId="0" fontId="0" fillId="25" borderId="0" xfId="0" applyFill="1" applyAlignment="1">
      <alignment horizontal="left" wrapText="1"/>
    </xf>
    <xf numFmtId="0" fontId="0" fillId="25" borderId="0" xfId="0" applyFill="1" applyAlignment="1">
      <alignment wrapText="1"/>
    </xf>
    <xf numFmtId="0" fontId="38" fillId="25" borderId="0" xfId="0" applyFont="1" applyFill="1"/>
    <xf numFmtId="172" fontId="38" fillId="25" borderId="0" xfId="0" applyNumberFormat="1" applyFont="1" applyFill="1"/>
    <xf numFmtId="168" fontId="0" fillId="25" borderId="0" xfId="1" applyNumberFormat="1" applyFont="1" applyFill="1"/>
    <xf numFmtId="44" fontId="0" fillId="25" borderId="0" xfId="115" applyFont="1" applyFill="1"/>
    <xf numFmtId="168" fontId="0" fillId="25" borderId="0" xfId="0" applyNumberFormat="1" applyFill="1"/>
    <xf numFmtId="43" fontId="0" fillId="25" borderId="0" xfId="0" applyNumberFormat="1" applyFill="1"/>
    <xf numFmtId="0" fontId="41" fillId="0" borderId="0" xfId="502" applyFont="1" applyFill="1"/>
    <xf numFmtId="0" fontId="41" fillId="0" borderId="0" xfId="503" applyFont="1" applyFill="1"/>
    <xf numFmtId="0" fontId="41" fillId="0" borderId="0" xfId="472" applyFont="1" applyFill="1"/>
    <xf numFmtId="0" fontId="75" fillId="0" borderId="0" xfId="0" applyFont="1" applyFill="1" applyAlignment="1"/>
    <xf numFmtId="0" fontId="76" fillId="0" borderId="0" xfId="504" applyFont="1" applyFill="1" applyAlignment="1"/>
    <xf numFmtId="0" fontId="76" fillId="0" borderId="0" xfId="0" applyFont="1" applyFill="1" applyAlignment="1"/>
    <xf numFmtId="0" fontId="76" fillId="0" borderId="0" xfId="0" applyNumberFormat="1" applyFont="1" applyFill="1" applyAlignment="1"/>
    <xf numFmtId="172" fontId="38" fillId="25" borderId="15" xfId="170" applyNumberFormat="1" applyFont="1" applyFill="1" applyBorder="1" applyAlignment="1">
      <alignment vertical="center" wrapText="1"/>
    </xf>
    <xf numFmtId="0" fontId="39" fillId="25" borderId="0" xfId="0" applyFont="1" applyFill="1"/>
    <xf numFmtId="37" fontId="40" fillId="25" borderId="15" xfId="0" applyNumberFormat="1" applyFont="1" applyFill="1" applyBorder="1"/>
    <xf numFmtId="3" fontId="38" fillId="25" borderId="15" xfId="0" applyNumberFormat="1" applyFont="1" applyFill="1" applyBorder="1" applyAlignment="1">
      <alignment horizontal="right" vertical="center" wrapText="1"/>
    </xf>
    <xf numFmtId="0" fontId="38" fillId="25" borderId="15" xfId="0" applyFont="1" applyFill="1" applyBorder="1" applyAlignment="1">
      <alignment horizontal="right" vertical="center" wrapText="1"/>
    </xf>
    <xf numFmtId="168" fontId="38" fillId="25" borderId="15" xfId="1" applyNumberFormat="1" applyFont="1" applyFill="1" applyBorder="1" applyAlignment="1">
      <alignment horizontal="right" vertical="center" wrapText="1"/>
    </xf>
    <xf numFmtId="1" fontId="38" fillId="25" borderId="15" xfId="0" applyNumberFormat="1" applyFont="1" applyFill="1" applyBorder="1" applyAlignment="1">
      <alignment horizontal="right" vertical="center" wrapText="1"/>
    </xf>
    <xf numFmtId="37" fontId="0" fillId="25" borderId="0" xfId="0" applyNumberFormat="1" applyFill="1"/>
    <xf numFmtId="0" fontId="0" fillId="25" borderId="0" xfId="0" applyFill="1" applyBorder="1"/>
    <xf numFmtId="0" fontId="39" fillId="25" borderId="0" xfId="0" applyFont="1" applyFill="1" applyBorder="1"/>
    <xf numFmtId="0" fontId="38" fillId="25" borderId="0" xfId="0" applyFont="1" applyFill="1" applyBorder="1" applyAlignment="1">
      <alignment horizontal="center" vertical="center" wrapText="1"/>
    </xf>
    <xf numFmtId="0" fontId="38" fillId="25" borderId="0" xfId="0" applyFont="1" applyFill="1" applyBorder="1" applyAlignment="1">
      <alignment vertical="center" wrapText="1"/>
    </xf>
    <xf numFmtId="44" fontId="38" fillId="25" borderId="0" xfId="170" applyFont="1" applyFill="1" applyBorder="1" applyAlignment="1">
      <alignment horizontal="center" vertical="center" wrapText="1"/>
    </xf>
    <xf numFmtId="0" fontId="38" fillId="25" borderId="59" xfId="0" applyFont="1" applyFill="1" applyBorder="1" applyAlignment="1">
      <alignment vertical="center" wrapText="1"/>
    </xf>
    <xf numFmtId="172" fontId="0" fillId="25" borderId="0" xfId="170" applyNumberFormat="1" applyFont="1" applyFill="1"/>
    <xf numFmtId="172" fontId="0" fillId="25" borderId="0" xfId="0" applyNumberFormat="1" applyFill="1" applyAlignment="1">
      <alignment horizontal="left" wrapText="1"/>
    </xf>
    <xf numFmtId="172" fontId="0" fillId="0" borderId="1" xfId="170" applyNumberFormat="1" applyFont="1" applyFill="1" applyBorder="1"/>
    <xf numFmtId="168" fontId="40" fillId="0" borderId="1" xfId="1" applyNumberFormat="1" applyFont="1" applyFill="1" applyBorder="1" applyAlignment="1">
      <alignment vertical="center"/>
    </xf>
    <xf numFmtId="168" fontId="40" fillId="0" borderId="41" xfId="1" applyNumberFormat="1" applyFont="1" applyFill="1" applyBorder="1" applyAlignment="1">
      <alignment vertical="center"/>
    </xf>
    <xf numFmtId="39" fontId="71" fillId="0" borderId="0" xfId="0" applyNumberFormat="1" applyFont="1" applyFill="1"/>
    <xf numFmtId="168" fontId="40" fillId="0" borderId="0" xfId="1" applyNumberFormat="1" applyFont="1" applyFill="1" applyAlignment="1">
      <alignment horizontal="left"/>
    </xf>
    <xf numFmtId="168" fontId="40" fillId="0" borderId="1" xfId="1" applyNumberFormat="1" applyFont="1" applyFill="1" applyBorder="1" applyAlignment="1">
      <alignment horizontal="left"/>
    </xf>
    <xf numFmtId="168" fontId="40" fillId="0" borderId="40" xfId="1" applyNumberFormat="1" applyFont="1" applyFill="1" applyBorder="1" applyAlignment="1">
      <alignment horizontal="left" vertical="center"/>
    </xf>
    <xf numFmtId="0" fontId="0" fillId="58" borderId="0" xfId="0" applyFill="1" applyAlignment="1">
      <alignment horizontal="center"/>
    </xf>
    <xf numFmtId="168" fontId="41" fillId="0" borderId="20" xfId="1" applyNumberFormat="1" applyFont="1" applyFill="1" applyBorder="1"/>
    <xf numFmtId="5" fontId="0" fillId="58" borderId="0" xfId="0" applyNumberFormat="1" applyFill="1"/>
    <xf numFmtId="185" fontId="0" fillId="0" borderId="0" xfId="2" applyNumberFormat="1" applyFont="1" applyFill="1"/>
    <xf numFmtId="172" fontId="0" fillId="0" borderId="0" xfId="170" applyNumberFormat="1" applyFont="1" applyFill="1" applyBorder="1"/>
    <xf numFmtId="172" fontId="0" fillId="0" borderId="0" xfId="0" applyNumberFormat="1" applyFill="1" applyBorder="1"/>
    <xf numFmtId="185" fontId="0" fillId="0" borderId="0" xfId="2" applyNumberFormat="1" applyFont="1" applyFill="1" applyBorder="1"/>
    <xf numFmtId="168" fontId="0" fillId="0" borderId="0" xfId="1" applyNumberFormat="1" applyFont="1" applyFill="1" applyBorder="1"/>
    <xf numFmtId="172" fontId="0" fillId="0" borderId="1" xfId="0" applyNumberFormat="1" applyFill="1" applyBorder="1"/>
    <xf numFmtId="9" fontId="0" fillId="0" borderId="0" xfId="2" applyFont="1" applyFill="1"/>
    <xf numFmtId="37" fontId="68" fillId="0" borderId="0" xfId="60" applyFont="1" applyFill="1" applyBorder="1"/>
    <xf numFmtId="9" fontId="0" fillId="0" borderId="0" xfId="2" applyFont="1" applyFill="1" applyBorder="1"/>
    <xf numFmtId="172" fontId="41" fillId="0" borderId="0" xfId="170" applyNumberFormat="1" applyFont="1" applyFill="1" applyBorder="1"/>
    <xf numFmtId="5" fontId="0" fillId="59" borderId="0" xfId="0" applyNumberFormat="1" applyFill="1"/>
    <xf numFmtId="5" fontId="0" fillId="58" borderId="1" xfId="0" applyNumberFormat="1" applyFill="1" applyBorder="1"/>
    <xf numFmtId="0" fontId="9" fillId="58" borderId="0" xfId="0" applyFont="1" applyFill="1" applyAlignment="1">
      <alignment horizontal="center"/>
    </xf>
    <xf numFmtId="187" fontId="38" fillId="0" borderId="0" xfId="2" applyNumberFormat="1" applyFont="1" applyFill="1" applyBorder="1" applyAlignment="1">
      <alignment vertical="center"/>
    </xf>
    <xf numFmtId="177" fontId="38" fillId="0" borderId="0" xfId="2" applyNumberFormat="1" applyFont="1" applyFill="1" applyBorder="1" applyAlignment="1">
      <alignment vertical="center"/>
    </xf>
    <xf numFmtId="188" fontId="38" fillId="0" borderId="0" xfId="2" applyNumberFormat="1" applyFont="1" applyFill="1" applyBorder="1" applyAlignment="1">
      <alignment vertical="center"/>
    </xf>
    <xf numFmtId="43" fontId="0" fillId="25" borderId="0" xfId="1" applyFont="1" applyFill="1"/>
    <xf numFmtId="7" fontId="0" fillId="0" borderId="1" xfId="0" applyNumberFormat="1" applyFill="1" applyBorder="1"/>
    <xf numFmtId="168" fontId="9" fillId="0" borderId="0" xfId="1" applyNumberFormat="1" applyFont="1" applyFill="1" applyAlignment="1">
      <alignment horizontal="center"/>
    </xf>
    <xf numFmtId="183" fontId="8" fillId="0" borderId="0" xfId="2" applyNumberFormat="1" applyFont="1" applyFill="1"/>
    <xf numFmtId="5" fontId="0" fillId="59" borderId="1" xfId="0" applyNumberFormat="1" applyFill="1" applyBorder="1"/>
    <xf numFmtId="0" fontId="38" fillId="25" borderId="60" xfId="0" applyFont="1" applyFill="1" applyBorder="1" applyAlignment="1">
      <alignment vertical="center" wrapText="1"/>
    </xf>
    <xf numFmtId="172" fontId="40" fillId="0" borderId="15" xfId="115" applyNumberFormat="1" applyFont="1" applyFill="1" applyBorder="1" applyAlignment="1"/>
    <xf numFmtId="172" fontId="40" fillId="0" borderId="15" xfId="168" applyNumberFormat="1" applyFont="1" applyFill="1" applyBorder="1" applyAlignment="1"/>
    <xf numFmtId="37" fontId="40" fillId="25" borderId="15" xfId="0" applyNumberFormat="1" applyFont="1" applyFill="1" applyBorder="1" applyAlignment="1">
      <alignment horizontal="center"/>
    </xf>
    <xf numFmtId="185" fontId="40" fillId="25" borderId="15" xfId="0" applyNumberFormat="1" applyFont="1" applyFill="1" applyBorder="1" applyAlignment="1">
      <alignment horizontal="center"/>
    </xf>
    <xf numFmtId="0" fontId="39" fillId="60" borderId="17" xfId="0" applyFont="1" applyFill="1" applyBorder="1" applyAlignment="1">
      <alignment horizontal="center" vertical="center" wrapText="1"/>
    </xf>
    <xf numFmtId="0" fontId="39" fillId="60" borderId="15" xfId="0" applyFont="1" applyFill="1" applyBorder="1" applyAlignment="1">
      <alignment horizontal="center" vertical="center" wrapText="1"/>
    </xf>
    <xf numFmtId="44" fontId="39" fillId="60" borderId="15" xfId="170" applyFont="1" applyFill="1" applyBorder="1" applyAlignment="1">
      <alignment horizontal="center" vertical="center" wrapText="1"/>
    </xf>
    <xf numFmtId="0" fontId="78" fillId="0" borderId="59" xfId="0" applyFont="1" applyFill="1" applyBorder="1" applyAlignment="1">
      <alignment horizontal="left" vertical="center" wrapText="1"/>
    </xf>
    <xf numFmtId="0" fontId="39" fillId="60" borderId="52" xfId="0" applyFont="1" applyFill="1" applyBorder="1" applyAlignment="1">
      <alignment horizontal="center" vertical="center" wrapText="1"/>
    </xf>
    <xf numFmtId="185" fontId="38" fillId="25" borderId="52" xfId="0" applyNumberFormat="1" applyFont="1" applyFill="1" applyBorder="1" applyAlignment="1">
      <alignment vertical="center" wrapText="1"/>
    </xf>
    <xf numFmtId="185" fontId="40" fillId="25" borderId="52" xfId="0" applyNumberFormat="1" applyFont="1" applyFill="1" applyBorder="1" applyAlignment="1">
      <alignment horizontal="center"/>
    </xf>
    <xf numFmtId="37" fontId="40" fillId="25" borderId="54" xfId="0" applyNumberFormat="1" applyFont="1" applyFill="1" applyBorder="1" applyAlignment="1">
      <alignment horizontal="center"/>
    </xf>
    <xf numFmtId="185" fontId="40" fillId="25" borderId="54" xfId="0" applyNumberFormat="1" applyFont="1" applyFill="1" applyBorder="1" applyAlignment="1">
      <alignment horizontal="center"/>
    </xf>
    <xf numFmtId="185" fontId="40" fillId="25" borderId="55" xfId="0" applyNumberFormat="1" applyFont="1" applyFill="1" applyBorder="1" applyAlignment="1">
      <alignment horizontal="center"/>
    </xf>
    <xf numFmtId="185" fontId="38" fillId="0" borderId="15" xfId="0" applyNumberFormat="1" applyFont="1" applyFill="1" applyBorder="1" applyAlignment="1">
      <alignment vertical="center" wrapText="1"/>
    </xf>
    <xf numFmtId="0" fontId="39" fillId="25" borderId="58" xfId="0" applyFont="1" applyFill="1" applyBorder="1" applyAlignment="1">
      <alignment horizontal="center" vertical="center"/>
    </xf>
    <xf numFmtId="0" fontId="39" fillId="25" borderId="61" xfId="0" applyFont="1" applyFill="1" applyBorder="1" applyAlignment="1">
      <alignment horizontal="center" vertical="center"/>
    </xf>
    <xf numFmtId="0" fontId="39" fillId="25" borderId="17" xfId="0" applyFont="1" applyFill="1" applyBorder="1" applyAlignment="1">
      <alignment horizontal="center" vertical="center"/>
    </xf>
    <xf numFmtId="0" fontId="39" fillId="0" borderId="62" xfId="0" applyFont="1" applyFill="1" applyBorder="1" applyAlignment="1">
      <alignment horizontal="center" vertical="center"/>
    </xf>
    <xf numFmtId="0" fontId="39" fillId="0" borderId="31" xfId="0" applyFont="1" applyFill="1" applyBorder="1" applyAlignment="1">
      <alignment horizontal="center" vertical="center"/>
    </xf>
    <xf numFmtId="44" fontId="39" fillId="0" borderId="31" xfId="170" applyFont="1" applyFill="1" applyBorder="1" applyAlignment="1">
      <alignment horizontal="center" vertical="center"/>
    </xf>
    <xf numFmtId="0" fontId="39" fillId="0" borderId="32" xfId="0" applyFont="1" applyFill="1" applyBorder="1" applyAlignment="1">
      <alignment horizontal="center" vertical="center"/>
    </xf>
    <xf numFmtId="0" fontId="39" fillId="0" borderId="40" xfId="0" applyFont="1" applyFill="1" applyBorder="1" applyAlignment="1">
      <alignment horizontal="center" vertical="center"/>
    </xf>
    <xf numFmtId="0" fontId="39" fillId="0" borderId="0" xfId="0" applyFont="1" applyFill="1" applyBorder="1" applyAlignment="1">
      <alignment horizontal="center" vertical="center"/>
    </xf>
    <xf numFmtId="44" fontId="39" fillId="0" borderId="0" xfId="170" applyFont="1" applyFill="1" applyBorder="1" applyAlignment="1">
      <alignment horizontal="center" vertical="center"/>
    </xf>
    <xf numFmtId="0" fontId="39" fillId="0" borderId="34"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1" xfId="0" applyFont="1" applyFill="1" applyBorder="1" applyAlignment="1">
      <alignment horizontal="center" vertical="center"/>
    </xf>
    <xf numFmtId="44" fontId="39" fillId="0" borderId="1" xfId="170" applyFont="1" applyFill="1" applyBorder="1" applyAlignment="1">
      <alignment horizontal="center" vertical="center"/>
    </xf>
    <xf numFmtId="0" fontId="39" fillId="0" borderId="63" xfId="0" applyFont="1" applyFill="1" applyBorder="1" applyAlignment="1">
      <alignment horizontal="center" vertical="center"/>
    </xf>
    <xf numFmtId="0" fontId="40" fillId="25" borderId="0" xfId="0" applyFont="1" applyFill="1"/>
    <xf numFmtId="37" fontId="40" fillId="25" borderId="0" xfId="0" applyNumberFormat="1" applyFont="1" applyFill="1"/>
    <xf numFmtId="5" fontId="40" fillId="25" borderId="0" xfId="0" applyNumberFormat="1" applyFont="1" applyFill="1"/>
    <xf numFmtId="0" fontId="38" fillId="0" borderId="45" xfId="0" applyFont="1" applyFill="1" applyBorder="1" applyAlignment="1">
      <alignment vertical="center" wrapText="1"/>
    </xf>
    <xf numFmtId="37" fontId="40" fillId="0" borderId="15" xfId="0" applyNumberFormat="1" applyFont="1" applyFill="1" applyBorder="1"/>
    <xf numFmtId="3" fontId="38" fillId="0" borderId="15" xfId="0" applyNumberFormat="1" applyFont="1" applyFill="1" applyBorder="1" applyAlignment="1">
      <alignment horizontal="right" vertical="center" wrapText="1"/>
    </xf>
    <xf numFmtId="168" fontId="38" fillId="0" borderId="15" xfId="1" applyNumberFormat="1" applyFont="1" applyFill="1" applyBorder="1" applyAlignment="1">
      <alignment horizontal="right" vertical="center" wrapText="1"/>
    </xf>
    <xf numFmtId="172" fontId="38" fillId="0" borderId="15" xfId="170" applyNumberFormat="1" applyFont="1" applyFill="1" applyBorder="1" applyAlignment="1">
      <alignment vertical="center" wrapText="1"/>
    </xf>
    <xf numFmtId="185" fontId="38" fillId="0" borderId="52" xfId="0" applyNumberFormat="1" applyFont="1" applyFill="1" applyBorder="1" applyAlignment="1">
      <alignment vertical="center" wrapText="1"/>
    </xf>
    <xf numFmtId="5" fontId="40" fillId="0" borderId="0" xfId="103" applyNumberFormat="1" applyFont="1" applyFill="1"/>
    <xf numFmtId="5" fontId="38" fillId="0" borderId="0" xfId="0" applyNumberFormat="1" applyFont="1" applyFill="1"/>
    <xf numFmtId="0" fontId="40" fillId="25" borderId="15" xfId="0" applyFont="1" applyFill="1" applyBorder="1"/>
    <xf numFmtId="6" fontId="38" fillId="0" borderId="15" xfId="170" applyNumberFormat="1" applyFont="1" applyFill="1" applyBorder="1" applyAlignment="1">
      <alignment horizontal="right" vertical="center" wrapText="1"/>
    </xf>
    <xf numFmtId="0" fontId="79" fillId="0" borderId="0" xfId="505" applyAlignment="1"/>
    <xf numFmtId="44" fontId="8" fillId="0" borderId="0" xfId="115" applyFont="1" applyFill="1"/>
    <xf numFmtId="175" fontId="8" fillId="0" borderId="0" xfId="115" applyNumberFormat="1" applyFont="1" applyFill="1"/>
    <xf numFmtId="44" fontId="79" fillId="0" borderId="0" xfId="115" applyFont="1" applyFill="1" applyAlignment="1"/>
    <xf numFmtId="7" fontId="8" fillId="0" borderId="0" xfId="115" applyNumberFormat="1" applyFont="1" applyFill="1"/>
    <xf numFmtId="8" fontId="8" fillId="0" borderId="0" xfId="115" applyNumberFormat="1" applyFont="1" applyFill="1"/>
    <xf numFmtId="175" fontId="79" fillId="0" borderId="0" xfId="115" applyNumberFormat="1" applyFont="1" applyFill="1" applyAlignment="1"/>
    <xf numFmtId="184" fontId="8" fillId="0" borderId="0" xfId="115" applyNumberFormat="1" applyFont="1" applyFill="1"/>
    <xf numFmtId="44" fontId="42" fillId="0" borderId="0" xfId="115" applyFont="1" applyFill="1"/>
    <xf numFmtId="175" fontId="42" fillId="0" borderId="0" xfId="115" applyNumberFormat="1" applyFont="1" applyFill="1"/>
    <xf numFmtId="8" fontId="79" fillId="0" borderId="0" xfId="115" applyNumberFormat="1" applyFont="1" applyFill="1" applyAlignment="1"/>
    <xf numFmtId="44" fontId="79" fillId="0" borderId="0" xfId="115" applyNumberFormat="1" applyFont="1" applyFill="1" applyAlignment="1"/>
    <xf numFmtId="0" fontId="38" fillId="0" borderId="1" xfId="0" applyFont="1" applyFill="1" applyBorder="1" applyAlignment="1">
      <alignment horizontal="center" vertical="center"/>
    </xf>
    <xf numFmtId="168" fontId="66" fillId="0" borderId="0" xfId="1" applyNumberFormat="1" applyFont="1" applyFill="1" applyAlignment="1">
      <alignment horizontal="left" vertical="center"/>
    </xf>
    <xf numFmtId="168" fontId="40" fillId="0" borderId="0" xfId="1" applyNumberFormat="1" applyFont="1" applyFill="1" applyAlignment="1">
      <alignment vertical="center"/>
    </xf>
    <xf numFmtId="168" fontId="40" fillId="0" borderId="30" xfId="1" applyNumberFormat="1" applyFont="1" applyFill="1" applyBorder="1" applyAlignment="1">
      <alignment vertical="center"/>
    </xf>
    <xf numFmtId="168" fontId="40" fillId="0" borderId="31" xfId="1" applyNumberFormat="1" applyFont="1" applyFill="1" applyBorder="1" applyAlignment="1">
      <alignment vertical="center"/>
    </xf>
    <xf numFmtId="168" fontId="40" fillId="0" borderId="32" xfId="1" applyNumberFormat="1" applyFont="1" applyFill="1" applyBorder="1" applyAlignment="1">
      <alignment vertical="center"/>
    </xf>
    <xf numFmtId="168" fontId="40" fillId="0" borderId="33" xfId="1" applyNumberFormat="1" applyFont="1" applyFill="1" applyBorder="1" applyAlignment="1">
      <alignment vertical="center"/>
    </xf>
    <xf numFmtId="168" fontId="40" fillId="0" borderId="34" xfId="1" applyNumberFormat="1" applyFont="1" applyFill="1" applyBorder="1" applyAlignment="1">
      <alignment vertical="center"/>
    </xf>
    <xf numFmtId="168" fontId="40" fillId="0" borderId="38" xfId="1" applyNumberFormat="1" applyFont="1" applyFill="1" applyBorder="1" applyAlignment="1">
      <alignment horizontal="left" vertical="center"/>
    </xf>
    <xf numFmtId="168" fontId="40" fillId="0" borderId="14" xfId="1" applyNumberFormat="1" applyFont="1" applyFill="1" applyBorder="1" applyAlignment="1">
      <alignment horizontal="left" vertical="center"/>
    </xf>
    <xf numFmtId="168" fontId="40" fillId="0" borderId="39" xfId="1" applyNumberFormat="1" applyFont="1" applyFill="1" applyBorder="1" applyAlignment="1">
      <alignment horizontal="left" vertical="center"/>
    </xf>
    <xf numFmtId="168" fontId="40" fillId="0" borderId="41" xfId="1" applyNumberFormat="1" applyFont="1" applyFill="1" applyBorder="1" applyAlignment="1">
      <alignment horizontal="left" vertical="center"/>
    </xf>
    <xf numFmtId="168" fontId="40" fillId="0" borderId="42" xfId="1" applyNumberFormat="1" applyFont="1" applyFill="1" applyBorder="1" applyAlignment="1">
      <alignment horizontal="left" vertical="center"/>
    </xf>
    <xf numFmtId="168" fontId="40" fillId="0" borderId="1" xfId="1" applyNumberFormat="1" applyFont="1" applyFill="1" applyBorder="1" applyAlignment="1">
      <alignment horizontal="left" vertical="center"/>
    </xf>
    <xf numFmtId="168" fontId="40" fillId="0" borderId="43" xfId="1" applyNumberFormat="1" applyFont="1" applyFill="1" applyBorder="1" applyAlignment="1">
      <alignment horizontal="left" vertical="center"/>
    </xf>
    <xf numFmtId="168" fontId="40" fillId="0" borderId="35" xfId="1" applyNumberFormat="1" applyFont="1" applyFill="1" applyBorder="1" applyAlignment="1">
      <alignment vertical="center"/>
    </xf>
    <xf numFmtId="168" fontId="40" fillId="0" borderId="2" xfId="1" applyNumberFormat="1" applyFont="1" applyFill="1" applyBorder="1" applyAlignment="1">
      <alignment vertical="center"/>
    </xf>
    <xf numFmtId="168" fontId="40" fillId="0" borderId="36" xfId="1" applyNumberFormat="1" applyFont="1" applyFill="1" applyBorder="1" applyAlignment="1">
      <alignment vertical="center"/>
    </xf>
    <xf numFmtId="168" fontId="65" fillId="0" borderId="38" xfId="1" applyNumberFormat="1" applyFont="1" applyFill="1" applyBorder="1" applyAlignment="1">
      <alignment vertical="center"/>
    </xf>
    <xf numFmtId="168" fontId="40" fillId="0" borderId="39" xfId="1" applyNumberFormat="1" applyFont="1" applyFill="1" applyBorder="1" applyAlignment="1">
      <alignment vertical="center"/>
    </xf>
    <xf numFmtId="168" fontId="40" fillId="0" borderId="38" xfId="1" applyNumberFormat="1" applyFont="1" applyFill="1" applyBorder="1" applyAlignment="1">
      <alignment vertical="center"/>
    </xf>
    <xf numFmtId="168" fontId="40" fillId="0" borderId="43" xfId="1" applyNumberFormat="1" applyFont="1" applyFill="1" applyBorder="1" applyAlignment="1">
      <alignment vertical="center"/>
    </xf>
    <xf numFmtId="168" fontId="65" fillId="0" borderId="40" xfId="1" applyNumberFormat="1" applyFont="1" applyFill="1" applyBorder="1" applyAlignment="1">
      <alignment vertical="center"/>
    </xf>
    <xf numFmtId="168" fontId="66" fillId="0" borderId="0" xfId="1" applyNumberFormat="1" applyFont="1" applyFill="1" applyAlignment="1">
      <alignment vertical="center"/>
    </xf>
    <xf numFmtId="168" fontId="65" fillId="0" borderId="0" xfId="1" applyNumberFormat="1" applyFont="1" applyFill="1" applyBorder="1" applyAlignment="1">
      <alignment vertical="center"/>
    </xf>
    <xf numFmtId="168" fontId="65" fillId="0" borderId="0" xfId="1" applyNumberFormat="1" applyFont="1" applyFill="1" applyBorder="1" applyAlignment="1">
      <alignment horizontal="center" vertical="center"/>
    </xf>
    <xf numFmtId="168" fontId="65" fillId="0" borderId="31" xfId="1" applyNumberFormat="1" applyFont="1" applyFill="1" applyBorder="1" applyAlignment="1">
      <alignment horizontal="center" vertical="center"/>
    </xf>
    <xf numFmtId="168" fontId="65" fillId="0" borderId="31" xfId="1" applyNumberFormat="1" applyFont="1" applyFill="1" applyBorder="1" applyAlignment="1">
      <alignment vertical="center"/>
    </xf>
    <xf numFmtId="168" fontId="65" fillId="0" borderId="32" xfId="1" applyNumberFormat="1" applyFont="1" applyFill="1" applyBorder="1" applyAlignment="1">
      <alignment vertical="center"/>
    </xf>
    <xf numFmtId="9" fontId="40" fillId="0" borderId="0" xfId="2" applyFont="1" applyFill="1" applyAlignment="1">
      <alignment vertical="center"/>
    </xf>
    <xf numFmtId="168" fontId="63" fillId="0" borderId="0" xfId="1" applyNumberFormat="1" applyFont="1" applyFill="1"/>
    <xf numFmtId="0" fontId="42" fillId="0" borderId="0" xfId="0" applyFont="1" applyFill="1"/>
    <xf numFmtId="0" fontId="64" fillId="0" borderId="0" xfId="0" applyFont="1" applyFill="1" applyAlignment="1">
      <alignment horizontal="center"/>
    </xf>
    <xf numFmtId="168" fontId="64" fillId="0" borderId="0" xfId="1" applyNumberFormat="1" applyFont="1" applyFill="1" applyAlignment="1">
      <alignment horizontal="center"/>
    </xf>
    <xf numFmtId="0" fontId="9" fillId="0" borderId="0" xfId="0" applyFont="1" applyFill="1"/>
    <xf numFmtId="0" fontId="70" fillId="0" borderId="0" xfId="0" applyFont="1" applyFill="1" applyAlignment="1">
      <alignment horizontal="center"/>
    </xf>
    <xf numFmtId="49" fontId="70" fillId="0" borderId="0" xfId="1" applyNumberFormat="1" applyFont="1" applyFill="1" applyAlignment="1">
      <alignment horizontal="center"/>
    </xf>
    <xf numFmtId="49" fontId="0" fillId="0" borderId="0" xfId="0" applyNumberFormat="1" applyFill="1"/>
    <xf numFmtId="37" fontId="0" fillId="0" borderId="0" xfId="0" applyNumberFormat="1" applyFill="1"/>
    <xf numFmtId="168" fontId="0" fillId="0" borderId="0" xfId="0" applyNumberFormat="1" applyFill="1"/>
    <xf numFmtId="37" fontId="0" fillId="0" borderId="1" xfId="0" applyNumberFormat="1" applyFill="1" applyBorder="1"/>
    <xf numFmtId="0" fontId="0" fillId="0" borderId="0" xfId="0" applyFill="1" applyAlignment="1">
      <alignment horizontal="left"/>
    </xf>
    <xf numFmtId="172" fontId="0" fillId="0" borderId="0" xfId="170" applyNumberFormat="1" applyFont="1" applyFill="1" applyAlignment="1">
      <alignment horizontal="center"/>
    </xf>
    <xf numFmtId="172" fontId="41" fillId="0" borderId="0" xfId="170" applyNumberFormat="1" applyFont="1" applyFill="1"/>
    <xf numFmtId="10" fontId="0" fillId="0" borderId="0" xfId="2" applyNumberFormat="1" applyFont="1" applyFill="1"/>
    <xf numFmtId="185" fontId="0" fillId="0" borderId="0" xfId="0" applyNumberFormat="1" applyFill="1"/>
    <xf numFmtId="0" fontId="42" fillId="0" borderId="0" xfId="0" applyFont="1" applyFill="1" applyAlignment="1">
      <alignment horizontal="center"/>
    </xf>
    <xf numFmtId="7" fontId="0" fillId="0" borderId="0" xfId="170" applyNumberFormat="1" applyFont="1" applyFill="1"/>
    <xf numFmtId="173" fontId="0" fillId="0" borderId="0" xfId="2" applyNumberFormat="1" applyFont="1" applyFill="1"/>
    <xf numFmtId="44" fontId="0" fillId="0" borderId="0" xfId="0" applyNumberFormat="1" applyFill="1"/>
    <xf numFmtId="173" fontId="0" fillId="0" borderId="0" xfId="0" applyNumberFormat="1" applyFill="1"/>
    <xf numFmtId="7" fontId="0" fillId="0" borderId="1" xfId="170" applyNumberFormat="1" applyFont="1" applyFill="1" applyBorder="1"/>
    <xf numFmtId="173" fontId="0" fillId="0" borderId="1" xfId="2" applyNumberFormat="1" applyFont="1" applyFill="1" applyBorder="1"/>
    <xf numFmtId="44" fontId="0" fillId="0" borderId="1" xfId="0" applyNumberFormat="1" applyFill="1" applyBorder="1"/>
    <xf numFmtId="0" fontId="0" fillId="0" borderId="0" xfId="0" quotePrefix="1" applyFill="1"/>
    <xf numFmtId="0" fontId="8" fillId="0" borderId="0" xfId="0" applyFont="1" applyFill="1" applyAlignment="1">
      <alignment horizontal="center"/>
    </xf>
    <xf numFmtId="0" fontId="10" fillId="0" borderId="0" xfId="0" applyFont="1" applyFill="1" applyAlignment="1">
      <alignment horizontal="center"/>
    </xf>
    <xf numFmtId="0" fontId="72" fillId="0" borderId="0" xfId="0" applyFont="1" applyFill="1"/>
    <xf numFmtId="168" fontId="40" fillId="0" borderId="0" xfId="1" applyNumberFormat="1" applyFont="1" applyFill="1"/>
    <xf numFmtId="43" fontId="40" fillId="0" borderId="0" xfId="0" applyNumberFormat="1" applyFont="1" applyFill="1"/>
    <xf numFmtId="172" fontId="40" fillId="0" borderId="0" xfId="0" quotePrefix="1" applyNumberFormat="1" applyFont="1" applyFill="1"/>
    <xf numFmtId="5" fontId="40" fillId="0" borderId="0" xfId="0" quotePrefix="1" applyNumberFormat="1" applyFont="1" applyFill="1"/>
    <xf numFmtId="172" fontId="40" fillId="0" borderId="1" xfId="170" applyNumberFormat="1" applyFont="1" applyFill="1" applyBorder="1"/>
    <xf numFmtId="172" fontId="40" fillId="0" borderId="1" xfId="0" quotePrefix="1" applyNumberFormat="1" applyFont="1" applyFill="1" applyBorder="1"/>
    <xf numFmtId="5" fontId="40" fillId="0" borderId="1" xfId="0" quotePrefix="1" applyNumberFormat="1" applyFont="1" applyFill="1" applyBorder="1"/>
    <xf numFmtId="5" fontId="40" fillId="0" borderId="0" xfId="0" quotePrefix="1" applyNumberFormat="1" applyFont="1" applyFill="1" applyBorder="1"/>
    <xf numFmtId="185" fontId="40" fillId="0" borderId="0" xfId="2" applyNumberFormat="1" applyFont="1" applyFill="1"/>
    <xf numFmtId="168" fontId="40" fillId="0" borderId="1" xfId="1" applyNumberFormat="1" applyFont="1" applyFill="1" applyBorder="1"/>
    <xf numFmtId="172" fontId="40" fillId="0" borderId="2" xfId="170" applyNumberFormat="1" applyFont="1" applyFill="1" applyBorder="1"/>
    <xf numFmtId="5" fontId="40" fillId="0" borderId="2" xfId="0" applyNumberFormat="1" applyFont="1" applyFill="1" applyBorder="1"/>
    <xf numFmtId="172" fontId="77" fillId="0" borderId="0" xfId="170" applyNumberFormat="1" applyFont="1" applyFill="1"/>
    <xf numFmtId="6" fontId="72" fillId="0" borderId="0" xfId="0" applyNumberFormat="1" applyFont="1" applyFill="1"/>
    <xf numFmtId="40" fontId="0" fillId="0" borderId="0" xfId="0" applyNumberFormat="1" applyFill="1"/>
    <xf numFmtId="168" fontId="40" fillId="0" borderId="0" xfId="0" applyNumberFormat="1" applyFont="1" applyFill="1"/>
    <xf numFmtId="40" fontId="0" fillId="0" borderId="1" xfId="0" applyNumberFormat="1" applyFill="1" applyBorder="1"/>
    <xf numFmtId="20" fontId="40" fillId="0" borderId="0" xfId="0" applyNumberFormat="1" applyFont="1" applyFill="1"/>
    <xf numFmtId="0" fontId="40" fillId="0" borderId="0" xfId="0" quotePrefix="1" applyFont="1" applyFill="1"/>
    <xf numFmtId="40" fontId="40" fillId="0" borderId="0" xfId="0" applyNumberFormat="1" applyFont="1" applyFill="1"/>
    <xf numFmtId="181" fontId="73" fillId="0" borderId="0" xfId="170" applyNumberFormat="1" applyFont="1" applyFill="1" applyAlignment="1">
      <alignment horizontal="center"/>
    </xf>
    <xf numFmtId="20" fontId="73" fillId="0" borderId="0" xfId="0" applyNumberFormat="1" applyFont="1" applyFill="1" applyAlignment="1">
      <alignment horizontal="center"/>
    </xf>
    <xf numFmtId="37" fontId="40" fillId="0" borderId="0" xfId="168" applyNumberFormat="1" applyFont="1" applyFill="1" applyBorder="1"/>
    <xf numFmtId="0" fontId="40" fillId="0" borderId="0" xfId="168" applyFont="1" applyFill="1" applyBorder="1"/>
    <xf numFmtId="37" fontId="72" fillId="0" borderId="0" xfId="168" applyNumberFormat="1" applyFont="1" applyFill="1" applyBorder="1"/>
    <xf numFmtId="181" fontId="40" fillId="0" borderId="0" xfId="170" applyNumberFormat="1" applyFont="1" applyFill="1"/>
    <xf numFmtId="182" fontId="40" fillId="0" borderId="0" xfId="0" applyNumberFormat="1" applyFont="1" applyFill="1"/>
    <xf numFmtId="44" fontId="40" fillId="0" borderId="0" xfId="0" applyNumberFormat="1" applyFont="1" applyFill="1"/>
    <xf numFmtId="0" fontId="72" fillId="0" borderId="0" xfId="0" applyFont="1" applyFill="1" applyBorder="1"/>
    <xf numFmtId="0" fontId="40" fillId="0" borderId="0" xfId="0" applyNumberFormat="1" applyFont="1" applyFill="1"/>
    <xf numFmtId="0" fontId="40" fillId="0" borderId="0" xfId="0" applyNumberFormat="1" applyFont="1" applyFill="1" applyBorder="1"/>
    <xf numFmtId="177" fontId="40" fillId="0" borderId="0" xfId="2" applyNumberFormat="1" applyFont="1" applyFill="1" applyAlignment="1">
      <alignment horizontal="right"/>
    </xf>
    <xf numFmtId="37" fontId="40" fillId="0" borderId="0" xfId="0" applyNumberFormat="1" applyFont="1" applyFill="1"/>
    <xf numFmtId="37" fontId="40" fillId="0" borderId="0" xfId="0" applyNumberFormat="1" applyFont="1" applyFill="1" applyAlignment="1">
      <alignment horizontal="center"/>
    </xf>
    <xf numFmtId="0" fontId="40" fillId="0" borderId="0" xfId="0" applyNumberFormat="1" applyFont="1" applyFill="1" applyAlignment="1">
      <alignment horizontal="center"/>
    </xf>
    <xf numFmtId="0" fontId="40" fillId="0" borderId="0" xfId="0" applyNumberFormat="1" applyFont="1" applyFill="1" applyBorder="1" applyAlignment="1">
      <alignment horizontal="center"/>
    </xf>
    <xf numFmtId="177" fontId="40" fillId="0" borderId="0" xfId="2" applyNumberFormat="1" applyFont="1" applyFill="1" applyAlignment="1">
      <alignment horizontal="center"/>
    </xf>
    <xf numFmtId="49" fontId="40" fillId="0" borderId="0" xfId="0" quotePrefix="1" applyNumberFormat="1" applyFont="1" applyFill="1" applyAlignment="1">
      <alignment horizontal="left"/>
    </xf>
    <xf numFmtId="168" fontId="40" fillId="0" borderId="0" xfId="1" applyNumberFormat="1" applyFont="1" applyFill="1" applyBorder="1" applyAlignment="1">
      <alignment horizontal="left"/>
    </xf>
    <xf numFmtId="49" fontId="38" fillId="0" borderId="0" xfId="0" applyNumberFormat="1" applyFont="1" applyFill="1" applyAlignment="1">
      <alignment horizontal="left" vertical="center"/>
    </xf>
    <xf numFmtId="168" fontId="38" fillId="0" borderId="0" xfId="1" applyNumberFormat="1" applyFont="1" applyFill="1" applyAlignment="1">
      <alignment horizontal="left" vertical="center"/>
    </xf>
    <xf numFmtId="168" fontId="38" fillId="0" borderId="0" xfId="1" applyNumberFormat="1" applyFont="1" applyFill="1" applyBorder="1" applyAlignment="1">
      <alignment horizontal="left" vertical="center"/>
    </xf>
    <xf numFmtId="177" fontId="38" fillId="0" borderId="0" xfId="2" applyNumberFormat="1" applyFont="1" applyFill="1" applyAlignment="1">
      <alignment horizontal="right" vertical="center"/>
    </xf>
    <xf numFmtId="49" fontId="40" fillId="0" borderId="0" xfId="0" applyNumberFormat="1" applyFont="1" applyFill="1" applyAlignment="1">
      <alignment horizontal="left"/>
    </xf>
    <xf numFmtId="49" fontId="40" fillId="0" borderId="1" xfId="0" applyNumberFormat="1" applyFont="1" applyFill="1" applyBorder="1" applyAlignment="1">
      <alignment horizontal="left"/>
    </xf>
    <xf numFmtId="177" fontId="40" fillId="0" borderId="1" xfId="2" applyNumberFormat="1" applyFont="1" applyFill="1" applyBorder="1" applyAlignment="1">
      <alignment horizontal="right"/>
    </xf>
    <xf numFmtId="49" fontId="66" fillId="0" borderId="20" xfId="0" applyNumberFormat="1" applyFont="1" applyFill="1" applyBorder="1" applyAlignment="1">
      <alignment horizontal="left"/>
    </xf>
    <xf numFmtId="168" fontId="66" fillId="0" borderId="20" xfId="1" applyNumberFormat="1" applyFont="1" applyFill="1" applyBorder="1" applyAlignment="1">
      <alignment horizontal="left"/>
    </xf>
    <xf numFmtId="168" fontId="66" fillId="0" borderId="0" xfId="1" applyNumberFormat="1" applyFont="1" applyFill="1" applyBorder="1" applyAlignment="1">
      <alignment horizontal="left"/>
    </xf>
    <xf numFmtId="177" fontId="66" fillId="0" borderId="20" xfId="2" applyNumberFormat="1" applyFont="1" applyFill="1" applyBorder="1" applyAlignment="1">
      <alignment horizontal="right"/>
    </xf>
    <xf numFmtId="178" fontId="40" fillId="0" borderId="0" xfId="1" applyNumberFormat="1" applyFont="1" applyFill="1"/>
    <xf numFmtId="49" fontId="40" fillId="0" borderId="0" xfId="0" applyNumberFormat="1" applyFont="1" applyFill="1"/>
    <xf numFmtId="168" fontId="40" fillId="0" borderId="0" xfId="1" applyNumberFormat="1" applyFont="1" applyFill="1" applyBorder="1"/>
    <xf numFmtId="49" fontId="66" fillId="0" borderId="37" xfId="0" applyNumberFormat="1" applyFont="1" applyFill="1" applyBorder="1"/>
    <xf numFmtId="168" fontId="66" fillId="0" borderId="37" xfId="1" applyNumberFormat="1" applyFont="1" applyFill="1" applyBorder="1"/>
    <xf numFmtId="168" fontId="66" fillId="0" borderId="0" xfId="1" applyNumberFormat="1" applyFont="1" applyFill="1" applyBorder="1"/>
    <xf numFmtId="177" fontId="66" fillId="0" borderId="37" xfId="2" applyNumberFormat="1" applyFont="1" applyFill="1" applyBorder="1" applyAlignment="1">
      <alignment horizontal="right"/>
    </xf>
    <xf numFmtId="5" fontId="38" fillId="0" borderId="0" xfId="0" applyNumberFormat="1" applyFont="1" applyFill="1" applyAlignment="1">
      <alignment vertical="center"/>
    </xf>
    <xf numFmtId="168" fontId="38" fillId="0" borderId="0" xfId="0" applyNumberFormat="1" applyFont="1" applyFill="1" applyAlignment="1">
      <alignment vertical="center"/>
    </xf>
    <xf numFmtId="0" fontId="38" fillId="0" borderId="0" xfId="0" applyFont="1" applyFill="1" applyBorder="1" applyAlignment="1">
      <alignment horizontal="center" vertical="center"/>
    </xf>
    <xf numFmtId="0" fontId="38" fillId="0" borderId="0" xfId="0" quotePrefix="1" applyNumberFormat="1" applyFont="1" applyFill="1" applyBorder="1" applyAlignment="1">
      <alignment horizontal="center" vertical="center"/>
    </xf>
    <xf numFmtId="0" fontId="38" fillId="0" borderId="0" xfId="0" quotePrefix="1" applyFont="1" applyFill="1" applyBorder="1" applyAlignment="1">
      <alignment horizontal="center" vertical="center"/>
    </xf>
    <xf numFmtId="168" fontId="38" fillId="0" borderId="0" xfId="1" quotePrefix="1" applyNumberFormat="1" applyFont="1" applyFill="1" applyAlignment="1">
      <alignment horizontal="center" vertical="center"/>
    </xf>
    <xf numFmtId="0" fontId="38" fillId="0" borderId="0" xfId="0" quotePrefix="1" applyFont="1" applyFill="1" applyAlignment="1">
      <alignment horizontal="center" vertical="center"/>
    </xf>
    <xf numFmtId="0" fontId="38" fillId="0" borderId="0" xfId="0" applyFont="1" applyFill="1" applyAlignment="1">
      <alignment horizontal="left" vertical="center"/>
    </xf>
    <xf numFmtId="168" fontId="39" fillId="0" borderId="0" xfId="1" applyNumberFormat="1" applyFont="1" applyFill="1" applyAlignment="1">
      <alignment vertical="center"/>
    </xf>
    <xf numFmtId="183" fontId="38" fillId="0" borderId="0" xfId="2" applyNumberFormat="1" applyFont="1" applyFill="1" applyAlignment="1">
      <alignment vertical="center"/>
    </xf>
    <xf numFmtId="44" fontId="38" fillId="0" borderId="0" xfId="0" applyNumberFormat="1" applyFont="1" applyFill="1" applyAlignment="1">
      <alignment vertical="center"/>
    </xf>
    <xf numFmtId="43" fontId="38" fillId="0" borderId="0" xfId="0" applyNumberFormat="1" applyFont="1" applyFill="1" applyAlignment="1">
      <alignment vertical="center"/>
    </xf>
    <xf numFmtId="5" fontId="72" fillId="0" borderId="0" xfId="0" applyNumberFormat="1" applyFont="1" applyFill="1" applyAlignment="1">
      <alignment vertical="center"/>
    </xf>
    <xf numFmtId="186" fontId="38" fillId="0" borderId="0" xfId="2" applyNumberFormat="1" applyFont="1" applyFill="1" applyAlignment="1">
      <alignment vertical="center"/>
    </xf>
    <xf numFmtId="37" fontId="38" fillId="0" borderId="0" xfId="0" applyNumberFormat="1" applyFont="1" applyFill="1" applyAlignment="1">
      <alignment vertical="center"/>
    </xf>
    <xf numFmtId="37" fontId="71" fillId="0" borderId="0" xfId="0" applyNumberFormat="1" applyFont="1" applyFill="1"/>
    <xf numFmtId="187" fontId="38" fillId="0" borderId="0" xfId="2" applyNumberFormat="1" applyFont="1" applyFill="1" applyAlignment="1">
      <alignment vertical="center"/>
    </xf>
    <xf numFmtId="168" fontId="71" fillId="0" borderId="0" xfId="1" applyNumberFormat="1" applyFont="1" applyFill="1"/>
    <xf numFmtId="43" fontId="71" fillId="0" borderId="0" xfId="1" applyNumberFormat="1" applyFont="1" applyFill="1"/>
    <xf numFmtId="2" fontId="38" fillId="0" borderId="0" xfId="0" applyNumberFormat="1" applyFont="1" applyFill="1" applyAlignment="1">
      <alignment vertical="center"/>
    </xf>
    <xf numFmtId="180" fontId="38" fillId="0" borderId="0" xfId="0" applyNumberFormat="1" applyFont="1" applyFill="1" applyAlignment="1">
      <alignment vertical="center"/>
    </xf>
    <xf numFmtId="168" fontId="42" fillId="0" borderId="0" xfId="1" applyNumberFormat="1" applyFont="1" applyFill="1"/>
    <xf numFmtId="49" fontId="0" fillId="0" borderId="0" xfId="0" applyNumberFormat="1" applyFill="1" applyAlignment="1">
      <alignment horizontal="center"/>
    </xf>
    <xf numFmtId="179" fontId="0" fillId="0" borderId="0" xfId="1" applyNumberFormat="1" applyFont="1" applyFill="1" applyAlignment="1">
      <alignment horizontal="center"/>
    </xf>
    <xf numFmtId="49" fontId="9" fillId="0" borderId="0" xfId="0" applyNumberFormat="1" applyFont="1" applyFill="1" applyAlignment="1">
      <alignment horizontal="center"/>
    </xf>
    <xf numFmtId="49" fontId="8" fillId="0" borderId="0" xfId="0" applyNumberFormat="1" applyFont="1" applyFill="1" applyAlignment="1">
      <alignment horizontal="left"/>
    </xf>
    <xf numFmtId="43" fontId="0" fillId="0" borderId="0" xfId="1" applyFont="1" applyFill="1"/>
    <xf numFmtId="49" fontId="64" fillId="0" borderId="0" xfId="0" applyNumberFormat="1" applyFont="1" applyFill="1" applyAlignment="1">
      <alignment horizontal="left" vertical="center"/>
    </xf>
    <xf numFmtId="49" fontId="8" fillId="0" borderId="1" xfId="0" applyNumberFormat="1" applyFont="1" applyFill="1" applyBorder="1" applyAlignment="1">
      <alignment horizontal="left"/>
    </xf>
    <xf numFmtId="49" fontId="0" fillId="0" borderId="0" xfId="0" applyNumberFormat="1" applyFill="1" applyAlignment="1">
      <alignment horizontal="left"/>
    </xf>
    <xf numFmtId="49" fontId="41" fillId="0" borderId="20" xfId="0" applyNumberFormat="1" applyFont="1" applyFill="1" applyBorder="1" applyAlignment="1">
      <alignment horizontal="left"/>
    </xf>
    <xf numFmtId="0" fontId="41" fillId="0" borderId="0" xfId="0" applyFont="1" applyFill="1"/>
    <xf numFmtId="168" fontId="41" fillId="0" borderId="0" xfId="1" applyNumberFormat="1" applyFont="1" applyFill="1"/>
    <xf numFmtId="43" fontId="41" fillId="0" borderId="0" xfId="1" applyFont="1" applyFill="1"/>
    <xf numFmtId="168" fontId="11" fillId="0" borderId="0" xfId="1" applyNumberFormat="1" applyFont="1" applyFill="1"/>
    <xf numFmtId="49" fontId="41" fillId="0" borderId="37" xfId="0" applyNumberFormat="1" applyFont="1" applyFill="1" applyBorder="1"/>
    <xf numFmtId="168" fontId="41" fillId="0" borderId="37" xfId="1" applyNumberFormat="1" applyFont="1" applyFill="1" applyBorder="1"/>
    <xf numFmtId="0" fontId="38" fillId="25" borderId="0" xfId="0" applyFont="1" applyFill="1" applyBorder="1" applyAlignment="1">
      <alignment horizontal="center" wrapText="1"/>
    </xf>
    <xf numFmtId="0" fontId="39" fillId="25" borderId="47" xfId="0" applyFont="1" applyFill="1" applyBorder="1" applyAlignment="1">
      <alignment horizontal="center" vertical="center" wrapText="1"/>
    </xf>
    <xf numFmtId="0" fontId="39" fillId="25" borderId="51" xfId="0" applyFont="1" applyFill="1" applyBorder="1" applyAlignment="1">
      <alignment horizontal="center" vertical="center" wrapText="1"/>
    </xf>
    <xf numFmtId="0" fontId="39" fillId="25" borderId="59" xfId="0" applyFont="1" applyFill="1" applyBorder="1" applyAlignment="1">
      <alignment horizontal="center" vertical="center" wrapText="1"/>
    </xf>
    <xf numFmtId="0" fontId="39" fillId="25" borderId="56" xfId="0" applyFont="1" applyFill="1" applyBorder="1" applyAlignment="1">
      <alignment horizontal="center" vertical="center" wrapText="1"/>
    </xf>
    <xf numFmtId="0" fontId="39" fillId="25" borderId="57" xfId="0" applyFont="1" applyFill="1" applyBorder="1" applyAlignment="1">
      <alignment horizontal="center" vertical="center" wrapText="1"/>
    </xf>
    <xf numFmtId="0" fontId="39" fillId="25" borderId="16" xfId="0" applyFont="1" applyFill="1" applyBorder="1" applyAlignment="1">
      <alignment horizontal="center" vertical="center" wrapText="1"/>
    </xf>
    <xf numFmtId="0" fontId="39" fillId="25" borderId="17" xfId="0" applyFont="1" applyFill="1" applyBorder="1" applyAlignment="1">
      <alignment horizontal="center" vertical="center" wrapText="1"/>
    </xf>
    <xf numFmtId="0" fontId="39" fillId="25" borderId="53" xfId="0" applyFont="1" applyFill="1" applyBorder="1" applyAlignment="1">
      <alignment horizontal="center" vertical="center" wrapText="1"/>
    </xf>
    <xf numFmtId="0" fontId="39" fillId="25" borderId="48" xfId="0" applyFont="1" applyFill="1" applyBorder="1" applyAlignment="1">
      <alignment horizontal="center" vertical="center"/>
    </xf>
    <xf numFmtId="0" fontId="39" fillId="25" borderId="15" xfId="0" applyFont="1" applyFill="1" applyBorder="1" applyAlignment="1">
      <alignment horizontal="center" vertical="center" wrapText="1"/>
    </xf>
    <xf numFmtId="0" fontId="8" fillId="0" borderId="1" xfId="0" applyFont="1" applyBorder="1" applyAlignment="1">
      <alignment horizontal="center"/>
    </xf>
    <xf numFmtId="0" fontId="38" fillId="0" borderId="1" xfId="0" applyFont="1" applyFill="1" applyBorder="1" applyAlignment="1">
      <alignment horizontal="center" vertical="center"/>
    </xf>
    <xf numFmtId="0" fontId="38" fillId="0" borderId="1" xfId="0" applyFont="1" applyBorder="1" applyAlignment="1">
      <alignment horizontal="center" vertical="center"/>
    </xf>
    <xf numFmtId="0" fontId="0" fillId="0" borderId="12" xfId="0" applyBorder="1" applyAlignment="1">
      <alignment horizontal="center"/>
    </xf>
    <xf numFmtId="0" fontId="0" fillId="0" borderId="1" xfId="0" applyBorder="1" applyAlignment="1">
      <alignment horizontal="center"/>
    </xf>
    <xf numFmtId="0" fontId="0" fillId="0" borderId="13" xfId="0" applyBorder="1" applyAlignment="1">
      <alignment horizontal="center"/>
    </xf>
  </cellXfs>
  <cellStyles count="14992">
    <cellStyle name="20% - Accent1" xfId="192" builtinId="30" customBuiltin="1"/>
    <cellStyle name="20% - Accent1 10" xfId="6264" xr:uid="{BC2A2B35-B275-4E4C-8043-FBFD668195B8}"/>
    <cellStyle name="20% - Accent1 11" xfId="13245" xr:uid="{A9F44423-C16D-4570-A57B-043FF6F40DB8}"/>
    <cellStyle name="20% - Accent1 12" xfId="2471" xr:uid="{46E51285-59EB-430C-8531-8F58A22863C1}"/>
    <cellStyle name="20% - Accent1 2" xfId="3" xr:uid="{00000000-0005-0000-0000-000001000000}"/>
    <cellStyle name="20% - Accent1 2 2" xfId="567" xr:uid="{91F68733-F388-47D8-9728-34BF84C0F22D}"/>
    <cellStyle name="20% - Accent1 2 3" xfId="566" xr:uid="{624689EE-6192-41D1-8F69-D180FBF5839F}"/>
    <cellStyle name="20% - Accent1 2 3 2" xfId="6208" xr:uid="{BD979982-1E7A-4432-A861-960CEABF66DE}"/>
    <cellStyle name="20% - Accent1 3" xfId="221" xr:uid="{00000000-0005-0000-0000-000002000000}"/>
    <cellStyle name="20% - Accent1 3 2" xfId="367" xr:uid="{00000000-0005-0000-0000-000003000000}"/>
    <cellStyle name="20% - Accent1 3 2 2" xfId="6342" xr:uid="{3475DBE1-7498-4AF9-8D46-6A1B1C66545F}"/>
    <cellStyle name="20% - Accent1 3 2 3" xfId="11673" xr:uid="{6B9F9577-1BD2-42CB-9879-0DC6824D52EB}"/>
    <cellStyle name="20% - Accent1 3 2 4" xfId="13321" xr:uid="{F9313D27-D545-4D39-81A9-8A02543050A2}"/>
    <cellStyle name="20% - Accent1 3 2 5" xfId="2575" xr:uid="{B200DF0A-4271-4128-8879-53088AC44901}"/>
    <cellStyle name="20% - Accent1 3 3" xfId="418" xr:uid="{00000000-0005-0000-0000-000004000000}"/>
    <cellStyle name="20% - Accent1 3 3 2" xfId="6393" xr:uid="{D11913BF-4DCA-4853-A605-4D5CD0988E32}"/>
    <cellStyle name="20% - Accent1 3 3 3" xfId="13372" xr:uid="{82A56626-8EA6-4246-811D-9014F5A9A3DA}"/>
    <cellStyle name="20% - Accent1 3 3 4" xfId="2626" xr:uid="{351AC30B-D2DD-4C6D-956D-F2C20EF562A7}"/>
    <cellStyle name="20% - Accent1 3 4" xfId="475" xr:uid="{00000000-0005-0000-0000-000005000000}"/>
    <cellStyle name="20% - Accent1 3 4 2" xfId="6449" xr:uid="{661CF86D-B82A-4B27-9E66-95C97CC2DB7F}"/>
    <cellStyle name="20% - Accent1 3 4 3" xfId="13428" xr:uid="{D778CFC7-81F2-4910-9019-18B0D540FA90}"/>
    <cellStyle name="20% - Accent1 3 4 4" xfId="2682" xr:uid="{F085960C-98EA-47D6-8553-6D1779B14880}"/>
    <cellStyle name="20% - Accent1 3 5" xfId="2503" xr:uid="{84F06118-7FBE-4539-AB7D-3D14DDC83CEE}"/>
    <cellStyle name="20% - Accent1 3 5 2" xfId="6523" xr:uid="{E6BB4798-4990-43B1-A734-B4952C1C6D8F}"/>
    <cellStyle name="20% - Accent1 3 6" xfId="6291" xr:uid="{B4DE4D46-9141-4694-BA6F-69348FEF15F0}"/>
    <cellStyle name="20% - Accent1 3 7" xfId="13270" xr:uid="{199677AE-9868-4608-AD59-483917EDEB35}"/>
    <cellStyle name="20% - Accent1 3 8" xfId="568" xr:uid="{723F5AE2-6199-4FEB-8A6F-DD21695A3510}"/>
    <cellStyle name="20% - Accent1 4" xfId="349" xr:uid="{00000000-0005-0000-0000-000006000000}"/>
    <cellStyle name="20% - Accent1 4 2" xfId="2557" xr:uid="{CC4411DF-F509-4598-BD22-FC3E597C93B7}"/>
    <cellStyle name="20% - Accent1 4 2 2" xfId="6524" xr:uid="{9087A15D-99D1-45F4-BE73-C8D86C126315}"/>
    <cellStyle name="20% - Accent1 4 3" xfId="6325" xr:uid="{B5492CFF-4CE1-42A0-9EF2-3276FDE4C316}"/>
    <cellStyle name="20% - Accent1 4 4" xfId="13304" xr:uid="{07E4D14A-28DF-4D63-A5E2-7E6D5926159F}"/>
    <cellStyle name="20% - Accent1 4 5" xfId="569" xr:uid="{5CAC0862-61DE-4D46-9310-8C6DEC8B8114}"/>
    <cellStyle name="20% - Accent1 5" xfId="401" xr:uid="{00000000-0005-0000-0000-000007000000}"/>
    <cellStyle name="20% - Accent1 5 2" xfId="2609" xr:uid="{6C7103FB-8C39-455B-B5EB-FFE012F45F52}"/>
    <cellStyle name="20% - Accent1 5 2 2" xfId="6525" xr:uid="{D3E91E38-FB8D-41EE-A7EB-178FCA443E6F}"/>
    <cellStyle name="20% - Accent1 5 3" xfId="6376" xr:uid="{2E635645-2255-4FCE-82F1-A562237C0CBB}"/>
    <cellStyle name="20% - Accent1 5 4" xfId="13355" xr:uid="{2E09ED1D-3C3B-4BC6-A1C8-2666B6F4E246}"/>
    <cellStyle name="20% - Accent1 5 5" xfId="570" xr:uid="{A3370EA0-86C4-4AE9-A665-CC766D71D061}"/>
    <cellStyle name="20% - Accent1 6" xfId="446" xr:uid="{00000000-0005-0000-0000-000008000000}"/>
    <cellStyle name="20% - Accent1 6 2" xfId="2654" xr:uid="{F9C4485E-0208-4FED-9749-7FB5590528DB}"/>
    <cellStyle name="20% - Accent1 6 2 2" xfId="6526" xr:uid="{26A574FE-F4CB-4F20-AC97-4CD4003A4FEF}"/>
    <cellStyle name="20% - Accent1 6 3" xfId="6421" xr:uid="{88426F82-E49C-47EE-A3EB-42A773104F82}"/>
    <cellStyle name="20% - Accent1 6 4" xfId="13400" xr:uid="{891ADDB9-A964-447A-8FB0-79FFBDA5163E}"/>
    <cellStyle name="20% - Accent1 6 5" xfId="571" xr:uid="{949416A4-0379-44C7-9059-F6F752561FD2}"/>
    <cellStyle name="20% - Accent1 7" xfId="572" xr:uid="{AD8E5BC3-FDA3-4451-B9BD-9E257E590805}"/>
    <cellStyle name="20% - Accent1 8" xfId="573" xr:uid="{A8BF17DD-B442-4F9F-9462-6B6C9AB758B2}"/>
    <cellStyle name="20% - Accent1 9" xfId="6184" xr:uid="{87B2FAD5-A1F9-40F4-8F81-51E24F959F92}"/>
    <cellStyle name="20% - Accent1 9 2" xfId="11641" xr:uid="{67005985-3EB4-4BE7-BCEF-286DC39C122F}"/>
    <cellStyle name="20% - Accent2" xfId="196" builtinId="34" customBuiltin="1"/>
    <cellStyle name="20% - Accent2 10" xfId="2473" xr:uid="{8573909B-0E6F-42F4-A5E1-56917B80F001}"/>
    <cellStyle name="20% - Accent2 2" xfId="4" xr:uid="{00000000-0005-0000-0000-00000A000000}"/>
    <cellStyle name="20% - Accent2 2 2" xfId="574" xr:uid="{C0ACAEE4-C03D-4539-AF5C-8F99324CEF5A}"/>
    <cellStyle name="20% - Accent2 3" xfId="223" xr:uid="{00000000-0005-0000-0000-00000B000000}"/>
    <cellStyle name="20% - Accent2 3 2" xfId="369" xr:uid="{00000000-0005-0000-0000-00000C000000}"/>
    <cellStyle name="20% - Accent2 3 2 2" xfId="6344" xr:uid="{91B26A09-BFBD-4DED-8639-04DAA37D077F}"/>
    <cellStyle name="20% - Accent2 3 2 3" xfId="11675" xr:uid="{783C557E-E972-411F-97A6-E0EDEA6C5C9E}"/>
    <cellStyle name="20% - Accent2 3 2 4" xfId="13323" xr:uid="{FF48E3DF-C478-4E3A-8031-ED5674F32E60}"/>
    <cellStyle name="20% - Accent2 3 2 5" xfId="2577" xr:uid="{68A03612-0534-4F33-A75C-A93848B2D56A}"/>
    <cellStyle name="20% - Accent2 3 3" xfId="420" xr:uid="{00000000-0005-0000-0000-00000D000000}"/>
    <cellStyle name="20% - Accent2 3 3 2" xfId="6395" xr:uid="{702F5223-89E7-4531-B745-D287E3390893}"/>
    <cellStyle name="20% - Accent2 3 3 3" xfId="13374" xr:uid="{FD940CB2-3C85-45DF-9CF1-EADA8DE89BFC}"/>
    <cellStyle name="20% - Accent2 3 3 4" xfId="2628" xr:uid="{F93E8EA8-EAE9-43DB-AF05-073BC11A6F48}"/>
    <cellStyle name="20% - Accent2 3 4" xfId="477" xr:uid="{00000000-0005-0000-0000-00000E000000}"/>
    <cellStyle name="20% - Accent2 3 4 2" xfId="6451" xr:uid="{DBFD736C-85AF-4F07-9855-6D36BA9D6306}"/>
    <cellStyle name="20% - Accent2 3 4 3" xfId="13430" xr:uid="{B14B48DC-06CB-4DF6-924B-32D4BD027398}"/>
    <cellStyle name="20% - Accent2 3 4 4" xfId="2684" xr:uid="{D75D5AFE-D0FC-4585-97F8-D8D9F9C0CD4E}"/>
    <cellStyle name="20% - Accent2 3 5" xfId="2505" xr:uid="{67276B87-5428-404E-BD85-CB25F1734DC8}"/>
    <cellStyle name="20% - Accent2 3 5 2" xfId="6527" xr:uid="{93E5FDE5-1036-49D2-82B9-229089461527}"/>
    <cellStyle name="20% - Accent2 3 6" xfId="6293" xr:uid="{404A8F57-D831-478A-A25E-B7A22222707A}"/>
    <cellStyle name="20% - Accent2 3 7" xfId="13272" xr:uid="{87A44784-56FD-4E13-87CD-04D4F9976619}"/>
    <cellStyle name="20% - Accent2 3 8" xfId="575" xr:uid="{1CE77AE0-7415-4370-B550-2EA973DC5E45}"/>
    <cellStyle name="20% - Accent2 4" xfId="351" xr:uid="{00000000-0005-0000-0000-00000F000000}"/>
    <cellStyle name="20% - Accent2 4 2" xfId="2559" xr:uid="{696A3F44-42D3-4F8C-B37C-E7DC94698E49}"/>
    <cellStyle name="20% - Accent2 4 2 2" xfId="6528" xr:uid="{7D26BF6A-6E97-45D2-9846-43DD9FB06EA3}"/>
    <cellStyle name="20% - Accent2 4 3" xfId="6327" xr:uid="{076E9070-EFB9-4203-AE52-50B147B708B1}"/>
    <cellStyle name="20% - Accent2 4 4" xfId="13306" xr:uid="{791E230E-AF64-4468-B05F-32E3B7CF944C}"/>
    <cellStyle name="20% - Accent2 4 5" xfId="576" xr:uid="{3E7A836A-575F-4452-B4D8-6EFD65084303}"/>
    <cellStyle name="20% - Accent2 5" xfId="403" xr:uid="{00000000-0005-0000-0000-000010000000}"/>
    <cellStyle name="20% - Accent2 5 2" xfId="2611" xr:uid="{7F5F07DE-89F1-4E60-B31B-7A8732DB2200}"/>
    <cellStyle name="20% - Accent2 5 2 2" xfId="6529" xr:uid="{FED8C4BE-9A55-46E2-969C-2E46971A670B}"/>
    <cellStyle name="20% - Accent2 5 3" xfId="6378" xr:uid="{575DBD3E-606D-44F7-AB65-8914F361C83C}"/>
    <cellStyle name="20% - Accent2 5 4" xfId="13357" xr:uid="{B5393C24-F4D2-4B85-B61B-AB5A18BE4BB0}"/>
    <cellStyle name="20% - Accent2 5 5" xfId="577" xr:uid="{BC4A3758-E6FE-432D-B1FB-95F69FF06C09}"/>
    <cellStyle name="20% - Accent2 6" xfId="448" xr:uid="{00000000-0005-0000-0000-000011000000}"/>
    <cellStyle name="20% - Accent2 6 2" xfId="2656" xr:uid="{98420BA1-9849-48BC-91C4-9D69FEAB83D2}"/>
    <cellStyle name="20% - Accent2 6 2 2" xfId="6530" xr:uid="{B67469AC-D99A-4A24-A31D-123B7FCB1E6B}"/>
    <cellStyle name="20% - Accent2 6 3" xfId="6423" xr:uid="{0077BD4A-0B10-43D5-A9D7-9C4FB4A231F9}"/>
    <cellStyle name="20% - Accent2 6 4" xfId="13402" xr:uid="{AB36A927-34CA-432D-8833-E087A6D6211F}"/>
    <cellStyle name="20% - Accent2 6 5" xfId="578" xr:uid="{F7A530DD-4A0B-47BE-B7F7-09BEB1FB8EA2}"/>
    <cellStyle name="20% - Accent2 7" xfId="6188" xr:uid="{552B4285-5C57-4DBE-819B-ECE54FBF85A7}"/>
    <cellStyle name="20% - Accent2 7 2" xfId="11643" xr:uid="{897DDE97-B2DE-416E-8B99-8490E6033A0C}"/>
    <cellStyle name="20% - Accent2 8" xfId="6266" xr:uid="{48145B1C-C3DE-42DF-BB31-F0B7572415D0}"/>
    <cellStyle name="20% - Accent2 9" xfId="13247" xr:uid="{2859BD3C-F4A8-4654-849F-BDF32348F0CC}"/>
    <cellStyle name="20% - Accent3" xfId="200" builtinId="38" customBuiltin="1"/>
    <cellStyle name="20% - Accent3 10" xfId="6268" xr:uid="{6A485B0F-CFDB-482D-AF31-40CC5D299DBE}"/>
    <cellStyle name="20% - Accent3 11" xfId="13249" xr:uid="{A2D24968-8843-44D5-A15C-CF3E797DD3C6}"/>
    <cellStyle name="20% - Accent3 12" xfId="2475" xr:uid="{F9372EF6-2437-4B31-A8FA-FE1E61DB4D04}"/>
    <cellStyle name="20% - Accent3 2" xfId="5" xr:uid="{00000000-0005-0000-0000-000013000000}"/>
    <cellStyle name="20% - Accent3 2 2" xfId="580" xr:uid="{6571FAED-67AC-4159-BB7F-A1054ABC8C27}"/>
    <cellStyle name="20% - Accent3 2 3" xfId="579" xr:uid="{AD4F3916-2CF4-40CD-ACCA-FB84E6528E3E}"/>
    <cellStyle name="20% - Accent3 2 3 2" xfId="6209" xr:uid="{B4E8792E-1F32-470D-B9A0-0F7EE0FD94EB}"/>
    <cellStyle name="20% - Accent3 3" xfId="225" xr:uid="{00000000-0005-0000-0000-000014000000}"/>
    <cellStyle name="20% - Accent3 3 2" xfId="371" xr:uid="{00000000-0005-0000-0000-000015000000}"/>
    <cellStyle name="20% - Accent3 3 2 2" xfId="6346" xr:uid="{179E8995-0664-4774-B76E-AA9B39E680EC}"/>
    <cellStyle name="20% - Accent3 3 2 3" xfId="11677" xr:uid="{49C82611-4669-4E51-8F79-68274633CB65}"/>
    <cellStyle name="20% - Accent3 3 2 4" xfId="13325" xr:uid="{F83992DD-CA72-457A-A080-41B76B363252}"/>
    <cellStyle name="20% - Accent3 3 2 5" xfId="2579" xr:uid="{3A6407CA-5CAB-4BED-AF7D-D9F69E982F7B}"/>
    <cellStyle name="20% - Accent3 3 3" xfId="422" xr:uid="{00000000-0005-0000-0000-000016000000}"/>
    <cellStyle name="20% - Accent3 3 3 2" xfId="6397" xr:uid="{3760BDF0-CB59-47ED-8BBC-A7442665B1A2}"/>
    <cellStyle name="20% - Accent3 3 3 3" xfId="13376" xr:uid="{04E8BC7B-5623-4FF8-B3A6-BC8A5A017C22}"/>
    <cellStyle name="20% - Accent3 3 3 4" xfId="2630" xr:uid="{8CDADABF-9DD0-4DB5-B5B3-198D3BE6F089}"/>
    <cellStyle name="20% - Accent3 3 4" xfId="479" xr:uid="{00000000-0005-0000-0000-000017000000}"/>
    <cellStyle name="20% - Accent3 3 4 2" xfId="6453" xr:uid="{931868A7-7E31-404D-B1AD-CB8F11B6C173}"/>
    <cellStyle name="20% - Accent3 3 4 3" xfId="13432" xr:uid="{86F433AB-7EE9-4088-BC72-1A8C86D4B1BE}"/>
    <cellStyle name="20% - Accent3 3 4 4" xfId="2686" xr:uid="{0DD20B25-A0C3-4475-8230-F7DC0E376A0A}"/>
    <cellStyle name="20% - Accent3 3 5" xfId="2507" xr:uid="{5C593DF6-7C2A-4E81-A820-C09482971556}"/>
    <cellStyle name="20% - Accent3 3 5 2" xfId="6531" xr:uid="{D9759DCC-E732-49B9-9776-FD5BF80EA48E}"/>
    <cellStyle name="20% - Accent3 3 6" xfId="6295" xr:uid="{EB3B5B4B-1C75-465A-BEC4-B36B88F4537D}"/>
    <cellStyle name="20% - Accent3 3 7" xfId="13274" xr:uid="{3F7E190F-F6F1-4B67-BF19-DE5D5DD39725}"/>
    <cellStyle name="20% - Accent3 3 8" xfId="581" xr:uid="{CF9679BE-43BF-4315-ACCC-9D6EC3E7CB33}"/>
    <cellStyle name="20% - Accent3 4" xfId="353" xr:uid="{00000000-0005-0000-0000-000018000000}"/>
    <cellStyle name="20% - Accent3 4 2" xfId="2561" xr:uid="{FE5E5EB5-00CE-4D16-9DF4-79CA6BD7FBD3}"/>
    <cellStyle name="20% - Accent3 4 2 2" xfId="6532" xr:uid="{9E648B4F-EA6D-4510-8B03-6F319DCAA8BC}"/>
    <cellStyle name="20% - Accent3 4 3" xfId="6329" xr:uid="{5556F8C2-F908-445A-B1E4-2194DA4BCD65}"/>
    <cellStyle name="20% - Accent3 4 4" xfId="13308" xr:uid="{B65D903D-3D78-4CA6-B906-9F8DC40905EE}"/>
    <cellStyle name="20% - Accent3 4 5" xfId="582" xr:uid="{6923C2F4-AE6B-4EA2-ADBB-C5C78A331A89}"/>
    <cellStyle name="20% - Accent3 5" xfId="405" xr:uid="{00000000-0005-0000-0000-000019000000}"/>
    <cellStyle name="20% - Accent3 5 2" xfId="2613" xr:uid="{51895217-7706-4852-A2E3-66EC2FB768F1}"/>
    <cellStyle name="20% - Accent3 5 2 2" xfId="6533" xr:uid="{14FCA519-EFAC-4054-9A9D-BA4BEB238FA5}"/>
    <cellStyle name="20% - Accent3 5 3" xfId="6380" xr:uid="{2D17904D-CD65-4FF6-B802-9DBF15577F76}"/>
    <cellStyle name="20% - Accent3 5 4" xfId="13359" xr:uid="{78C38353-DAAF-471D-8045-18472BECFDF9}"/>
    <cellStyle name="20% - Accent3 5 5" xfId="583" xr:uid="{B7843804-73C2-4EF2-8AE7-849E20B07F76}"/>
    <cellStyle name="20% - Accent3 6" xfId="450" xr:uid="{00000000-0005-0000-0000-00001A000000}"/>
    <cellStyle name="20% - Accent3 6 2" xfId="2658" xr:uid="{A6C544E9-C443-4D84-86EE-355E41D4BAB4}"/>
    <cellStyle name="20% - Accent3 6 2 2" xfId="6534" xr:uid="{6B159990-48D4-4FBC-940F-E74BBDDCC732}"/>
    <cellStyle name="20% - Accent3 6 3" xfId="6425" xr:uid="{C642EB43-71B4-4575-9701-BE0E984A6DAC}"/>
    <cellStyle name="20% - Accent3 6 4" xfId="13404" xr:uid="{F6DAA021-BD49-4099-A59E-A1CF8C328586}"/>
    <cellStyle name="20% - Accent3 6 5" xfId="584" xr:uid="{DC80B62C-2C9F-4ACC-924E-E3AEF56825C6}"/>
    <cellStyle name="20% - Accent3 7" xfId="585" xr:uid="{57B2817F-7137-4CE6-A759-7FA03A04DCCF}"/>
    <cellStyle name="20% - Accent3 8" xfId="586" xr:uid="{75D558A3-8A4D-48DC-9776-99EDE0684450}"/>
    <cellStyle name="20% - Accent3 9" xfId="6192" xr:uid="{D25256F3-EF31-4133-8524-FBEF348E2907}"/>
    <cellStyle name="20% - Accent3 9 2" xfId="11645" xr:uid="{833C6E90-D965-40D3-B217-625174D77C89}"/>
    <cellStyle name="20% - Accent4" xfId="204" builtinId="42" customBuiltin="1"/>
    <cellStyle name="20% - Accent4 10" xfId="6270" xr:uid="{231D240F-8569-480B-9781-417733454D59}"/>
    <cellStyle name="20% - Accent4 11" xfId="13251" xr:uid="{B00DCA3F-EA29-4137-9C5A-E2BDA5A1EDEC}"/>
    <cellStyle name="20% - Accent4 12" xfId="2477" xr:uid="{BABA2E00-2EAF-4160-9CBD-12BEF2E8E349}"/>
    <cellStyle name="20% - Accent4 2" xfId="6" xr:uid="{00000000-0005-0000-0000-00001C000000}"/>
    <cellStyle name="20% - Accent4 2 2" xfId="588" xr:uid="{106D5463-92F5-427E-A944-D03AF1CD6C4D}"/>
    <cellStyle name="20% - Accent4 2 3" xfId="587" xr:uid="{28896C55-9D88-49DB-8C21-0CC762885313}"/>
    <cellStyle name="20% - Accent4 2 3 2" xfId="6210" xr:uid="{5BE7567F-A104-4A64-881E-4CE2ECCE2007}"/>
    <cellStyle name="20% - Accent4 3" xfId="227" xr:uid="{00000000-0005-0000-0000-00001D000000}"/>
    <cellStyle name="20% - Accent4 3 2" xfId="373" xr:uid="{00000000-0005-0000-0000-00001E000000}"/>
    <cellStyle name="20% - Accent4 3 2 2" xfId="6348" xr:uid="{C94DD39E-C8B2-48C9-91D0-17E3B40EBAC6}"/>
    <cellStyle name="20% - Accent4 3 2 3" xfId="11679" xr:uid="{1A463B2C-C1D4-4AE9-A3FC-AE052F832C90}"/>
    <cellStyle name="20% - Accent4 3 2 4" xfId="13327" xr:uid="{95A3F964-E353-4483-95A7-FB0CE480B932}"/>
    <cellStyle name="20% - Accent4 3 2 5" xfId="2581" xr:uid="{A3ED661B-7E61-4BCE-88AA-BB9652BA2C8E}"/>
    <cellStyle name="20% - Accent4 3 3" xfId="424" xr:uid="{00000000-0005-0000-0000-00001F000000}"/>
    <cellStyle name="20% - Accent4 3 3 2" xfId="6399" xr:uid="{3313EA1E-9D06-4ED2-BA02-A70CFBCF5BA5}"/>
    <cellStyle name="20% - Accent4 3 3 3" xfId="13378" xr:uid="{46CEC77D-873A-407A-8011-C345F585A7B9}"/>
    <cellStyle name="20% - Accent4 3 3 4" xfId="2632" xr:uid="{8848ECEF-8C8F-4887-B66B-5B745CB4D55F}"/>
    <cellStyle name="20% - Accent4 3 4" xfId="481" xr:uid="{00000000-0005-0000-0000-000020000000}"/>
    <cellStyle name="20% - Accent4 3 4 2" xfId="6455" xr:uid="{C40F7075-D879-4A0B-B0C7-CB7C67D16E51}"/>
    <cellStyle name="20% - Accent4 3 4 3" xfId="13434" xr:uid="{9BCCD50E-5F23-4DFA-B8B4-98EEEF6147D8}"/>
    <cellStyle name="20% - Accent4 3 4 4" xfId="2688" xr:uid="{025A84FE-E26A-48BC-9827-8E1AF6E17A62}"/>
    <cellStyle name="20% - Accent4 3 5" xfId="2509" xr:uid="{0C51ECA6-2B7F-4DBC-BBF0-C14A1C2EA409}"/>
    <cellStyle name="20% - Accent4 3 5 2" xfId="6535" xr:uid="{9C1B9DEB-2394-4CE1-818A-6BB173E52844}"/>
    <cellStyle name="20% - Accent4 3 6" xfId="6297" xr:uid="{F1BAEDF4-1F49-4F38-98B1-D5FA053962BB}"/>
    <cellStyle name="20% - Accent4 3 7" xfId="13276" xr:uid="{F11CB59A-9542-415C-8D3D-39EA72FD0C95}"/>
    <cellStyle name="20% - Accent4 3 8" xfId="589" xr:uid="{6A029F58-5F36-403C-A81C-7B0B66ADA31D}"/>
    <cellStyle name="20% - Accent4 4" xfId="355" xr:uid="{00000000-0005-0000-0000-000021000000}"/>
    <cellStyle name="20% - Accent4 4 2" xfId="2563" xr:uid="{83ADCAB5-E685-4146-B5BB-AA7E6B546079}"/>
    <cellStyle name="20% - Accent4 4 2 2" xfId="6536" xr:uid="{C0CDFB8B-89DA-44F0-8EA4-5FE411EC85A1}"/>
    <cellStyle name="20% - Accent4 4 3" xfId="6331" xr:uid="{05E4C7F3-A707-40A1-88F5-1763420F1132}"/>
    <cellStyle name="20% - Accent4 4 4" xfId="13310" xr:uid="{154C0E4A-406B-4F5E-8977-E433FB2AFD6B}"/>
    <cellStyle name="20% - Accent4 4 5" xfId="590" xr:uid="{98A6951D-563C-439D-9A06-BB946BCD908C}"/>
    <cellStyle name="20% - Accent4 5" xfId="407" xr:uid="{00000000-0005-0000-0000-000022000000}"/>
    <cellStyle name="20% - Accent4 5 2" xfId="2615" xr:uid="{58644BFE-398F-4C6A-8049-4BB0067A3ACC}"/>
    <cellStyle name="20% - Accent4 5 2 2" xfId="6537" xr:uid="{8713103C-76B8-4ECD-9ADA-FB9A77F00234}"/>
    <cellStyle name="20% - Accent4 5 3" xfId="6382" xr:uid="{7AD72047-CF48-459E-877D-E6BA96DC41F9}"/>
    <cellStyle name="20% - Accent4 5 4" xfId="13361" xr:uid="{933411F7-8DC8-43E8-B2E9-DA79EA1C6F2C}"/>
    <cellStyle name="20% - Accent4 5 5" xfId="591" xr:uid="{7A64D2D5-99A7-4239-9C4C-BCC0A47FECBE}"/>
    <cellStyle name="20% - Accent4 6" xfId="452" xr:uid="{00000000-0005-0000-0000-000023000000}"/>
    <cellStyle name="20% - Accent4 6 2" xfId="2660" xr:uid="{141803B9-932D-4834-99D8-DE3D865E604B}"/>
    <cellStyle name="20% - Accent4 6 2 2" xfId="6538" xr:uid="{135C60FF-B797-4C05-868B-5B3D5307DFAD}"/>
    <cellStyle name="20% - Accent4 6 3" xfId="6427" xr:uid="{BCBA4E1B-08BA-4969-B10B-39411EB0E5AF}"/>
    <cellStyle name="20% - Accent4 6 4" xfId="13406" xr:uid="{01FBA294-FD00-427A-BA66-703F1CAEFE2E}"/>
    <cellStyle name="20% - Accent4 6 5" xfId="592" xr:uid="{0082CAEE-05E9-4ECB-BA96-544B5FE4B6AA}"/>
    <cellStyle name="20% - Accent4 7" xfId="593" xr:uid="{43FE8D0E-142E-4E49-87AB-2ABA3B35AA06}"/>
    <cellStyle name="20% - Accent4 8" xfId="594" xr:uid="{6B9BF286-E572-4455-85F0-8E842E1D3DF6}"/>
    <cellStyle name="20% - Accent4 9" xfId="6196" xr:uid="{4624A77F-334C-423A-963D-6B4E38915543}"/>
    <cellStyle name="20% - Accent4 9 2" xfId="11647" xr:uid="{526F717B-943D-4375-B720-A3B78C2BC82F}"/>
    <cellStyle name="20% - Accent5" xfId="208" builtinId="46" customBuiltin="1"/>
    <cellStyle name="20% - Accent5 10" xfId="2479" xr:uid="{79589BFF-362B-40F2-9149-34E48ACF9A90}"/>
    <cellStyle name="20% - Accent5 2" xfId="7" xr:uid="{00000000-0005-0000-0000-000025000000}"/>
    <cellStyle name="20% - Accent5 2 2" xfId="595" xr:uid="{D452450C-CB85-4D8D-8A5B-17E0922405AB}"/>
    <cellStyle name="20% - Accent5 3" xfId="229" xr:uid="{00000000-0005-0000-0000-000026000000}"/>
    <cellStyle name="20% - Accent5 3 2" xfId="375" xr:uid="{00000000-0005-0000-0000-000027000000}"/>
    <cellStyle name="20% - Accent5 3 2 2" xfId="6350" xr:uid="{55A16268-E285-424F-93B9-75BD2AEC4DAD}"/>
    <cellStyle name="20% - Accent5 3 2 3" xfId="11681" xr:uid="{D15DA3EE-1312-4121-A569-617885B4BD38}"/>
    <cellStyle name="20% - Accent5 3 2 4" xfId="13329" xr:uid="{69F2ABAB-16BC-4784-A6C1-674B21AE631F}"/>
    <cellStyle name="20% - Accent5 3 2 5" xfId="2583" xr:uid="{78B1555C-432A-49A0-809E-7EC7ECFC4106}"/>
    <cellStyle name="20% - Accent5 3 3" xfId="426" xr:uid="{00000000-0005-0000-0000-000028000000}"/>
    <cellStyle name="20% - Accent5 3 3 2" xfId="6401" xr:uid="{85210715-8862-40F1-8759-0E62D3155C15}"/>
    <cellStyle name="20% - Accent5 3 3 3" xfId="13380" xr:uid="{0C9B60CE-3747-4234-8967-5B34417DED09}"/>
    <cellStyle name="20% - Accent5 3 3 4" xfId="2634" xr:uid="{4CCA0034-2658-4F5C-B63E-0130FC6EC74B}"/>
    <cellStyle name="20% - Accent5 3 4" xfId="483" xr:uid="{00000000-0005-0000-0000-000029000000}"/>
    <cellStyle name="20% - Accent5 3 4 2" xfId="6457" xr:uid="{85597608-0A3E-4266-BB05-C1A02FF0205C}"/>
    <cellStyle name="20% - Accent5 3 4 3" xfId="13436" xr:uid="{766F3CC7-4236-4D86-8250-C4B79ABD04DD}"/>
    <cellStyle name="20% - Accent5 3 4 4" xfId="2690" xr:uid="{85464A5C-7D9B-4401-896F-16D2F96287A4}"/>
    <cellStyle name="20% - Accent5 3 5" xfId="2511" xr:uid="{E63A7B41-46E2-4C4D-B76A-009081E50DC5}"/>
    <cellStyle name="20% - Accent5 3 5 2" xfId="6539" xr:uid="{BBD3F468-8643-4388-886E-070EE3FA7E2E}"/>
    <cellStyle name="20% - Accent5 3 6" xfId="6299" xr:uid="{A7B2D11B-F62D-4B01-913D-97F6D2E2B048}"/>
    <cellStyle name="20% - Accent5 3 7" xfId="13278" xr:uid="{2C711CD5-FA95-47AF-AB23-EE74C5F7CD0A}"/>
    <cellStyle name="20% - Accent5 3 8" xfId="596" xr:uid="{26153B5F-CFDB-4974-9133-DE4947230BA2}"/>
    <cellStyle name="20% - Accent5 4" xfId="357" xr:uid="{00000000-0005-0000-0000-00002A000000}"/>
    <cellStyle name="20% - Accent5 4 2" xfId="2565" xr:uid="{F2F5A691-DF45-44BD-965C-09F5BCB889AC}"/>
    <cellStyle name="20% - Accent5 4 2 2" xfId="6540" xr:uid="{AE184728-3086-4B5C-BC44-7170C3347876}"/>
    <cellStyle name="20% - Accent5 4 3" xfId="6333" xr:uid="{B20282E2-AF92-42E2-B871-03C2D1132EC0}"/>
    <cellStyle name="20% - Accent5 4 4" xfId="13312" xr:uid="{12186EED-05DB-462F-84E5-490E4F798F29}"/>
    <cellStyle name="20% - Accent5 4 5" xfId="597" xr:uid="{F642CF99-3036-479B-80CA-970C43FFAD63}"/>
    <cellStyle name="20% - Accent5 5" xfId="409" xr:uid="{00000000-0005-0000-0000-00002B000000}"/>
    <cellStyle name="20% - Accent5 5 2" xfId="2617" xr:uid="{7E24202E-F798-4D9C-9571-11574459D955}"/>
    <cellStyle name="20% - Accent5 5 2 2" xfId="6541" xr:uid="{639B1617-6399-4DE5-BDCB-C2A50983BF50}"/>
    <cellStyle name="20% - Accent5 5 3" xfId="6384" xr:uid="{4F76BEB0-B4D8-4BB5-92FC-A5BE6E49490D}"/>
    <cellStyle name="20% - Accent5 5 4" xfId="13363" xr:uid="{B152C083-63E8-4F80-BF2E-5F0A2599495C}"/>
    <cellStyle name="20% - Accent5 5 5" xfId="598" xr:uid="{75166805-F4A9-4BD0-81E0-366B3F602D1B}"/>
    <cellStyle name="20% - Accent5 6" xfId="454" xr:uid="{00000000-0005-0000-0000-00002C000000}"/>
    <cellStyle name="20% - Accent5 6 2" xfId="2662" xr:uid="{AD744B8E-33C7-486E-B3B5-D8E9A93126F8}"/>
    <cellStyle name="20% - Accent5 6 2 2" xfId="6542" xr:uid="{06811E0F-4228-41F1-B1F7-5B403122A92D}"/>
    <cellStyle name="20% - Accent5 6 3" xfId="6429" xr:uid="{DFD6AC52-E203-4588-BAAB-623E1FCB426C}"/>
    <cellStyle name="20% - Accent5 6 4" xfId="13408" xr:uid="{DE4F16D0-E51E-46A0-A157-EC0556D894FC}"/>
    <cellStyle name="20% - Accent5 6 5" xfId="599" xr:uid="{3C4800E8-91EC-4F32-8B60-6057C5E8BD66}"/>
    <cellStyle name="20% - Accent5 7" xfId="6200" xr:uid="{67022AD4-8BA4-4C54-9C23-F44DF5271758}"/>
    <cellStyle name="20% - Accent5 7 2" xfId="11649" xr:uid="{FC16DC14-43CC-4AAB-9807-4CCFD7F3A4D4}"/>
    <cellStyle name="20% - Accent5 8" xfId="6272" xr:uid="{14336833-12EC-4156-9ED0-8102F494EE87}"/>
    <cellStyle name="20% - Accent5 9" xfId="13253" xr:uid="{A95F0F8A-5945-4DAD-91F6-7DBF3567FF16}"/>
    <cellStyle name="20% - Accent6" xfId="212" builtinId="50" customBuiltin="1"/>
    <cellStyle name="20% - Accent6 10" xfId="2481" xr:uid="{284FE4CD-6A76-4CA5-8B5B-214E503445F6}"/>
    <cellStyle name="20% - Accent6 2" xfId="8" xr:uid="{00000000-0005-0000-0000-00002E000000}"/>
    <cellStyle name="20% - Accent6 2 2" xfId="600" xr:uid="{EBE3D2C8-5F12-46DD-8475-1A5DD7F4B9F1}"/>
    <cellStyle name="20% - Accent6 3" xfId="231" xr:uid="{00000000-0005-0000-0000-00002F000000}"/>
    <cellStyle name="20% - Accent6 3 2" xfId="377" xr:uid="{00000000-0005-0000-0000-000030000000}"/>
    <cellStyle name="20% - Accent6 3 2 2" xfId="6352" xr:uid="{BF117777-A173-492B-9DD3-5FB3DD82F36A}"/>
    <cellStyle name="20% - Accent6 3 2 3" xfId="11683" xr:uid="{7892A37E-040F-43B8-808B-ABDD5BFB2F19}"/>
    <cellStyle name="20% - Accent6 3 2 4" xfId="13331" xr:uid="{4D439CD8-FA7F-4390-991D-CD17CC312731}"/>
    <cellStyle name="20% - Accent6 3 2 5" xfId="2585" xr:uid="{BDBAB441-47B0-4471-9CD4-B54F3662D829}"/>
    <cellStyle name="20% - Accent6 3 3" xfId="428" xr:uid="{00000000-0005-0000-0000-000031000000}"/>
    <cellStyle name="20% - Accent6 3 3 2" xfId="6403" xr:uid="{8E6C46B6-9A40-495B-B24D-1773E104D0D1}"/>
    <cellStyle name="20% - Accent6 3 3 3" xfId="13382" xr:uid="{914B27FA-43E0-4D02-98DF-280599DB5435}"/>
    <cellStyle name="20% - Accent6 3 3 4" xfId="2636" xr:uid="{424B5B65-7E58-405B-99F7-319D99C1FC86}"/>
    <cellStyle name="20% - Accent6 3 4" xfId="485" xr:uid="{00000000-0005-0000-0000-000032000000}"/>
    <cellStyle name="20% - Accent6 3 4 2" xfId="6459" xr:uid="{7FCE64DC-F52A-416D-AB43-760FA264F4DC}"/>
    <cellStyle name="20% - Accent6 3 4 3" xfId="13438" xr:uid="{509068C4-D855-43A6-9A1C-68C327801D70}"/>
    <cellStyle name="20% - Accent6 3 4 4" xfId="2692" xr:uid="{583234AF-188E-409A-9FB4-07226CAA0ABD}"/>
    <cellStyle name="20% - Accent6 3 5" xfId="2513" xr:uid="{CE426581-A2AA-4CF4-8D7A-F98C64812AF1}"/>
    <cellStyle name="20% - Accent6 3 5 2" xfId="6543" xr:uid="{8A7265D3-5A3D-44B0-8545-BEE15A5F7D35}"/>
    <cellStyle name="20% - Accent6 3 6" xfId="6301" xr:uid="{57629F73-5A58-474E-AC84-871732BEAD60}"/>
    <cellStyle name="20% - Accent6 3 7" xfId="13280" xr:uid="{427390DA-4D66-475C-89A1-2F6CAD2E24EA}"/>
    <cellStyle name="20% - Accent6 3 8" xfId="601" xr:uid="{7DF6D819-90A9-4A9E-8682-851D790642F0}"/>
    <cellStyle name="20% - Accent6 4" xfId="359" xr:uid="{00000000-0005-0000-0000-000033000000}"/>
    <cellStyle name="20% - Accent6 4 2" xfId="2567" xr:uid="{4D7760F6-F7E5-48A4-B5AB-F8B4894FDD91}"/>
    <cellStyle name="20% - Accent6 4 2 2" xfId="6544" xr:uid="{6F16DDFC-FE29-42BD-8647-A0640C2020B7}"/>
    <cellStyle name="20% - Accent6 4 3" xfId="6335" xr:uid="{513325C5-E01D-45EE-8606-FD73C24EAEB1}"/>
    <cellStyle name="20% - Accent6 4 4" xfId="13314" xr:uid="{838B67BF-0720-409D-BD08-534982E0DD9D}"/>
    <cellStyle name="20% - Accent6 4 5" xfId="602" xr:uid="{58E574B4-AC82-4656-B57F-67E863DE57E0}"/>
    <cellStyle name="20% - Accent6 5" xfId="411" xr:uid="{00000000-0005-0000-0000-000034000000}"/>
    <cellStyle name="20% - Accent6 5 2" xfId="2619" xr:uid="{B8F0DBC0-9201-448F-9D3E-33230DD077D5}"/>
    <cellStyle name="20% - Accent6 5 2 2" xfId="6545" xr:uid="{3A1CCFBA-89D5-4977-9CE3-24CF36620CC3}"/>
    <cellStyle name="20% - Accent6 5 3" xfId="6386" xr:uid="{79E8916E-3E53-4175-AA0F-4B8A9971241F}"/>
    <cellStyle name="20% - Accent6 5 4" xfId="13365" xr:uid="{964F8332-07E4-45F6-8091-456B364ABD85}"/>
    <cellStyle name="20% - Accent6 5 5" xfId="603" xr:uid="{A54EBCE0-E86B-4AFB-8D42-D9EE0607A3F3}"/>
    <cellStyle name="20% - Accent6 6" xfId="456" xr:uid="{00000000-0005-0000-0000-000035000000}"/>
    <cellStyle name="20% - Accent6 6 2" xfId="2664" xr:uid="{5DCE65D8-F6FA-49F6-9519-B4F976CDE693}"/>
    <cellStyle name="20% - Accent6 6 2 2" xfId="6546" xr:uid="{3907D654-BFDA-4089-9DCD-6E59C3A966F2}"/>
    <cellStyle name="20% - Accent6 6 3" xfId="6431" xr:uid="{7B769AB3-3F5D-41FA-9270-7EEDC7E9F2F8}"/>
    <cellStyle name="20% - Accent6 6 4" xfId="13410" xr:uid="{A0E8B706-7778-44C8-BD6C-24EDBB4B8510}"/>
    <cellStyle name="20% - Accent6 6 5" xfId="604" xr:uid="{7D3A40FB-880E-4434-93E4-54DFA4E9B7CE}"/>
    <cellStyle name="20% - Accent6 7" xfId="6204" xr:uid="{6BE9234D-DB35-43CC-86E1-29CA38FCF076}"/>
    <cellStyle name="20% - Accent6 7 2" xfId="11651" xr:uid="{BB4EDD9F-A71E-4A6F-915D-D9C5D8B539E3}"/>
    <cellStyle name="20% - Accent6 8" xfId="6274" xr:uid="{67E0C9B0-6942-4BFC-A53D-FC58C3684611}"/>
    <cellStyle name="20% - Accent6 9" xfId="13255" xr:uid="{BEEBEF62-EE24-4D42-A7B8-724B1FC6423F}"/>
    <cellStyle name="40% - Accent1" xfId="193" builtinId="31" customBuiltin="1"/>
    <cellStyle name="40% - Accent1 10" xfId="6265" xr:uid="{48240F84-E306-4949-A65F-DAB7A46C6260}"/>
    <cellStyle name="40% - Accent1 11" xfId="13246" xr:uid="{221CEFB4-7BBE-4564-9DE0-641DBAF16BF2}"/>
    <cellStyle name="40% - Accent1 12" xfId="2472" xr:uid="{ED4F9859-F3CC-4F8C-870B-9517EEEA3E39}"/>
    <cellStyle name="40% - Accent1 2" xfId="9" xr:uid="{00000000-0005-0000-0000-000037000000}"/>
    <cellStyle name="40% - Accent1 2 2" xfId="606" xr:uid="{2DBB7C2F-5CEC-4597-8650-2F578C739B75}"/>
    <cellStyle name="40% - Accent1 2 3" xfId="605" xr:uid="{46944645-27A0-4AD8-9027-F56168B394B1}"/>
    <cellStyle name="40% - Accent1 2 3 2" xfId="6211" xr:uid="{7223F6CF-EB05-4101-BB07-E444FE00D836}"/>
    <cellStyle name="40% - Accent1 3" xfId="222" xr:uid="{00000000-0005-0000-0000-000038000000}"/>
    <cellStyle name="40% - Accent1 3 2" xfId="368" xr:uid="{00000000-0005-0000-0000-000039000000}"/>
    <cellStyle name="40% - Accent1 3 2 2" xfId="6343" xr:uid="{C414934F-EC09-4F62-9906-12D2E51B998F}"/>
    <cellStyle name="40% - Accent1 3 2 3" xfId="11674" xr:uid="{219D4B39-8F57-4AE9-A7F2-3C0551A85215}"/>
    <cellStyle name="40% - Accent1 3 2 4" xfId="13322" xr:uid="{64432ECA-A5A8-4C20-8F06-B9485231EE68}"/>
    <cellStyle name="40% - Accent1 3 2 5" xfId="2576" xr:uid="{FA815487-0020-460D-ABE1-0849BCF00F4D}"/>
    <cellStyle name="40% - Accent1 3 3" xfId="419" xr:uid="{00000000-0005-0000-0000-00003A000000}"/>
    <cellStyle name="40% - Accent1 3 3 2" xfId="6394" xr:uid="{BB0CE83B-FA3F-4F9E-BB03-2533276368D4}"/>
    <cellStyle name="40% - Accent1 3 3 3" xfId="13373" xr:uid="{787A9EBC-1D6F-427D-B338-8A383684758F}"/>
    <cellStyle name="40% - Accent1 3 3 4" xfId="2627" xr:uid="{8B7F5B87-EDC5-49A5-A054-21043878CC75}"/>
    <cellStyle name="40% - Accent1 3 4" xfId="476" xr:uid="{00000000-0005-0000-0000-00003B000000}"/>
    <cellStyle name="40% - Accent1 3 4 2" xfId="6450" xr:uid="{6860FFCB-C200-44BE-9626-3D53ECC0A2B3}"/>
    <cellStyle name="40% - Accent1 3 4 3" xfId="13429" xr:uid="{DA912154-86FF-4599-BE53-E715F966898E}"/>
    <cellStyle name="40% - Accent1 3 4 4" xfId="2683" xr:uid="{14ABDBE4-918B-482A-B691-47AE37A3997D}"/>
    <cellStyle name="40% - Accent1 3 5" xfId="2504" xr:uid="{DC7CDE63-9F6D-4A3B-A2F6-97FF3A7E7E97}"/>
    <cellStyle name="40% - Accent1 3 5 2" xfId="6547" xr:uid="{D2868A5C-7490-4BB1-AA6F-73A7759EFDBE}"/>
    <cellStyle name="40% - Accent1 3 6" xfId="6292" xr:uid="{7E53182D-3D29-4C4B-920C-7DB78669E4D2}"/>
    <cellStyle name="40% - Accent1 3 7" xfId="13271" xr:uid="{AAF86F22-D8E7-46C2-97AE-7AD3C3A4F7C7}"/>
    <cellStyle name="40% - Accent1 3 8" xfId="607" xr:uid="{5A082EC3-6561-433D-A8FD-8BEDC939189F}"/>
    <cellStyle name="40% - Accent1 4" xfId="350" xr:uid="{00000000-0005-0000-0000-00003C000000}"/>
    <cellStyle name="40% - Accent1 4 2" xfId="2558" xr:uid="{9458C385-7AE5-45E8-A7F2-5DFABE1AFA80}"/>
    <cellStyle name="40% - Accent1 4 2 2" xfId="6548" xr:uid="{F30B136A-087B-4DF9-BD15-0654682203E4}"/>
    <cellStyle name="40% - Accent1 4 3" xfId="6326" xr:uid="{A76A85B7-22A7-4FDF-94AD-934965FB6D11}"/>
    <cellStyle name="40% - Accent1 4 4" xfId="13305" xr:uid="{40F0605D-0C62-4E1B-890B-DB3C7877CD26}"/>
    <cellStyle name="40% - Accent1 4 5" xfId="608" xr:uid="{E8D5C908-A7F8-41C4-A29C-58D58A4E290A}"/>
    <cellStyle name="40% - Accent1 5" xfId="402" xr:uid="{00000000-0005-0000-0000-00003D000000}"/>
    <cellStyle name="40% - Accent1 5 2" xfId="2610" xr:uid="{5EF11DAF-4062-41F7-836F-A688BE198B73}"/>
    <cellStyle name="40% - Accent1 5 2 2" xfId="6549" xr:uid="{895FE5E0-0DCB-405C-B129-2A2EF3CA8311}"/>
    <cellStyle name="40% - Accent1 5 3" xfId="6377" xr:uid="{2921FA04-63EA-4CBD-9E16-33665043DFFC}"/>
    <cellStyle name="40% - Accent1 5 4" xfId="13356" xr:uid="{E6BE05E9-F67E-49D2-A679-E2F4E9D31887}"/>
    <cellStyle name="40% - Accent1 5 5" xfId="609" xr:uid="{1BA44422-B130-4739-A781-8CD8DC223621}"/>
    <cellStyle name="40% - Accent1 6" xfId="447" xr:uid="{00000000-0005-0000-0000-00003E000000}"/>
    <cellStyle name="40% - Accent1 6 2" xfId="2655" xr:uid="{04D5F56B-7D34-448B-BF64-769CB564CF14}"/>
    <cellStyle name="40% - Accent1 6 2 2" xfId="6550" xr:uid="{2DFD24E0-4BD9-4EAC-BB24-906621E1AC01}"/>
    <cellStyle name="40% - Accent1 6 3" xfId="6422" xr:uid="{4E45B901-7BA7-483D-A48D-2CA2825F69CA}"/>
    <cellStyle name="40% - Accent1 6 4" xfId="13401" xr:uid="{68A4D7C0-3710-414D-8F35-F348A69539B2}"/>
    <cellStyle name="40% - Accent1 6 5" xfId="610" xr:uid="{A7554D92-1F68-4284-B08D-452DF93CEC14}"/>
    <cellStyle name="40% - Accent1 7" xfId="611" xr:uid="{57881058-0DB7-4488-94B1-0CEEF278DEC4}"/>
    <cellStyle name="40% - Accent1 8" xfId="612" xr:uid="{DF887916-621F-40B2-BAA7-E7D0909AF3CB}"/>
    <cellStyle name="40% - Accent1 9" xfId="6185" xr:uid="{7CC68D16-B455-4517-9AD1-BE8900154F3F}"/>
    <cellStyle name="40% - Accent1 9 2" xfId="11642" xr:uid="{6473F912-4AF7-45E3-BDCA-E0AE8C4BDF2F}"/>
    <cellStyle name="40% - Accent2" xfId="197" builtinId="35" customBuiltin="1"/>
    <cellStyle name="40% - Accent2 10" xfId="2474" xr:uid="{2A5DE287-D37C-4F94-A58C-8BFB850316DF}"/>
    <cellStyle name="40% - Accent2 2" xfId="10" xr:uid="{00000000-0005-0000-0000-000040000000}"/>
    <cellStyle name="40% - Accent2 2 2" xfId="613" xr:uid="{784D2127-8098-4B11-B27B-81B65FB920E4}"/>
    <cellStyle name="40% - Accent2 3" xfId="224" xr:uid="{00000000-0005-0000-0000-000041000000}"/>
    <cellStyle name="40% - Accent2 3 2" xfId="370" xr:uid="{00000000-0005-0000-0000-000042000000}"/>
    <cellStyle name="40% - Accent2 3 2 2" xfId="6345" xr:uid="{A3D151B1-87AF-40CF-8901-040A40401886}"/>
    <cellStyle name="40% - Accent2 3 2 3" xfId="11676" xr:uid="{069E0AEC-C072-4C59-806C-C3B1096ABB10}"/>
    <cellStyle name="40% - Accent2 3 2 4" xfId="13324" xr:uid="{681EF978-6DA9-48C3-9D1A-8136446998BB}"/>
    <cellStyle name="40% - Accent2 3 2 5" xfId="2578" xr:uid="{BB0D26EA-1828-4755-B7CB-F956EDAB01C1}"/>
    <cellStyle name="40% - Accent2 3 3" xfId="421" xr:uid="{00000000-0005-0000-0000-000043000000}"/>
    <cellStyle name="40% - Accent2 3 3 2" xfId="6396" xr:uid="{BE30CEFA-9251-4D76-B643-CEBEA79E5684}"/>
    <cellStyle name="40% - Accent2 3 3 3" xfId="13375" xr:uid="{64F20966-DEBD-4461-BEAB-6BBC444E89A0}"/>
    <cellStyle name="40% - Accent2 3 3 4" xfId="2629" xr:uid="{3FF5AB0E-575E-4D14-B858-372D711DBB77}"/>
    <cellStyle name="40% - Accent2 3 4" xfId="478" xr:uid="{00000000-0005-0000-0000-000044000000}"/>
    <cellStyle name="40% - Accent2 3 4 2" xfId="6452" xr:uid="{E33FE1A6-43CC-4691-977F-D02FB2CBE4CB}"/>
    <cellStyle name="40% - Accent2 3 4 3" xfId="13431" xr:uid="{B1AF444E-2F6C-4CF8-90F5-3F4C19D0401A}"/>
    <cellStyle name="40% - Accent2 3 4 4" xfId="2685" xr:uid="{7CC7FFE1-4D5A-45F9-8A5B-296AA19408C9}"/>
    <cellStyle name="40% - Accent2 3 5" xfId="2506" xr:uid="{DD645FD7-A927-40F1-9C45-BD481B18E365}"/>
    <cellStyle name="40% - Accent2 3 5 2" xfId="6551" xr:uid="{59972496-F350-4EFA-A5D3-F3920AE714C6}"/>
    <cellStyle name="40% - Accent2 3 6" xfId="6294" xr:uid="{D9794CC8-773D-4FA8-BF2E-B4A1AB237F41}"/>
    <cellStyle name="40% - Accent2 3 7" xfId="13273" xr:uid="{8082C49A-3B4B-487A-88BB-6037B2953B03}"/>
    <cellStyle name="40% - Accent2 3 8" xfId="614" xr:uid="{AF6B4F58-2C46-421F-9FA9-F00561182047}"/>
    <cellStyle name="40% - Accent2 4" xfId="352" xr:uid="{00000000-0005-0000-0000-000045000000}"/>
    <cellStyle name="40% - Accent2 4 2" xfId="2560" xr:uid="{749B1E9E-F966-412C-A63B-CBE325659F89}"/>
    <cellStyle name="40% - Accent2 4 2 2" xfId="6552" xr:uid="{9ECED725-DF20-49A3-852A-6C5FF37342D2}"/>
    <cellStyle name="40% - Accent2 4 3" xfId="6328" xr:uid="{E013D8C6-E42E-4E7A-85A3-B7B4F13F7A12}"/>
    <cellStyle name="40% - Accent2 4 4" xfId="13307" xr:uid="{5CDEBE60-C365-4635-9D2D-F6C867D84F8A}"/>
    <cellStyle name="40% - Accent2 4 5" xfId="615" xr:uid="{4CEA873E-003D-4ADD-863E-0757CC47BDCF}"/>
    <cellStyle name="40% - Accent2 5" xfId="404" xr:uid="{00000000-0005-0000-0000-000046000000}"/>
    <cellStyle name="40% - Accent2 5 2" xfId="2612" xr:uid="{1AF5D188-2D32-40EC-802C-89439D4A9AC9}"/>
    <cellStyle name="40% - Accent2 5 2 2" xfId="6553" xr:uid="{EDDED55D-3595-48AA-AED3-CA82565DF03D}"/>
    <cellStyle name="40% - Accent2 5 3" xfId="6379" xr:uid="{4C417910-6070-4878-B06B-8FDE15E3D097}"/>
    <cellStyle name="40% - Accent2 5 4" xfId="13358" xr:uid="{40C8E907-99EC-4195-810F-A8687A2AA9A8}"/>
    <cellStyle name="40% - Accent2 5 5" xfId="616" xr:uid="{8F129ACC-6D30-48CD-9CEF-1E65D527EB8A}"/>
    <cellStyle name="40% - Accent2 6" xfId="449" xr:uid="{00000000-0005-0000-0000-000047000000}"/>
    <cellStyle name="40% - Accent2 6 2" xfId="2657" xr:uid="{7E35A413-89D8-41E9-8305-5122E4AB6154}"/>
    <cellStyle name="40% - Accent2 6 2 2" xfId="6554" xr:uid="{D43B5791-E989-44C2-89F0-26AE744D4978}"/>
    <cellStyle name="40% - Accent2 6 3" xfId="6424" xr:uid="{A74EC7F3-B8FD-4559-BB0A-E6C7B758D831}"/>
    <cellStyle name="40% - Accent2 6 4" xfId="13403" xr:uid="{284CAA57-59C9-481C-B9B9-AC0448394FBF}"/>
    <cellStyle name="40% - Accent2 6 5" xfId="617" xr:uid="{2015A00B-78FC-4F00-AD0C-423E12174135}"/>
    <cellStyle name="40% - Accent2 7" xfId="6189" xr:uid="{20B01D26-2C09-4712-B3E4-BC36A9F8A3B7}"/>
    <cellStyle name="40% - Accent2 7 2" xfId="11644" xr:uid="{5259F8A4-F223-4E18-A5DF-21AFB84278F1}"/>
    <cellStyle name="40% - Accent2 8" xfId="6267" xr:uid="{8A2923B2-B38E-4167-A6A5-9B156A324A68}"/>
    <cellStyle name="40% - Accent2 9" xfId="13248" xr:uid="{4D24CF4E-75CB-4F06-8EE3-11E74DF1A1BB}"/>
    <cellStyle name="40% - Accent3" xfId="201" builtinId="39" customBuiltin="1"/>
    <cellStyle name="40% - Accent3 10" xfId="6269" xr:uid="{03A93392-8D87-4DFF-B5DC-BCF92F845794}"/>
    <cellStyle name="40% - Accent3 11" xfId="13250" xr:uid="{35602E31-FB93-43F0-94CA-23FEF34272A2}"/>
    <cellStyle name="40% - Accent3 12" xfId="2476" xr:uid="{F7F423E1-9611-4F6B-8165-86999A6D4414}"/>
    <cellStyle name="40% - Accent3 2" xfId="11" xr:uid="{00000000-0005-0000-0000-000049000000}"/>
    <cellStyle name="40% - Accent3 2 2" xfId="619" xr:uid="{6F475689-DD9A-4161-90CA-01A89C742F35}"/>
    <cellStyle name="40% - Accent3 2 3" xfId="618" xr:uid="{752030D9-8024-4C9F-A369-49E6AAD89555}"/>
    <cellStyle name="40% - Accent3 2 3 2" xfId="6212" xr:uid="{55D0F856-74AD-4E4B-AE01-FE6724C80EF7}"/>
    <cellStyle name="40% - Accent3 3" xfId="226" xr:uid="{00000000-0005-0000-0000-00004A000000}"/>
    <cellStyle name="40% - Accent3 3 2" xfId="372" xr:uid="{00000000-0005-0000-0000-00004B000000}"/>
    <cellStyle name="40% - Accent3 3 2 2" xfId="6347" xr:uid="{B20B1A5E-4B78-4018-9B54-661FA92C5A6C}"/>
    <cellStyle name="40% - Accent3 3 2 3" xfId="11678" xr:uid="{7854E6C9-48E2-42C6-B74C-926A08C7B969}"/>
    <cellStyle name="40% - Accent3 3 2 4" xfId="13326" xr:uid="{CD4D43D6-454F-4395-97DF-2421ECB37009}"/>
    <cellStyle name="40% - Accent3 3 2 5" xfId="2580" xr:uid="{ADDD19F8-02E2-4832-8A23-F96A6666F01D}"/>
    <cellStyle name="40% - Accent3 3 3" xfId="423" xr:uid="{00000000-0005-0000-0000-00004C000000}"/>
    <cellStyle name="40% - Accent3 3 3 2" xfId="6398" xr:uid="{7456CEAE-D586-4E27-A64C-4198B05E766C}"/>
    <cellStyle name="40% - Accent3 3 3 3" xfId="13377" xr:uid="{A5D18FED-FD47-45DB-99AC-FEC8299C781D}"/>
    <cellStyle name="40% - Accent3 3 3 4" xfId="2631" xr:uid="{D79012C8-C497-424E-B908-973BFFE837BD}"/>
    <cellStyle name="40% - Accent3 3 4" xfId="480" xr:uid="{00000000-0005-0000-0000-00004D000000}"/>
    <cellStyle name="40% - Accent3 3 4 2" xfId="6454" xr:uid="{C8C6F9F0-71C4-4AAD-8094-1512391AE449}"/>
    <cellStyle name="40% - Accent3 3 4 3" xfId="13433" xr:uid="{014CA857-2016-42AB-978D-E4E581AADBC6}"/>
    <cellStyle name="40% - Accent3 3 4 4" xfId="2687" xr:uid="{483F6F9C-BC7B-4237-BF8A-9328FBB98608}"/>
    <cellStyle name="40% - Accent3 3 5" xfId="2508" xr:uid="{C9970783-3533-4979-8240-CAF696C4A976}"/>
    <cellStyle name="40% - Accent3 3 5 2" xfId="6555" xr:uid="{1DD6648F-8183-449B-9484-460AB9742608}"/>
    <cellStyle name="40% - Accent3 3 6" xfId="6296" xr:uid="{4BFD22C9-E93F-4086-A55F-2DB695359187}"/>
    <cellStyle name="40% - Accent3 3 7" xfId="13275" xr:uid="{43835DD3-3A2E-48ED-8D29-7BFFF2604377}"/>
    <cellStyle name="40% - Accent3 3 8" xfId="620" xr:uid="{96E57911-A605-4B40-9316-C6CF4C6BD068}"/>
    <cellStyle name="40% - Accent3 4" xfId="354" xr:uid="{00000000-0005-0000-0000-00004E000000}"/>
    <cellStyle name="40% - Accent3 4 2" xfId="2562" xr:uid="{A4151EC6-462C-4479-A856-A9D8215D7521}"/>
    <cellStyle name="40% - Accent3 4 2 2" xfId="6556" xr:uid="{F0DBC1D4-7E4C-404D-A2A7-C0B1EBB5DF28}"/>
    <cellStyle name="40% - Accent3 4 3" xfId="6330" xr:uid="{DDB8A6B0-B83F-434E-BBC5-3E6DE451BD6F}"/>
    <cellStyle name="40% - Accent3 4 4" xfId="13309" xr:uid="{6117EF4C-24EE-4402-9992-0605D1278ABC}"/>
    <cellStyle name="40% - Accent3 4 5" xfId="621" xr:uid="{C983F4E5-92FF-42D2-A3E8-B6BF08AE7A77}"/>
    <cellStyle name="40% - Accent3 5" xfId="406" xr:uid="{00000000-0005-0000-0000-00004F000000}"/>
    <cellStyle name="40% - Accent3 5 2" xfId="2614" xr:uid="{C7DA2C1B-4BFC-4CD4-8E24-6E670F14EA66}"/>
    <cellStyle name="40% - Accent3 5 2 2" xfId="6557" xr:uid="{D4CE63FB-34D9-4BEA-A6CA-5C131E73FF9A}"/>
    <cellStyle name="40% - Accent3 5 3" xfId="6381" xr:uid="{3A3DC07E-4AA0-4A30-BC3A-13DDA27400A3}"/>
    <cellStyle name="40% - Accent3 5 4" xfId="13360" xr:uid="{7D430200-5649-40CF-8112-3C86CDBA03AA}"/>
    <cellStyle name="40% - Accent3 5 5" xfId="622" xr:uid="{3A353D50-A087-49D9-9FF8-1000928E58B8}"/>
    <cellStyle name="40% - Accent3 6" xfId="451" xr:uid="{00000000-0005-0000-0000-000050000000}"/>
    <cellStyle name="40% - Accent3 6 2" xfId="2659" xr:uid="{5F3184B1-ADD9-435C-803B-D8FB9147E4F6}"/>
    <cellStyle name="40% - Accent3 6 2 2" xfId="6558" xr:uid="{E950C88F-F642-45CA-BC1D-0C150E48524F}"/>
    <cellStyle name="40% - Accent3 6 3" xfId="6426" xr:uid="{51C91FCE-AC18-4158-A81A-D51E9AE85FEB}"/>
    <cellStyle name="40% - Accent3 6 4" xfId="13405" xr:uid="{E3255D74-965B-4A20-8D9B-56E4D6DFF831}"/>
    <cellStyle name="40% - Accent3 6 5" xfId="623" xr:uid="{14159FD1-49D6-4D92-A556-97CF3D362170}"/>
    <cellStyle name="40% - Accent3 7" xfId="624" xr:uid="{5C012B89-671F-417C-975B-AC29EFA3AADD}"/>
    <cellStyle name="40% - Accent3 8" xfId="625" xr:uid="{D5C5D137-4D8F-4838-9C5F-995925C14F48}"/>
    <cellStyle name="40% - Accent3 9" xfId="6193" xr:uid="{953128F8-5627-4F62-A7F0-57A80D76714B}"/>
    <cellStyle name="40% - Accent3 9 2" xfId="11646" xr:uid="{D49E3061-AA7A-4DFE-A1DB-BF412FA351CB}"/>
    <cellStyle name="40% - Accent4" xfId="205" builtinId="43" customBuiltin="1"/>
    <cellStyle name="40% - Accent4 10" xfId="6271" xr:uid="{3CD08F48-2CDA-40A3-9008-7994044D36BD}"/>
    <cellStyle name="40% - Accent4 11" xfId="13252" xr:uid="{284C39D7-7A7D-4E59-901B-5DC414A14273}"/>
    <cellStyle name="40% - Accent4 12" xfId="2478" xr:uid="{9A72D706-CC7B-4469-8FDF-D7F413EF2C43}"/>
    <cellStyle name="40% - Accent4 2" xfId="12" xr:uid="{00000000-0005-0000-0000-000052000000}"/>
    <cellStyle name="40% - Accent4 2 2" xfId="627" xr:uid="{B9051A83-CDEB-432E-B4AE-A8AED9E4FF2F}"/>
    <cellStyle name="40% - Accent4 2 3" xfId="626" xr:uid="{4D57FB30-56C3-4AEE-9649-51150C34B70C}"/>
    <cellStyle name="40% - Accent4 2 3 2" xfId="6213" xr:uid="{CD1A76AC-001D-4012-8F89-D2F6DCEAD2F4}"/>
    <cellStyle name="40% - Accent4 3" xfId="228" xr:uid="{00000000-0005-0000-0000-000053000000}"/>
    <cellStyle name="40% - Accent4 3 2" xfId="374" xr:uid="{00000000-0005-0000-0000-000054000000}"/>
    <cellStyle name="40% - Accent4 3 2 2" xfId="6349" xr:uid="{01AED289-DBB9-4327-94F4-464902FB6D5F}"/>
    <cellStyle name="40% - Accent4 3 2 3" xfId="11680" xr:uid="{3A88CF9B-B4D5-4901-9B7F-0BCA608708B1}"/>
    <cellStyle name="40% - Accent4 3 2 4" xfId="13328" xr:uid="{7B19545F-AA86-4BF6-B597-7481150B7385}"/>
    <cellStyle name="40% - Accent4 3 2 5" xfId="2582" xr:uid="{8B769AEB-5B41-452E-B2C2-D03536B00400}"/>
    <cellStyle name="40% - Accent4 3 3" xfId="425" xr:uid="{00000000-0005-0000-0000-000055000000}"/>
    <cellStyle name="40% - Accent4 3 3 2" xfId="6400" xr:uid="{1679AC8F-C5C2-4F23-8BAC-4A259D546614}"/>
    <cellStyle name="40% - Accent4 3 3 3" xfId="13379" xr:uid="{8D7B9D5C-989E-4B8A-9966-84771F191CDA}"/>
    <cellStyle name="40% - Accent4 3 3 4" xfId="2633" xr:uid="{85747C69-DA12-4BA4-891E-1C0FEB8412BD}"/>
    <cellStyle name="40% - Accent4 3 4" xfId="482" xr:uid="{00000000-0005-0000-0000-000056000000}"/>
    <cellStyle name="40% - Accent4 3 4 2" xfId="6456" xr:uid="{73893AB6-0D36-4463-AE7F-5191CC266E27}"/>
    <cellStyle name="40% - Accent4 3 4 3" xfId="13435" xr:uid="{FD5F6775-1201-4C22-84EF-0AD862E676B8}"/>
    <cellStyle name="40% - Accent4 3 4 4" xfId="2689" xr:uid="{7BA8D254-AD95-49F3-817E-ABFCA77448F7}"/>
    <cellStyle name="40% - Accent4 3 5" xfId="2510" xr:uid="{A3538AA7-1EE0-4CB5-BB5F-135E4B4D810B}"/>
    <cellStyle name="40% - Accent4 3 5 2" xfId="6559" xr:uid="{459D6A0E-EC0C-4980-8F18-544CEDDB0A42}"/>
    <cellStyle name="40% - Accent4 3 6" xfId="6298" xr:uid="{66C8B080-9A32-47C3-B334-C26850A3CE9F}"/>
    <cellStyle name="40% - Accent4 3 7" xfId="13277" xr:uid="{4969799E-49C3-4A20-BAC7-7469DF433C3F}"/>
    <cellStyle name="40% - Accent4 3 8" xfId="628" xr:uid="{F9AB6B01-3C91-43C7-83ED-A4362676984C}"/>
    <cellStyle name="40% - Accent4 4" xfId="356" xr:uid="{00000000-0005-0000-0000-000057000000}"/>
    <cellStyle name="40% - Accent4 4 2" xfId="2564" xr:uid="{A0C50C9E-8E30-4720-9DDC-61191052D469}"/>
    <cellStyle name="40% - Accent4 4 2 2" xfId="6560" xr:uid="{4856D967-2A0B-4B8C-B8FD-C6A2DCF4FF1E}"/>
    <cellStyle name="40% - Accent4 4 3" xfId="6332" xr:uid="{C0A2917C-72FF-4C2B-A487-C4194605F5A3}"/>
    <cellStyle name="40% - Accent4 4 4" xfId="13311" xr:uid="{ACDA1AEF-00A8-417B-A30E-E2D529E19C78}"/>
    <cellStyle name="40% - Accent4 4 5" xfId="629" xr:uid="{3B18FC02-4A7E-495F-A595-78A6E64D8D9E}"/>
    <cellStyle name="40% - Accent4 5" xfId="408" xr:uid="{00000000-0005-0000-0000-000058000000}"/>
    <cellStyle name="40% - Accent4 5 2" xfId="2616" xr:uid="{495F0AF9-3A78-4B76-951B-5944595C0850}"/>
    <cellStyle name="40% - Accent4 5 2 2" xfId="6561" xr:uid="{9EE16419-FAE8-4694-B668-EDF66C099E8F}"/>
    <cellStyle name="40% - Accent4 5 3" xfId="6383" xr:uid="{B2AC7BCB-ECF0-4CEA-B058-F90068402597}"/>
    <cellStyle name="40% - Accent4 5 4" xfId="13362" xr:uid="{D0FB4245-D6B2-45D3-81A2-D28DCB1CA44B}"/>
    <cellStyle name="40% - Accent4 5 5" xfId="630" xr:uid="{E5252DA8-2397-4B21-8461-9EDF01F75F68}"/>
    <cellStyle name="40% - Accent4 6" xfId="453" xr:uid="{00000000-0005-0000-0000-000059000000}"/>
    <cellStyle name="40% - Accent4 6 2" xfId="2661" xr:uid="{13A171C1-18AF-454E-BCB5-35B2AFC73AF0}"/>
    <cellStyle name="40% - Accent4 6 2 2" xfId="6562" xr:uid="{BE92F19E-CAEE-45BE-BE9B-00B48CE9E62D}"/>
    <cellStyle name="40% - Accent4 6 3" xfId="6428" xr:uid="{66BFC775-B110-43D2-B465-59A498821653}"/>
    <cellStyle name="40% - Accent4 6 4" xfId="13407" xr:uid="{4F2E1D39-6D16-4F3C-A44F-B32AD17B42ED}"/>
    <cellStyle name="40% - Accent4 6 5" xfId="631" xr:uid="{D2A9D48E-A413-4270-81EA-7FFDEDA5566D}"/>
    <cellStyle name="40% - Accent4 7" xfId="632" xr:uid="{A61F3DCD-473E-4154-AF03-27D529E0BC7E}"/>
    <cellStyle name="40% - Accent4 8" xfId="633" xr:uid="{9CDD0E2F-5BD9-4E9A-A860-3AC0700480D9}"/>
    <cellStyle name="40% - Accent4 9" xfId="6197" xr:uid="{8627C559-AB63-469F-979D-350483F0A7A8}"/>
    <cellStyle name="40% - Accent4 9 2" xfId="11648" xr:uid="{477C228F-D47C-44C2-819A-90465932B95D}"/>
    <cellStyle name="40% - Accent5" xfId="209" builtinId="47" customBuiltin="1"/>
    <cellStyle name="40% - Accent5 10" xfId="2480" xr:uid="{2683F04F-E953-4113-8CBA-5077FC0B0D40}"/>
    <cellStyle name="40% - Accent5 2" xfId="13" xr:uid="{00000000-0005-0000-0000-00005B000000}"/>
    <cellStyle name="40% - Accent5 2 2" xfId="634" xr:uid="{0214BF5E-CE03-4145-B499-1E2E5FB073A2}"/>
    <cellStyle name="40% - Accent5 3" xfId="230" xr:uid="{00000000-0005-0000-0000-00005C000000}"/>
    <cellStyle name="40% - Accent5 3 2" xfId="376" xr:uid="{00000000-0005-0000-0000-00005D000000}"/>
    <cellStyle name="40% - Accent5 3 2 2" xfId="6351" xr:uid="{37ABDF30-13BB-44FE-AD44-57EA79F02009}"/>
    <cellStyle name="40% - Accent5 3 2 3" xfId="11682" xr:uid="{397BC430-820A-4364-A142-FA9B718AEC8A}"/>
    <cellStyle name="40% - Accent5 3 2 4" xfId="13330" xr:uid="{0F8B42B2-8E1E-4B03-B45F-6A265D81EDE2}"/>
    <cellStyle name="40% - Accent5 3 2 5" xfId="2584" xr:uid="{E07D0F14-82F2-4A8C-8A7A-1B830FCDB41D}"/>
    <cellStyle name="40% - Accent5 3 3" xfId="427" xr:uid="{00000000-0005-0000-0000-00005E000000}"/>
    <cellStyle name="40% - Accent5 3 3 2" xfId="6402" xr:uid="{D2C6E8DC-78D6-4E19-8456-3494875F1BF3}"/>
    <cellStyle name="40% - Accent5 3 3 3" xfId="13381" xr:uid="{BD200FCC-BB5D-4033-8CC1-6D23155428C9}"/>
    <cellStyle name="40% - Accent5 3 3 4" xfId="2635" xr:uid="{7C69397F-4F93-4D5E-9E84-05F85CB2AD78}"/>
    <cellStyle name="40% - Accent5 3 4" xfId="484" xr:uid="{00000000-0005-0000-0000-00005F000000}"/>
    <cellStyle name="40% - Accent5 3 4 2" xfId="6458" xr:uid="{559E758B-2A63-42C4-A1A2-AAC9BB6A3F16}"/>
    <cellStyle name="40% - Accent5 3 4 3" xfId="13437" xr:uid="{6EC0D150-C30E-42C1-AFD2-D30EBC108F21}"/>
    <cellStyle name="40% - Accent5 3 4 4" xfId="2691" xr:uid="{17BA54A3-5BC2-43DA-AC7A-F6F43C945AE5}"/>
    <cellStyle name="40% - Accent5 3 5" xfId="2512" xr:uid="{95F2993F-6186-4806-86C9-47F1FB1868CC}"/>
    <cellStyle name="40% - Accent5 3 5 2" xfId="6563" xr:uid="{6CE91617-76F5-4429-AA74-9E424B723ACB}"/>
    <cellStyle name="40% - Accent5 3 6" xfId="6300" xr:uid="{A2CEF12D-DBB0-466D-85AB-74CEF8DAFBDC}"/>
    <cellStyle name="40% - Accent5 3 7" xfId="13279" xr:uid="{08C8A899-51AB-4E9B-9DD2-D9836FAA16BB}"/>
    <cellStyle name="40% - Accent5 3 8" xfId="635" xr:uid="{55DC0F77-27EE-4CC9-8AD8-7C9ED42F45D6}"/>
    <cellStyle name="40% - Accent5 4" xfId="358" xr:uid="{00000000-0005-0000-0000-000060000000}"/>
    <cellStyle name="40% - Accent5 4 2" xfId="2566" xr:uid="{24C1B2B6-A09B-46E6-9E22-E5301538F1C5}"/>
    <cellStyle name="40% - Accent5 4 2 2" xfId="6564" xr:uid="{30E4F5FB-FA08-42D0-BCA3-D388A6E3BE79}"/>
    <cellStyle name="40% - Accent5 4 3" xfId="6334" xr:uid="{0D90127D-5A8A-4040-95C4-A88C685D1522}"/>
    <cellStyle name="40% - Accent5 4 4" xfId="13313" xr:uid="{4FE908E6-5470-464D-819F-511D93639CA7}"/>
    <cellStyle name="40% - Accent5 4 5" xfId="636" xr:uid="{26C2C2D5-D360-4D4D-97EE-578F95D86FA8}"/>
    <cellStyle name="40% - Accent5 5" xfId="410" xr:uid="{00000000-0005-0000-0000-000061000000}"/>
    <cellStyle name="40% - Accent5 5 2" xfId="2618" xr:uid="{19B0020A-0470-4619-BCC8-1F3110F70DD1}"/>
    <cellStyle name="40% - Accent5 5 2 2" xfId="6565" xr:uid="{43EE43E8-00E3-492E-A284-82FE4A1D2E1F}"/>
    <cellStyle name="40% - Accent5 5 3" xfId="6385" xr:uid="{D2495D83-07C5-470C-88B8-66FDD6A8E4AF}"/>
    <cellStyle name="40% - Accent5 5 4" xfId="13364" xr:uid="{0CBD3CB7-AA31-48B5-AD64-3A709F0302AC}"/>
    <cellStyle name="40% - Accent5 5 5" xfId="637" xr:uid="{A062B7B4-7730-4092-8457-9E1CD86A614E}"/>
    <cellStyle name="40% - Accent5 6" xfId="455" xr:uid="{00000000-0005-0000-0000-000062000000}"/>
    <cellStyle name="40% - Accent5 6 2" xfId="2663" xr:uid="{EA0A22CF-BCD0-420C-BD5D-F6CD7A6D786B}"/>
    <cellStyle name="40% - Accent5 6 2 2" xfId="6566" xr:uid="{359E2F0E-1B63-40DE-B1EF-73576A7E0A7B}"/>
    <cellStyle name="40% - Accent5 6 3" xfId="6430" xr:uid="{4EF7EDC6-14B0-436D-80BF-839EA8C1A1C5}"/>
    <cellStyle name="40% - Accent5 6 4" xfId="13409" xr:uid="{1D0B6825-1CBC-4996-B088-1A12ED1A323A}"/>
    <cellStyle name="40% - Accent5 6 5" xfId="638" xr:uid="{81EC6708-0BE3-47DD-86A7-AAEBC4346AAA}"/>
    <cellStyle name="40% - Accent5 7" xfId="6201" xr:uid="{9ECCD135-8D92-41D7-B566-3AAD090E0A38}"/>
    <cellStyle name="40% - Accent5 7 2" xfId="11650" xr:uid="{C8C4B807-30EC-448A-B9CB-BBE14DEE244C}"/>
    <cellStyle name="40% - Accent5 8" xfId="6273" xr:uid="{91A04301-9DB2-4202-A701-29A1B4CE86EC}"/>
    <cellStyle name="40% - Accent5 9" xfId="13254" xr:uid="{E708EE4D-F056-4E12-B6FC-1EDF56B96BF4}"/>
    <cellStyle name="40% - Accent6" xfId="213" builtinId="51" customBuiltin="1"/>
    <cellStyle name="40% - Accent6 10" xfId="6275" xr:uid="{E519010C-6A6F-438C-9F8C-9692D3AFCF1F}"/>
    <cellStyle name="40% - Accent6 11" xfId="13256" xr:uid="{9D8521B9-9728-4E01-B27F-CC00C1E384A8}"/>
    <cellStyle name="40% - Accent6 12" xfId="2482" xr:uid="{500508FF-D854-4613-8996-55C506AA7549}"/>
    <cellStyle name="40% - Accent6 2" xfId="14" xr:uid="{00000000-0005-0000-0000-000064000000}"/>
    <cellStyle name="40% - Accent6 2 2" xfId="640" xr:uid="{EE7D2BB6-7D43-4F87-8864-872E883F7E20}"/>
    <cellStyle name="40% - Accent6 2 3" xfId="639" xr:uid="{E6077C20-3D33-48D5-A11F-A28AC87243FE}"/>
    <cellStyle name="40% - Accent6 2 3 2" xfId="6214" xr:uid="{E04401A3-3575-4351-BD3B-E1DA7EAEA8D9}"/>
    <cellStyle name="40% - Accent6 3" xfId="232" xr:uid="{00000000-0005-0000-0000-000065000000}"/>
    <cellStyle name="40% - Accent6 3 2" xfId="378" xr:uid="{00000000-0005-0000-0000-000066000000}"/>
    <cellStyle name="40% - Accent6 3 2 2" xfId="6353" xr:uid="{FD1B1EE9-204C-4320-A236-6CBA893D4BFD}"/>
    <cellStyle name="40% - Accent6 3 2 3" xfId="11684" xr:uid="{EB9E78C1-8509-44B0-BF67-35C77087D1D6}"/>
    <cellStyle name="40% - Accent6 3 2 4" xfId="13332" xr:uid="{C91E0310-2DDB-48A8-8450-283B837A683F}"/>
    <cellStyle name="40% - Accent6 3 2 5" xfId="2586" xr:uid="{38423960-EA91-402F-9E57-22EE463CA6F3}"/>
    <cellStyle name="40% - Accent6 3 3" xfId="429" xr:uid="{00000000-0005-0000-0000-000067000000}"/>
    <cellStyle name="40% - Accent6 3 3 2" xfId="6404" xr:uid="{396CB0E2-EA2E-482B-9BD4-6902D3CE5838}"/>
    <cellStyle name="40% - Accent6 3 3 3" xfId="13383" xr:uid="{044EE436-5E40-42B5-BC12-0ED370AF3865}"/>
    <cellStyle name="40% - Accent6 3 3 4" xfId="2637" xr:uid="{F93F00C9-FB02-46E8-90B8-C149A6FD757F}"/>
    <cellStyle name="40% - Accent6 3 4" xfId="486" xr:uid="{00000000-0005-0000-0000-000068000000}"/>
    <cellStyle name="40% - Accent6 3 4 2" xfId="6460" xr:uid="{E1E97F33-840B-4D37-9FA6-521CE94831DF}"/>
    <cellStyle name="40% - Accent6 3 4 3" xfId="13439" xr:uid="{63F3BF11-3061-4318-B3FC-6398939371A5}"/>
    <cellStyle name="40% - Accent6 3 4 4" xfId="2693" xr:uid="{754497A0-AFEA-46A4-9432-6A81C8D67460}"/>
    <cellStyle name="40% - Accent6 3 5" xfId="2514" xr:uid="{8F774B9D-16B1-40AB-A171-AED9CE42A850}"/>
    <cellStyle name="40% - Accent6 3 5 2" xfId="6567" xr:uid="{F4CA9B5F-F254-4EE4-B69E-1403B515B748}"/>
    <cellStyle name="40% - Accent6 3 6" xfId="6302" xr:uid="{D67734EF-3D0A-4FEB-AD51-A0583B3987D4}"/>
    <cellStyle name="40% - Accent6 3 7" xfId="13281" xr:uid="{9444A9EE-6534-4E27-BF39-42F053B693E1}"/>
    <cellStyle name="40% - Accent6 3 8" xfId="641" xr:uid="{5E2F4489-9320-4D09-80A9-13552FD87B47}"/>
    <cellStyle name="40% - Accent6 4" xfId="360" xr:uid="{00000000-0005-0000-0000-000069000000}"/>
    <cellStyle name="40% - Accent6 4 2" xfId="2568" xr:uid="{8BFC520E-9100-46EA-8E09-D25B71643B92}"/>
    <cellStyle name="40% - Accent6 4 2 2" xfId="6568" xr:uid="{2BC171E9-C562-4983-A4F8-4C1290E0F035}"/>
    <cellStyle name="40% - Accent6 4 3" xfId="6336" xr:uid="{5E8528A6-094A-40BF-B098-0A8A980D00CE}"/>
    <cellStyle name="40% - Accent6 4 4" xfId="13315" xr:uid="{78768FEE-CEAA-44FE-8672-2EB650960E39}"/>
    <cellStyle name="40% - Accent6 4 5" xfId="642" xr:uid="{FB795FEA-58B0-4205-9E46-992CCDC165C7}"/>
    <cellStyle name="40% - Accent6 5" xfId="412" xr:uid="{00000000-0005-0000-0000-00006A000000}"/>
    <cellStyle name="40% - Accent6 5 2" xfId="2620" xr:uid="{63D74DCC-0D4C-4F85-A259-1F1EFB11C1BD}"/>
    <cellStyle name="40% - Accent6 5 2 2" xfId="6569" xr:uid="{3B02EE51-FDE5-4417-8ECE-A587F5BBDE43}"/>
    <cellStyle name="40% - Accent6 5 3" xfId="6387" xr:uid="{0579A5EF-EA91-4AF7-8B82-D446266B8773}"/>
    <cellStyle name="40% - Accent6 5 4" xfId="13366" xr:uid="{F51985B1-E742-4AB1-82EB-FAF03AF5EEA3}"/>
    <cellStyle name="40% - Accent6 5 5" xfId="643" xr:uid="{C13A0EBC-E2D0-479E-BE09-1256CCDC547F}"/>
    <cellStyle name="40% - Accent6 6" xfId="457" xr:uid="{00000000-0005-0000-0000-00006B000000}"/>
    <cellStyle name="40% - Accent6 6 2" xfId="2665" xr:uid="{860CB685-0ADB-4B55-8F6F-ABF65CCBA16F}"/>
    <cellStyle name="40% - Accent6 6 2 2" xfId="6570" xr:uid="{70047B11-0E7C-4516-9714-6ABF13A251E5}"/>
    <cellStyle name="40% - Accent6 6 3" xfId="6432" xr:uid="{FB4E2190-14D2-45E4-A72D-0499EBB01129}"/>
    <cellStyle name="40% - Accent6 6 4" xfId="13411" xr:uid="{CF136D8F-6C92-4FFE-86E7-A5F6A0DAC65D}"/>
    <cellStyle name="40% - Accent6 6 5" xfId="644" xr:uid="{3D81D0CD-FDB6-4358-BAD3-F8A3E1348E95}"/>
    <cellStyle name="40% - Accent6 7" xfId="645" xr:uid="{42FFB574-6F53-4972-B4FA-D5C4792128F4}"/>
    <cellStyle name="40% - Accent6 8" xfId="646" xr:uid="{E4706789-E3BD-4C58-A639-0ED2B89183F6}"/>
    <cellStyle name="40% - Accent6 9" xfId="6205" xr:uid="{C06FD18E-2406-4458-B96F-D24B9491FE77}"/>
    <cellStyle name="40% - Accent6 9 2" xfId="11652" xr:uid="{AD44F1AA-CC10-45CA-81BF-FE632F2D2C60}"/>
    <cellStyle name="60% - Accent1" xfId="194" builtinId="32" customBuiltin="1"/>
    <cellStyle name="60% - Accent1 2" xfId="15" xr:uid="{00000000-0005-0000-0000-00006D000000}"/>
    <cellStyle name="60% - Accent1 2 2" xfId="647" xr:uid="{8BBB5D3C-5134-4A26-86B2-2F8DF91B4923}"/>
    <cellStyle name="60% - Accent1 2 2 2" xfId="6215" xr:uid="{2CD8FC8B-F5EC-4CBC-AB7E-D005A4A42251}"/>
    <cellStyle name="60% - Accent1 3" xfId="648" xr:uid="{DA2D4785-B3EA-439E-97F3-AEF8F181872E}"/>
    <cellStyle name="60% - Accent1 4" xfId="649" xr:uid="{4A46B52C-15FC-4008-B638-09AAAC138003}"/>
    <cellStyle name="60% - Accent1 5" xfId="650" xr:uid="{D4EC5F2D-4776-4787-A03E-B23612EA28C6}"/>
    <cellStyle name="60% - Accent1 6" xfId="651" xr:uid="{92115055-F53D-4576-BB79-E18C00F9A48B}"/>
    <cellStyle name="60% - Accent1 7" xfId="652" xr:uid="{DEF14A69-ED72-4B24-BB68-7330D3B30AF5}"/>
    <cellStyle name="60% - Accent1 8" xfId="653" xr:uid="{9959AAF2-B43A-42FD-B231-B23D34AC8685}"/>
    <cellStyle name="60% - Accent1 9" xfId="6186" xr:uid="{FF9899DB-3D77-49E9-A8D4-934E6C7DD975}"/>
    <cellStyle name="60% - Accent2" xfId="198" builtinId="36" customBuiltin="1"/>
    <cellStyle name="60% - Accent2 2" xfId="16" xr:uid="{00000000-0005-0000-0000-00006F000000}"/>
    <cellStyle name="60% - Accent2 3" xfId="654" xr:uid="{6113940E-1C70-4397-BD90-7A8F2666D039}"/>
    <cellStyle name="60% - Accent2 4" xfId="655" xr:uid="{5AC03689-5087-43E7-A194-11ED670DCD3F}"/>
    <cellStyle name="60% - Accent2 5" xfId="656" xr:uid="{3256BFE8-4587-4377-8867-AC8D1B6CBEDE}"/>
    <cellStyle name="60% - Accent2 6" xfId="657" xr:uid="{60068A2F-8DC8-401D-8632-C91D99BCFB19}"/>
    <cellStyle name="60% - Accent2 7" xfId="6190" xr:uid="{1437C53A-C7F5-423F-BFF4-1FC8622D4ADF}"/>
    <cellStyle name="60% - Accent3" xfId="202" builtinId="40" customBuiltin="1"/>
    <cellStyle name="60% - Accent3 2" xfId="17" xr:uid="{00000000-0005-0000-0000-000071000000}"/>
    <cellStyle name="60% - Accent3 2 2" xfId="658" xr:uid="{4BF2A693-439B-4B66-BB06-1850C34BC19A}"/>
    <cellStyle name="60% - Accent3 2 2 2" xfId="6217" xr:uid="{E329D019-07F5-4E5C-9891-2372C19E0DF6}"/>
    <cellStyle name="60% - Accent3 3" xfId="659" xr:uid="{248685CB-ADD4-41FA-A691-BE3729FA482B}"/>
    <cellStyle name="60% - Accent3 4" xfId="660" xr:uid="{E1C053DA-D38B-441B-9CD3-E95B76147909}"/>
    <cellStyle name="60% - Accent3 5" xfId="661" xr:uid="{43EA4BBA-30E9-49FC-9C8A-D063FDB79D46}"/>
    <cellStyle name="60% - Accent3 6" xfId="662" xr:uid="{5CB3BAED-DEEE-4A24-8076-23CEEC9E4772}"/>
    <cellStyle name="60% - Accent3 7" xfId="663" xr:uid="{EB5CF694-AC0C-490A-81EE-052C6F5EF005}"/>
    <cellStyle name="60% - Accent3 8" xfId="664" xr:uid="{A018578F-301E-4189-BBCE-1100076CB0A5}"/>
    <cellStyle name="60% - Accent3 9" xfId="6194" xr:uid="{D2691468-D37C-4E4F-AA88-A87D333A2180}"/>
    <cellStyle name="60% - Accent4" xfId="206" builtinId="44" customBuiltin="1"/>
    <cellStyle name="60% - Accent4 2" xfId="18" xr:uid="{00000000-0005-0000-0000-000073000000}"/>
    <cellStyle name="60% - Accent4 2 2" xfId="665" xr:uid="{509CF4FD-D33C-46F1-BE9F-D516C62A28B4}"/>
    <cellStyle name="60% - Accent4 2 2 2" xfId="6218" xr:uid="{B7402CC7-CFB0-43C3-AD91-9D12FCA6D0E8}"/>
    <cellStyle name="60% - Accent4 3" xfId="666" xr:uid="{4B1CF67B-878E-468A-A8F3-EF42EBEB2122}"/>
    <cellStyle name="60% - Accent4 4" xfId="667" xr:uid="{35AD5D0C-50DC-4A39-A207-12C9E47970F5}"/>
    <cellStyle name="60% - Accent4 5" xfId="668" xr:uid="{BB214978-2F64-46D2-9776-8C9AB65BEAF8}"/>
    <cellStyle name="60% - Accent4 6" xfId="669" xr:uid="{39F4E949-2FD8-45D6-9C33-081284CE428C}"/>
    <cellStyle name="60% - Accent4 7" xfId="670" xr:uid="{B35BEF65-D6B1-4083-8D65-B2A97C23DF97}"/>
    <cellStyle name="60% - Accent4 8" xfId="671" xr:uid="{3224CA22-A4DC-4469-BE3B-F2AE33D9FE7E}"/>
    <cellStyle name="60% - Accent4 9" xfId="6198" xr:uid="{D260C807-D746-4AD5-A614-04216CC3B1BF}"/>
    <cellStyle name="60% - Accent5" xfId="210" builtinId="48" customBuiltin="1"/>
    <cellStyle name="60% - Accent5 2" xfId="19" xr:uid="{00000000-0005-0000-0000-000075000000}"/>
    <cellStyle name="60% - Accent5 3" xfId="672" xr:uid="{A964B480-C811-4479-9FB2-37992BDA2D05}"/>
    <cellStyle name="60% - Accent5 4" xfId="673" xr:uid="{2C3B9F72-3EAD-4006-8D61-C52F558473E4}"/>
    <cellStyle name="60% - Accent5 5" xfId="674" xr:uid="{D214CEE3-860C-416F-BECE-0E0539BAE031}"/>
    <cellStyle name="60% - Accent5 6" xfId="675" xr:uid="{A17C74E5-580A-43B6-8214-B455321EA2C5}"/>
    <cellStyle name="60% - Accent5 7" xfId="6202" xr:uid="{7A678FF9-C3BB-4BF7-8593-1D8AFDA2DA3A}"/>
    <cellStyle name="60% - Accent6" xfId="214" builtinId="52" customBuiltin="1"/>
    <cellStyle name="60% - Accent6 2" xfId="20" xr:uid="{00000000-0005-0000-0000-000077000000}"/>
    <cellStyle name="60% - Accent6 2 2" xfId="676" xr:uid="{9DFFCE71-8609-4386-80DC-3E1B95BA81A8}"/>
    <cellStyle name="60% - Accent6 2 2 2" xfId="6219" xr:uid="{FFAD1803-32D1-43F0-A457-1EA2E652AB8F}"/>
    <cellStyle name="60% - Accent6 3" xfId="677" xr:uid="{F69F72D0-540E-4581-9399-41B4188047BA}"/>
    <cellStyle name="60% - Accent6 4" xfId="678" xr:uid="{E6143BB6-22A2-4E46-ADFC-B016B3F78602}"/>
    <cellStyle name="60% - Accent6 5" xfId="679" xr:uid="{A6D2D423-48D1-4A59-BC50-62B6F647E860}"/>
    <cellStyle name="60% - Accent6 6" xfId="680" xr:uid="{9BAB1BEA-D8CF-4747-AE31-5898FC2D7C82}"/>
    <cellStyle name="60% - Accent6 7" xfId="681" xr:uid="{47FA08A1-3AAB-4043-BF23-225E21F6FC58}"/>
    <cellStyle name="60% - Accent6 8" xfId="682" xr:uid="{ABB18CA1-6491-4D29-B73F-1CCD47BF9F9C}"/>
    <cellStyle name="60% - Accent6 9" xfId="6206" xr:uid="{B0698A04-574B-4F25-8EB2-8D454C68D684}"/>
    <cellStyle name="Accent1" xfId="191" builtinId="29" customBuiltin="1"/>
    <cellStyle name="Accent1 2" xfId="21" xr:uid="{00000000-0005-0000-0000-000079000000}"/>
    <cellStyle name="Accent1 2 2" xfId="683" xr:uid="{560BA906-ABC2-4F8A-895D-18141FE2B7F8}"/>
    <cellStyle name="Accent1 2 2 2" xfId="6220" xr:uid="{7B38A2F2-D2FA-484A-B4A4-AA17828ECB8A}"/>
    <cellStyle name="Accent1 3" xfId="684" xr:uid="{B074EE0C-FA49-48C8-A0B1-BCFC848EB4AF}"/>
    <cellStyle name="Accent1 4" xfId="685" xr:uid="{FE706624-EA57-4DEE-8A3E-54D66CA0B559}"/>
    <cellStyle name="Accent1 5" xfId="686" xr:uid="{3608E3B1-9418-48DD-9F1F-19785AEF8E33}"/>
    <cellStyle name="Accent1 6" xfId="687" xr:uid="{DE9A4FE1-C32B-4CDF-86A5-2DE2FC16AC54}"/>
    <cellStyle name="Accent1 7" xfId="688" xr:uid="{1221CDCA-C819-4711-B3F4-FC84E24DA71A}"/>
    <cellStyle name="Accent1 8" xfId="689" xr:uid="{F09486FA-3278-4B66-80B1-5200EBE3FECA}"/>
    <cellStyle name="Accent1 9" xfId="6183" xr:uid="{7C95BCB2-6146-4D41-B764-795A7B854F02}"/>
    <cellStyle name="Accent2" xfId="195" builtinId="33" customBuiltin="1"/>
    <cellStyle name="Accent2 2" xfId="22" xr:uid="{00000000-0005-0000-0000-00007B000000}"/>
    <cellStyle name="Accent2 3" xfId="690" xr:uid="{E0D05826-7131-4F54-B1D8-8C9D1E2813CA}"/>
    <cellStyle name="Accent2 4" xfId="691" xr:uid="{C4C4BD7E-ECD6-4D8D-99A6-88625761995F}"/>
    <cellStyle name="Accent2 5" xfId="692" xr:uid="{D8982FFC-7072-4431-83EC-18380327C4AD}"/>
    <cellStyle name="Accent2 6" xfId="693" xr:uid="{66AD517A-0E95-484F-96DF-37EDA07AFD24}"/>
    <cellStyle name="Accent2 7" xfId="6187" xr:uid="{2E80F966-61AE-40A4-A2A6-362C6E328B0E}"/>
    <cellStyle name="Accent3" xfId="199" builtinId="37" customBuiltin="1"/>
    <cellStyle name="Accent3 2" xfId="23" xr:uid="{00000000-0005-0000-0000-00007D000000}"/>
    <cellStyle name="Accent3 3" xfId="694" xr:uid="{349F7D59-19F6-47CE-801D-BC629A916074}"/>
    <cellStyle name="Accent3 4" xfId="695" xr:uid="{9E1F3130-ACB0-475F-B5FB-CDC76F7E7A54}"/>
    <cellStyle name="Accent3 5" xfId="696" xr:uid="{AD1155C5-C5BF-4410-B453-3288F72EFC5F}"/>
    <cellStyle name="Accent3 6" xfId="697" xr:uid="{F612947F-CE48-4620-92F1-2128059C3194}"/>
    <cellStyle name="Accent3 7" xfId="6191" xr:uid="{6558D271-D9B0-49D2-8A4E-F94C9282332E}"/>
    <cellStyle name="Accent4" xfId="203" builtinId="41" customBuiltin="1"/>
    <cellStyle name="Accent4 2" xfId="24" xr:uid="{00000000-0005-0000-0000-00007F000000}"/>
    <cellStyle name="Accent4 2 2" xfId="698" xr:uid="{E8C97598-EB2A-495C-8D8A-51427B696F2D}"/>
    <cellStyle name="Accent4 2 2 2" xfId="6221" xr:uid="{717EF0A3-2832-4C6B-92A2-9DF0F74CD668}"/>
    <cellStyle name="Accent4 3" xfId="699" xr:uid="{CE968298-561F-424F-BFDD-6D84C49A590E}"/>
    <cellStyle name="Accent4 4" xfId="700" xr:uid="{F1786604-E331-47CC-BD32-DF2112FCF522}"/>
    <cellStyle name="Accent4 5" xfId="701" xr:uid="{1010099D-DB10-4C71-ACC1-7E42366F4217}"/>
    <cellStyle name="Accent4 6" xfId="702" xr:uid="{E458F6B6-7E7B-4EC9-8BC8-0C010822E398}"/>
    <cellStyle name="Accent4 7" xfId="703" xr:uid="{201453F4-2432-49D6-8B9A-E845E4654B83}"/>
    <cellStyle name="Accent4 8" xfId="704" xr:uid="{96C3A2D5-C940-430D-9898-AC2D24348044}"/>
    <cellStyle name="Accent4 9" xfId="6195" xr:uid="{488D64FC-DD35-47FA-8D98-CA1347DE4976}"/>
    <cellStyle name="Accent5" xfId="207" builtinId="45" customBuiltin="1"/>
    <cellStyle name="Accent5 2" xfId="25" xr:uid="{00000000-0005-0000-0000-000081000000}"/>
    <cellStyle name="Accent5 3" xfId="705" xr:uid="{9B1B85BB-D5BF-444F-9137-67352C407DDC}"/>
    <cellStyle name="Accent5 4" xfId="706" xr:uid="{28B1AF83-A2E7-48F0-B2E9-D71503AD49CB}"/>
    <cellStyle name="Accent5 5" xfId="707" xr:uid="{856F0D2F-51D5-4872-8668-28DBEB525FE5}"/>
    <cellStyle name="Accent5 6" xfId="708" xr:uid="{32960461-EAA4-4EBB-8EF1-E03899878489}"/>
    <cellStyle name="Accent5 7" xfId="6199" xr:uid="{F2D3B445-FCDD-487A-AC1B-B6165B403806}"/>
    <cellStyle name="Accent6" xfId="211" builtinId="49" customBuiltin="1"/>
    <cellStyle name="Accent6 2" xfId="26" xr:uid="{00000000-0005-0000-0000-000083000000}"/>
    <cellStyle name="Accent6 3" xfId="709" xr:uid="{FBC10FAB-02E3-4A88-9CF2-03EDE675B5A5}"/>
    <cellStyle name="Accent6 4" xfId="710" xr:uid="{12DC79C7-16E2-45E5-8763-18CB6823022A}"/>
    <cellStyle name="Accent6 5" xfId="711" xr:uid="{981F6804-22FE-4D1C-A9EC-41B7F106702D}"/>
    <cellStyle name="Accent6 6" xfId="712" xr:uid="{CBE6AA9A-79AE-4441-94F5-C6C80545D238}"/>
    <cellStyle name="Accent6 7" xfId="6203" xr:uid="{91E5FF27-16D9-4F72-9490-199078FDF115}"/>
    <cellStyle name="Bad" xfId="181" builtinId="27" customBuiltin="1"/>
    <cellStyle name="Bad 2" xfId="27" xr:uid="{00000000-0005-0000-0000-000085000000}"/>
    <cellStyle name="Bad 2 2" xfId="713" xr:uid="{8D634754-6848-4F4E-974E-83F1AF9B8B04}"/>
    <cellStyle name="Bad 2 2 2" xfId="6222" xr:uid="{B2B9D871-D2AC-4C6E-A4C1-F5BDFEA4DA9F}"/>
    <cellStyle name="Bad 3" xfId="714" xr:uid="{FAFD1846-BF2C-40B9-8F11-61AE93186A49}"/>
    <cellStyle name="Bad 4" xfId="715" xr:uid="{2F2C5FE6-DA42-41B3-A14E-47C01762134B}"/>
    <cellStyle name="Bad 5" xfId="716" xr:uid="{397BDA37-3495-464E-8000-325071722D80}"/>
    <cellStyle name="Bad 6" xfId="717" xr:uid="{4C9E757A-2009-4828-B32B-8BD1F68CA63C}"/>
    <cellStyle name="Bad 7" xfId="718" xr:uid="{871DD615-37AC-425B-AF38-AD6A6BC22E3B}"/>
    <cellStyle name="Bad 8" xfId="719" xr:uid="{84E881C0-38A6-4978-A6D3-87C39690C131}"/>
    <cellStyle name="Bad 9" xfId="6173" xr:uid="{6304D48A-A328-4856-8807-D3DED44490B7}"/>
    <cellStyle name="Calculation" xfId="185" builtinId="22" customBuiltin="1"/>
    <cellStyle name="Calculation 2" xfId="28" xr:uid="{00000000-0005-0000-0000-000087000000}"/>
    <cellStyle name="Calculation 3" xfId="720" xr:uid="{7137FC21-8632-4232-8F21-37F8CA337B3D}"/>
    <cellStyle name="Calculation 4" xfId="721" xr:uid="{DA8F849E-E3CF-4DE5-8E3C-7E51C20A19CC}"/>
    <cellStyle name="Calculation 5" xfId="722" xr:uid="{577E6E24-29DE-4C5A-A58A-16DB1A1FEF69}"/>
    <cellStyle name="Calculation 6" xfId="723" xr:uid="{C551879A-2871-4B3E-936B-9293542C78F8}"/>
    <cellStyle name="Calculation 7" xfId="6177" xr:uid="{E151A297-91DE-417F-B8FA-4CD624B326F7}"/>
    <cellStyle name="Check Cell" xfId="187" builtinId="23" customBuiltin="1"/>
    <cellStyle name="Check Cell 2" xfId="29" xr:uid="{00000000-0005-0000-0000-000089000000}"/>
    <cellStyle name="Check Cell 2 2" xfId="724" xr:uid="{B9CDAB7F-98AC-416D-817F-0522AFC72899}"/>
    <cellStyle name="Check Cell 2 2 2" xfId="6223" xr:uid="{6ECF7A10-2FAB-47F2-9C18-6C8CBE6E8270}"/>
    <cellStyle name="Check Cell 3" xfId="725" xr:uid="{51C68E83-29DE-408E-BB2E-B336B1A60163}"/>
    <cellStyle name="Check Cell 4" xfId="726" xr:uid="{DA99BFEB-3016-4BD7-ABF3-766AD180A536}"/>
    <cellStyle name="Check Cell 5" xfId="727" xr:uid="{F65FF40D-EE52-460B-9E79-7FC6A3B33E52}"/>
    <cellStyle name="Check Cell 6" xfId="728" xr:uid="{67AB7F53-5C4F-40E0-B6EA-4AC36923409C}"/>
    <cellStyle name="Check Cell 7" xfId="729" xr:uid="{EE82AA1D-35BE-4A71-87EC-336225315C0D}"/>
    <cellStyle name="Check Cell 8" xfId="730" xr:uid="{0E15C8F8-A385-4E33-A9B5-1A2D1C6A6068}"/>
    <cellStyle name="Check Cell 9" xfId="6179" xr:uid="{FD62FF25-D7C5-4DC4-B57F-F056C545F11D}"/>
    <cellStyle name="Comma" xfId="1" builtinId="3"/>
    <cellStyle name="Comma 10" xfId="731" xr:uid="{05EB3ACA-6220-408C-A4D9-F09B520F0ACB}"/>
    <cellStyle name="Comma 11" xfId="732" xr:uid="{7E32A58B-380C-4B80-9ECF-6A7239035147}"/>
    <cellStyle name="Comma 12" xfId="733" xr:uid="{3F96CE20-E8FE-40F9-BC79-4F0876064182}"/>
    <cellStyle name="Comma 13" xfId="734" xr:uid="{F4145873-F6CD-4234-A287-CAAFBAA1E52F}"/>
    <cellStyle name="Comma 14" xfId="735" xr:uid="{FD937143-CC21-46F4-A6D7-6D25D8C3C621}"/>
    <cellStyle name="Comma 15" xfId="736" xr:uid="{22BF77EA-A7A9-4C05-A30D-DC310EC430AE}"/>
    <cellStyle name="Comma 16" xfId="563" xr:uid="{A80BF623-0371-4319-927B-2168FE0936B7}"/>
    <cellStyle name="Comma 17" xfId="737" xr:uid="{6EE87888-36D2-4B4F-8568-A209C0386D66}"/>
    <cellStyle name="Comma 17 10" xfId="5165" xr:uid="{44D25E30-1448-402B-A0B2-BDF3398DCAF5}"/>
    <cellStyle name="Comma 17 10 2" xfId="10635" xr:uid="{E0909D78-747C-47A7-A259-0A6EF1C03FED}"/>
    <cellStyle name="Comma 17 11" xfId="5663" xr:uid="{8070F509-A6DE-4841-8C7B-61AC79A49B54}"/>
    <cellStyle name="Comma 17 11 2" xfId="11137" xr:uid="{801546D4-364C-4E2C-9B65-23324C815C53}"/>
    <cellStyle name="Comma 17 12" xfId="2494" xr:uid="{50ACFA46-73AC-4F08-AD82-C52853A615A4}"/>
    <cellStyle name="Comma 17 13" xfId="6571" xr:uid="{57F54A58-CE74-46A8-9658-1C2E5CFA84CB}"/>
    <cellStyle name="Comma 17 14" xfId="8127" xr:uid="{27EF67FE-FB9C-423A-B61A-58DF6F31315A}"/>
    <cellStyle name="Comma 17 15" xfId="11737" xr:uid="{440929DE-E62E-44FB-B6EE-0A2611A20A8A}"/>
    <cellStyle name="Comma 17 16" xfId="13482" xr:uid="{FA38A8CA-48FE-463C-8B30-7372013AF1FB}"/>
    <cellStyle name="Comma 17 2" xfId="971" xr:uid="{B183F3F5-EEB8-43A4-B4A7-FEE3A70BC9F2}"/>
    <cellStyle name="Comma 17 2 10" xfId="2727" xr:uid="{B0215B35-275D-4B46-B7AC-1917F9EEBCD1}"/>
    <cellStyle name="Comma 17 2 11" xfId="6622" xr:uid="{8F066D7D-1685-4D19-9E8C-468987E2846B}"/>
    <cellStyle name="Comma 17 2 12" xfId="8149" xr:uid="{48D55D76-423D-4446-9514-886D8B7BCAF8}"/>
    <cellStyle name="Comma 17 2 13" xfId="11759" xr:uid="{122A6788-07E3-4290-82F8-E0DC67C5034F}"/>
    <cellStyle name="Comma 17 2 14" xfId="13504" xr:uid="{92D6E688-905D-49B0-B8F2-CDD815D4E06C}"/>
    <cellStyle name="Comma 17 2 2" xfId="1020" xr:uid="{2596E601-1858-43A1-AF0D-E22184EF15FB}"/>
    <cellStyle name="Comma 17 2 2 10" xfId="6666" xr:uid="{103DF6EF-092B-46C6-88A9-6DCB6E4DED9E}"/>
    <cellStyle name="Comma 17 2 2 11" xfId="8190" xr:uid="{8941F34E-2B04-4EFE-8D59-E15D84803F61}"/>
    <cellStyle name="Comma 17 2 2 12" xfId="11800" xr:uid="{5C4AF7CC-0E18-4D00-BF1E-071869E571C8}"/>
    <cellStyle name="Comma 17 2 2 13" xfId="13545" xr:uid="{C008517A-6CCE-45ED-9A33-8DEA66FEC0C5}"/>
    <cellStyle name="Comma 17 2 2 2" xfId="1144" xr:uid="{2DD1B8E9-EB8B-40F5-B095-E3D07EEF1280}"/>
    <cellStyle name="Comma 17 2 2 2 10" xfId="8314" xr:uid="{5454AFAB-B229-4A15-81CB-FBE9F29BD2BB}"/>
    <cellStyle name="Comma 17 2 2 2 11" xfId="11924" xr:uid="{5F2BBC15-8E23-44F7-9F78-39ABE41DAE70}"/>
    <cellStyle name="Comma 17 2 2 2 12" xfId="13669" xr:uid="{D0837346-983D-4868-84D6-5D4F252503EB}"/>
    <cellStyle name="Comma 17 2 2 2 2" xfId="1392" xr:uid="{297B087A-A81A-415D-9F6F-9B65CFA3B5B6}"/>
    <cellStyle name="Comma 17 2 2 2 2 10" xfId="12172" xr:uid="{D5AA9F7E-E7DB-4E63-864B-8288EF3AB227}"/>
    <cellStyle name="Comma 17 2 2 2 2 11" xfId="13917" xr:uid="{8CAFB41D-A47B-493D-92C0-769AAEB05EF4}"/>
    <cellStyle name="Comma 17 2 2 2 2 2" xfId="1898" xr:uid="{73207F1B-6513-4680-9ED8-28C3F72602AE}"/>
    <cellStyle name="Comma 17 2 2 2 2 2 2" xfId="4620" xr:uid="{F9B6341D-D50E-4A8F-B369-FF40D537ED26}"/>
    <cellStyle name="Comma 17 2 2 2 2 2 2 2" xfId="10066" xr:uid="{D5F6AEC2-BC13-440A-AE2C-E74E13CC9A15}"/>
    <cellStyle name="Comma 17 2 2 2 2 2 3" xfId="3610" xr:uid="{00CC6292-493D-4279-A693-8C812767089F}"/>
    <cellStyle name="Comma 17 2 2 2 2 2 4" xfId="7544" xr:uid="{5F2426F0-F452-41B8-9505-D22BC09632C2}"/>
    <cellStyle name="Comma 17 2 2 2 2 2 5" xfId="9058" xr:uid="{5FF3CAE2-443B-4AF9-AA79-A9E24CC37D5A}"/>
    <cellStyle name="Comma 17 2 2 2 2 2 6" xfId="12678" xr:uid="{BD7DD14C-9815-44F5-B697-D1C9AE987102}"/>
    <cellStyle name="Comma 17 2 2 2 2 2 7" xfId="14423" xr:uid="{7BC6427B-D538-42D8-B04E-44021125390B}"/>
    <cellStyle name="Comma 17 2 2 2 2 3" xfId="2406" xr:uid="{2AB07013-188D-4C55-902F-0396CF239D94}"/>
    <cellStyle name="Comma 17 2 2 2 2 3 2" xfId="4126" xr:uid="{9801B4E0-80C7-4773-AC09-C2D327AE179F}"/>
    <cellStyle name="Comma 17 2 2 2 2 3 3" xfId="8052" xr:uid="{38B90D06-EE95-4CF6-88D9-3F926BF9B37F}"/>
    <cellStyle name="Comma 17 2 2 2 2 3 4" xfId="9570" xr:uid="{485DFCC0-D43D-4531-AD7C-6B994512C96E}"/>
    <cellStyle name="Comma 17 2 2 2 2 3 5" xfId="13184" xr:uid="{12A4EFEE-4156-46BD-BFE8-3DFAB178DEB3}"/>
    <cellStyle name="Comma 17 2 2 2 2 3 6" xfId="14929" xr:uid="{50D38A8E-8342-4680-8F07-A353E5EDAB68}"/>
    <cellStyle name="Comma 17 2 2 2 2 4" xfId="5098" xr:uid="{CC8FE851-ACF1-4BF9-B54B-4FD121409C9C}"/>
    <cellStyle name="Comma 17 2 2 2 2 4 2" xfId="10568" xr:uid="{76804E7E-26E5-4BFE-BDB4-3F2D270A4A69}"/>
    <cellStyle name="Comma 17 2 2 2 2 5" xfId="5596" xr:uid="{51C9D4AF-C1B1-4A49-9771-9AF08A8D9137}"/>
    <cellStyle name="Comma 17 2 2 2 2 5 2" xfId="11070" xr:uid="{E700C28E-EFB1-4D18-B6D1-47BA68057A73}"/>
    <cellStyle name="Comma 17 2 2 2 2 6" xfId="6098" xr:uid="{2CC853BA-8727-48E5-9A11-7EB20161EF58}"/>
    <cellStyle name="Comma 17 2 2 2 2 6 2" xfId="11572" xr:uid="{B5257B2A-F097-4B84-8FA2-ADE23DA65E99}"/>
    <cellStyle name="Comma 17 2 2 2 2 7" xfId="3116" xr:uid="{052C26B6-85AB-4A80-9117-C7F8B73155D7}"/>
    <cellStyle name="Comma 17 2 2 2 2 8" xfId="7038" xr:uid="{8659B896-815C-4151-B0A6-371AB8D09745}"/>
    <cellStyle name="Comma 17 2 2 2 2 9" xfId="8562" xr:uid="{B79560A5-186B-447E-9C0F-6C7E2BFA7AB9}"/>
    <cellStyle name="Comma 17 2 2 2 3" xfId="1650" xr:uid="{9096E26F-BE8F-438A-A37D-A4F9E3C97291}"/>
    <cellStyle name="Comma 17 2 2 2 3 2" xfId="4372" xr:uid="{F60F3C3D-D8D6-4F54-A7FE-D29B56E7F681}"/>
    <cellStyle name="Comma 17 2 2 2 3 2 2" xfId="9818" xr:uid="{2E4F70C4-8078-4E4B-9880-F7EC5975F16E}"/>
    <cellStyle name="Comma 17 2 2 2 3 3" xfId="3362" xr:uid="{AF35DF3C-74FA-4B39-BB02-27178A256E8B}"/>
    <cellStyle name="Comma 17 2 2 2 3 4" xfId="7296" xr:uid="{3E9F5164-DD1B-40E1-9BFF-9436DC6C8960}"/>
    <cellStyle name="Comma 17 2 2 2 3 5" xfId="8810" xr:uid="{2F77DB86-BDA6-4F0A-8786-E5630A02C166}"/>
    <cellStyle name="Comma 17 2 2 2 3 6" xfId="12430" xr:uid="{A6C06B82-0B48-4B4E-B851-C111BF324618}"/>
    <cellStyle name="Comma 17 2 2 2 3 7" xfId="14175" xr:uid="{974CD797-D841-4E81-A5C9-59F13B426990}"/>
    <cellStyle name="Comma 17 2 2 2 4" xfId="2158" xr:uid="{F3C2E824-34A7-4D7B-B852-FF867B1A43D0}"/>
    <cellStyle name="Comma 17 2 2 2 4 2" xfId="3878" xr:uid="{2649C8E4-D4EA-424A-B6E8-19BE858362B8}"/>
    <cellStyle name="Comma 17 2 2 2 4 3" xfId="7804" xr:uid="{23A46F8D-2FA5-469F-BAFF-0D379552AD69}"/>
    <cellStyle name="Comma 17 2 2 2 4 4" xfId="9322" xr:uid="{F5F3BC1F-4F53-437C-9871-417AB4EC70AA}"/>
    <cellStyle name="Comma 17 2 2 2 4 5" xfId="12936" xr:uid="{1B456D05-2591-44AB-8E74-968813C3B1CB}"/>
    <cellStyle name="Comma 17 2 2 2 4 6" xfId="14681" xr:uid="{49B12E4E-C813-4BCF-B95A-2BE68450A3E1}"/>
    <cellStyle name="Comma 17 2 2 2 5" xfId="4860" xr:uid="{B3A17523-A640-49C5-BE36-ED56ADD8A215}"/>
    <cellStyle name="Comma 17 2 2 2 5 2" xfId="10320" xr:uid="{6218A33E-A1FC-481B-9B50-542086363012}"/>
    <cellStyle name="Comma 17 2 2 2 6" xfId="5348" xr:uid="{FF9D1050-9EC9-409B-A2E7-7170F4009B06}"/>
    <cellStyle name="Comma 17 2 2 2 6 2" xfId="10822" xr:uid="{F9679139-2A9C-4D81-8478-25D11CED5627}"/>
    <cellStyle name="Comma 17 2 2 2 7" xfId="5850" xr:uid="{56618636-EAA2-4812-82E4-299D3DF78B05}"/>
    <cellStyle name="Comma 17 2 2 2 7 2" xfId="11324" xr:uid="{392DE2B6-C10F-4518-BEDD-342F066D449C}"/>
    <cellStyle name="Comma 17 2 2 2 8" xfId="2876" xr:uid="{6DAB3E3B-032D-4D6C-8143-4DC518D1E3FF}"/>
    <cellStyle name="Comma 17 2 2 2 9" xfId="6790" xr:uid="{361764CD-6AE8-43AC-960E-DC4DFD142228}"/>
    <cellStyle name="Comma 17 2 2 3" xfId="1268" xr:uid="{85AEDC4B-C426-4DC4-9481-91F635543E0B}"/>
    <cellStyle name="Comma 17 2 2 3 10" xfId="12048" xr:uid="{37924F14-940E-4235-8401-4858E64528FC}"/>
    <cellStyle name="Comma 17 2 2 3 11" xfId="13793" xr:uid="{B8064023-B481-401F-9F47-325D6DB0A571}"/>
    <cellStyle name="Comma 17 2 2 3 2" xfId="1774" xr:uid="{32BB9598-1ECE-43F0-8C8B-051E9EA4BB23}"/>
    <cellStyle name="Comma 17 2 2 3 2 2" xfId="4496" xr:uid="{A688C7A1-393E-44A1-985F-525FB5573669}"/>
    <cellStyle name="Comma 17 2 2 3 2 2 2" xfId="9942" xr:uid="{FE18A210-3CED-4AC6-A7DA-D0873EF79120}"/>
    <cellStyle name="Comma 17 2 2 3 2 3" xfId="3486" xr:uid="{1916F797-E3DA-4034-961A-397C5CE30000}"/>
    <cellStyle name="Comma 17 2 2 3 2 4" xfId="7420" xr:uid="{51126892-E05D-4184-842B-B5D50B80662A}"/>
    <cellStyle name="Comma 17 2 2 3 2 5" xfId="8934" xr:uid="{6B6EFB96-CD0B-4423-B43D-601B14F3CAEF}"/>
    <cellStyle name="Comma 17 2 2 3 2 6" xfId="12554" xr:uid="{B3E01130-F3D8-410A-999E-82F2EC854412}"/>
    <cellStyle name="Comma 17 2 2 3 2 7" xfId="14299" xr:uid="{A287F793-11EB-40C0-A7BD-CA8319C68251}"/>
    <cellStyle name="Comma 17 2 2 3 3" xfId="2282" xr:uid="{A62EE5C4-F5E9-4DD2-83AB-46CC62D92D92}"/>
    <cellStyle name="Comma 17 2 2 3 3 2" xfId="4002" xr:uid="{B27052B3-79F1-4AA2-9C1C-F6497BA45267}"/>
    <cellStyle name="Comma 17 2 2 3 3 3" xfId="7928" xr:uid="{7B95AE09-D8B0-4984-9C4A-D69D0CC32AEB}"/>
    <cellStyle name="Comma 17 2 2 3 3 4" xfId="9446" xr:uid="{BE72B911-717E-4D39-B06D-508757BB545D}"/>
    <cellStyle name="Comma 17 2 2 3 3 5" xfId="13060" xr:uid="{7161DA31-E9F7-4FDF-8B63-818FCAE7AD72}"/>
    <cellStyle name="Comma 17 2 2 3 3 6" xfId="14805" xr:uid="{B0097094-711E-42CC-8566-24BB28EC9F4F}"/>
    <cellStyle name="Comma 17 2 2 3 4" xfId="4976" xr:uid="{25CAC82B-433B-4412-B3A4-01F22ED80D70}"/>
    <cellStyle name="Comma 17 2 2 3 4 2" xfId="10444" xr:uid="{5840311C-0DC1-4244-8E3C-18F390A0DD62}"/>
    <cellStyle name="Comma 17 2 2 3 5" xfId="5472" xr:uid="{9551883E-A4AA-41F4-80EC-C9EF77EA4F5C}"/>
    <cellStyle name="Comma 17 2 2 3 5 2" xfId="10946" xr:uid="{590E6576-8387-47EE-B792-5072BCD22178}"/>
    <cellStyle name="Comma 17 2 2 3 6" xfId="5974" xr:uid="{A7ED8A5D-D616-4CF0-B1B9-06B317A4382D}"/>
    <cellStyle name="Comma 17 2 2 3 6 2" xfId="11448" xr:uid="{17FAC80B-50B6-4960-A7CB-49DE35DE62FA}"/>
    <cellStyle name="Comma 17 2 2 3 7" xfId="2994" xr:uid="{309720DE-AD89-4F68-BE39-755E866DBAD4}"/>
    <cellStyle name="Comma 17 2 2 3 8" xfId="6914" xr:uid="{E9FCF891-2446-48CF-B9E1-A91970D13619}"/>
    <cellStyle name="Comma 17 2 2 3 9" xfId="8438" xr:uid="{F4EAA964-7B93-4A0F-8C9D-F635FADC70AB}"/>
    <cellStyle name="Comma 17 2 2 4" xfId="1526" xr:uid="{DFEFC782-B64D-4FF7-8580-0275B9D1C7F5}"/>
    <cellStyle name="Comma 17 2 2 4 2" xfId="4250" xr:uid="{BDAC6A58-E9DE-43F1-8D6A-DDD897196554}"/>
    <cellStyle name="Comma 17 2 2 4 2 2" xfId="9694" xr:uid="{27F154C5-91B1-470F-A396-4F689376AABF}"/>
    <cellStyle name="Comma 17 2 2 4 3" xfId="3240" xr:uid="{38B0AE08-3E1E-4F3B-9A90-1800A13CE1F6}"/>
    <cellStyle name="Comma 17 2 2 4 4" xfId="7172" xr:uid="{C8D915A7-E6C2-4554-B534-313549991694}"/>
    <cellStyle name="Comma 17 2 2 4 5" xfId="8686" xr:uid="{1DD9BF79-5055-4977-95B3-784AE7477A0F}"/>
    <cellStyle name="Comma 17 2 2 4 6" xfId="12306" xr:uid="{B49BD8E6-86F1-45F7-ABFC-B9F4B45AC574}"/>
    <cellStyle name="Comma 17 2 2 4 7" xfId="14051" xr:uid="{7226E486-2889-4E6F-93FC-E6E471444BBD}"/>
    <cellStyle name="Comma 17 2 2 5" xfId="2034" xr:uid="{DB7CCFD5-5F43-4B28-867D-046AF2CA598B}"/>
    <cellStyle name="Comma 17 2 2 5 2" xfId="3754" xr:uid="{A5320FBA-F232-4210-9E26-32E562F3D288}"/>
    <cellStyle name="Comma 17 2 2 5 3" xfId="7680" xr:uid="{F1AF610E-CB9A-4CFB-8ADE-9D9C2FCC77B9}"/>
    <cellStyle name="Comma 17 2 2 5 4" xfId="9198" xr:uid="{076EE17A-C9BB-4B88-B0A5-833444A681BE}"/>
    <cellStyle name="Comma 17 2 2 5 5" xfId="12812" xr:uid="{B03AA42A-BEBE-4AFB-8CF8-A1699A8C167D}"/>
    <cellStyle name="Comma 17 2 2 5 6" xfId="14557" xr:uid="{FDEC8420-CE2C-4B14-A983-27D6B0E55369}"/>
    <cellStyle name="Comma 17 2 2 6" xfId="4748" xr:uid="{8F77A178-B519-4DDF-99BB-52502EFF692D}"/>
    <cellStyle name="Comma 17 2 2 6 2" xfId="10196" xr:uid="{EA1DCE71-EFCD-4AA1-A52E-70C496E98098}"/>
    <cellStyle name="Comma 17 2 2 7" xfId="5224" xr:uid="{C1AA05EF-62B6-4E6B-A80A-0CF39252D596}"/>
    <cellStyle name="Comma 17 2 2 7 2" xfId="10698" xr:uid="{9B3B871D-8AA8-4E30-8458-E2D42FAE8A79}"/>
    <cellStyle name="Comma 17 2 2 8" xfId="5726" xr:uid="{B43A9530-25B5-45D9-A28D-AFF96DA2FC5F}"/>
    <cellStyle name="Comma 17 2 2 8 2" xfId="11200" xr:uid="{4DD8A221-CDD4-4FA9-88F9-B0B8530E00FB}"/>
    <cellStyle name="Comma 17 2 2 9" xfId="2764" xr:uid="{2C81662A-273F-4A5F-8C14-72F8AEEB6CA2}"/>
    <cellStyle name="Comma 17 2 3" xfId="1103" xr:uid="{1C015A5A-8A72-48E5-B008-E7E0EB62D78C}"/>
    <cellStyle name="Comma 17 2 3 10" xfId="8273" xr:uid="{20C4C7B4-CEE2-4754-9FBF-EB36BA117568}"/>
    <cellStyle name="Comma 17 2 3 11" xfId="11883" xr:uid="{C725E2CD-3785-47CA-BD13-A3A8493FDFB4}"/>
    <cellStyle name="Comma 17 2 3 12" xfId="13628" xr:uid="{B04B0BDD-CC9D-4E9C-84E3-5536B1E572C6}"/>
    <cellStyle name="Comma 17 2 3 2" xfId="1351" xr:uid="{0E151E48-9150-4AA1-B002-A09EEED4D591}"/>
    <cellStyle name="Comma 17 2 3 2 10" xfId="12131" xr:uid="{C12CD476-CDB5-4EF4-B214-FCF22E751A72}"/>
    <cellStyle name="Comma 17 2 3 2 11" xfId="13876" xr:uid="{C061EEF2-38B9-4CDB-A489-B435D9F2D6DD}"/>
    <cellStyle name="Comma 17 2 3 2 2" xfId="1857" xr:uid="{D9641829-3228-4980-9BBA-50E3B33D9737}"/>
    <cellStyle name="Comma 17 2 3 2 2 2" xfId="4579" xr:uid="{ACDEC178-AC96-4C8D-9EC9-1B3C0D2C63F3}"/>
    <cellStyle name="Comma 17 2 3 2 2 2 2" xfId="10025" xr:uid="{E98D7000-411D-4A85-9DC2-EEB5FB81A7F2}"/>
    <cellStyle name="Comma 17 2 3 2 2 3" xfId="3569" xr:uid="{6FC38017-B1AC-4260-9977-A1156863E243}"/>
    <cellStyle name="Comma 17 2 3 2 2 4" xfId="7503" xr:uid="{24EE86D0-1F7F-4C6C-9384-B340700B6705}"/>
    <cellStyle name="Comma 17 2 3 2 2 5" xfId="9017" xr:uid="{9757F5F6-B7E8-4437-8A3A-16A11F88659B}"/>
    <cellStyle name="Comma 17 2 3 2 2 6" xfId="12637" xr:uid="{4EDA2AF4-0943-4A6C-BB78-8CF28A273AB4}"/>
    <cellStyle name="Comma 17 2 3 2 2 7" xfId="14382" xr:uid="{02F3BCDC-F37B-422C-B86F-7948A8C05429}"/>
    <cellStyle name="Comma 17 2 3 2 3" xfId="2365" xr:uid="{932F87B3-1C60-4261-9739-783635C0EC13}"/>
    <cellStyle name="Comma 17 2 3 2 3 2" xfId="4085" xr:uid="{7FB939D3-90FD-47EB-9A0D-074F4AA77698}"/>
    <cellStyle name="Comma 17 2 3 2 3 3" xfId="8011" xr:uid="{001D77CA-3C11-4363-AD66-89E94AB28680}"/>
    <cellStyle name="Comma 17 2 3 2 3 4" xfId="9529" xr:uid="{809B8546-D72C-4B84-A3E8-4C40C82B25D1}"/>
    <cellStyle name="Comma 17 2 3 2 3 5" xfId="13143" xr:uid="{52BBBFF1-2EEE-4687-A608-6069ADAB9D02}"/>
    <cellStyle name="Comma 17 2 3 2 3 6" xfId="14888" xr:uid="{D1FFEB9A-E4D9-4D3C-B10B-AC8452D8AAE4}"/>
    <cellStyle name="Comma 17 2 3 2 4" xfId="5057" xr:uid="{B808060C-524E-4DA9-9DEF-FF426C776D53}"/>
    <cellStyle name="Comma 17 2 3 2 4 2" xfId="10527" xr:uid="{AFBAA505-0928-4DB9-8E2F-5A49C94017D5}"/>
    <cellStyle name="Comma 17 2 3 2 5" xfId="5555" xr:uid="{2BB01CB7-17ED-41B5-AF32-91CE60147EAC}"/>
    <cellStyle name="Comma 17 2 3 2 5 2" xfId="11029" xr:uid="{70B459B4-75E8-48D2-8274-6A1E7B077015}"/>
    <cellStyle name="Comma 17 2 3 2 6" xfId="6057" xr:uid="{E3AD61EB-35B2-487D-B90D-DC907BACF970}"/>
    <cellStyle name="Comma 17 2 3 2 6 2" xfId="11531" xr:uid="{009068C3-C186-4BAB-AAB6-E5306BF8A8F8}"/>
    <cellStyle name="Comma 17 2 3 2 7" xfId="3075" xr:uid="{F76DDB7A-E693-40D5-B4EB-8C1B4AB4678B}"/>
    <cellStyle name="Comma 17 2 3 2 8" xfId="6997" xr:uid="{D07C998C-F4D0-4507-9C1E-105E135847CE}"/>
    <cellStyle name="Comma 17 2 3 2 9" xfId="8521" xr:uid="{98D2E3C9-C668-420D-B4F7-D41364EBA6D3}"/>
    <cellStyle name="Comma 17 2 3 3" xfId="1609" xr:uid="{D7FFE5D3-B3A2-4100-806B-5AC301165F63}"/>
    <cellStyle name="Comma 17 2 3 3 2" xfId="4331" xr:uid="{F0FEE763-E2F1-4788-9B98-2FDDED75BF82}"/>
    <cellStyle name="Comma 17 2 3 3 2 2" xfId="9777" xr:uid="{1E0BFB08-2724-4E72-A4A1-B9A0B17DD833}"/>
    <cellStyle name="Comma 17 2 3 3 3" xfId="3321" xr:uid="{A8F5B98E-8D3B-4095-86CF-640EEC2B3FEF}"/>
    <cellStyle name="Comma 17 2 3 3 4" xfId="7255" xr:uid="{42500E2D-AE76-484C-B5B1-54CEE5EC9CF0}"/>
    <cellStyle name="Comma 17 2 3 3 5" xfId="8769" xr:uid="{EBD3C311-1893-4792-9042-0AC93A6DCB55}"/>
    <cellStyle name="Comma 17 2 3 3 6" xfId="12389" xr:uid="{BC979DD6-11E3-4911-B658-48D1B14D0A5C}"/>
    <cellStyle name="Comma 17 2 3 3 7" xfId="14134" xr:uid="{E04CDB7A-26E0-479D-9E4D-4711243094C8}"/>
    <cellStyle name="Comma 17 2 3 4" xfId="2117" xr:uid="{2E4BCD9F-7BFD-4D72-B48D-45F9E6E19A7E}"/>
    <cellStyle name="Comma 17 2 3 4 2" xfId="3837" xr:uid="{30177FDF-6B0A-46F1-8424-7D5298BB67F8}"/>
    <cellStyle name="Comma 17 2 3 4 3" xfId="7763" xr:uid="{24F1E31A-E335-4AF5-8C33-AF9E98B0C547}"/>
    <cellStyle name="Comma 17 2 3 4 4" xfId="9281" xr:uid="{82D65EEA-EF1B-4952-A9D4-925C8793EF09}"/>
    <cellStyle name="Comma 17 2 3 4 5" xfId="12895" xr:uid="{965AF33E-D9BF-469E-93EE-229AF6FE1469}"/>
    <cellStyle name="Comma 17 2 3 4 6" xfId="14640" xr:uid="{F2939FE7-73E4-4536-ACAE-C9E2822E444D}"/>
    <cellStyle name="Comma 17 2 3 5" xfId="4823" xr:uid="{74FD5685-1DC3-4F38-807A-D23E6A49A8FE}"/>
    <cellStyle name="Comma 17 2 3 5 2" xfId="10279" xr:uid="{D0E93934-FA71-4078-A2B5-11101DEC8939}"/>
    <cellStyle name="Comma 17 2 3 6" xfId="5307" xr:uid="{8E97D4FD-EBE3-4007-AD4F-F584D0A89CBD}"/>
    <cellStyle name="Comma 17 2 3 6 2" xfId="10781" xr:uid="{14BF59CD-7B2E-44CD-9E41-4C6A32C04ACC}"/>
    <cellStyle name="Comma 17 2 3 7" xfId="5809" xr:uid="{E0F4F8F4-6700-417E-8217-7FEB9F3ECEB2}"/>
    <cellStyle name="Comma 17 2 3 7 2" xfId="11283" xr:uid="{0812344E-2C03-4B71-AA56-B846939A6C7C}"/>
    <cellStyle name="Comma 17 2 3 8" xfId="2839" xr:uid="{5AFACE42-ABD0-4949-A254-B8F913517760}"/>
    <cellStyle name="Comma 17 2 3 9" xfId="6749" xr:uid="{D5647753-9C69-4A77-A826-5B3F4E0182C9}"/>
    <cellStyle name="Comma 17 2 4" xfId="1227" xr:uid="{8404CF8D-0988-4CDD-891A-C83517173EEC}"/>
    <cellStyle name="Comma 17 2 4 10" xfId="12007" xr:uid="{97E11E00-7B0F-49A4-B75D-DB84ACEEDF65}"/>
    <cellStyle name="Comma 17 2 4 11" xfId="13752" xr:uid="{1DB063EC-8CFE-4583-A359-E0C3627FCCFC}"/>
    <cellStyle name="Comma 17 2 4 2" xfId="1733" xr:uid="{A4905AEF-18A4-459C-8F0F-08CCA64E13DE}"/>
    <cellStyle name="Comma 17 2 4 2 2" xfId="4455" xr:uid="{64B111B9-EC26-4DCE-88B9-735AFE244205}"/>
    <cellStyle name="Comma 17 2 4 2 2 2" xfId="9901" xr:uid="{ADD6C15D-244F-499D-8802-4355D033E02D}"/>
    <cellStyle name="Comma 17 2 4 2 3" xfId="3445" xr:uid="{1304ED9D-06C5-4434-93A9-B8453FAF13A8}"/>
    <cellStyle name="Comma 17 2 4 2 4" xfId="7379" xr:uid="{EBB6872A-DAFF-4915-9E8F-B009B9F1F9E3}"/>
    <cellStyle name="Comma 17 2 4 2 5" xfId="8893" xr:uid="{EDD72AA1-FFC0-4A7A-A737-2C7044869338}"/>
    <cellStyle name="Comma 17 2 4 2 6" xfId="12513" xr:uid="{96AB52C4-23DC-44B0-87C3-4099D55286BD}"/>
    <cellStyle name="Comma 17 2 4 2 7" xfId="14258" xr:uid="{905C8E3B-12F5-45D6-AA62-BA11681B6EFA}"/>
    <cellStyle name="Comma 17 2 4 3" xfId="2241" xr:uid="{25A42C38-AA07-42C2-8350-506C5195F93D}"/>
    <cellStyle name="Comma 17 2 4 3 2" xfId="3961" xr:uid="{DF6FF855-0D7E-4388-AB68-111FC8D1C083}"/>
    <cellStyle name="Comma 17 2 4 3 3" xfId="7887" xr:uid="{6783A576-C6F6-49D2-B776-DAD9313E1989}"/>
    <cellStyle name="Comma 17 2 4 3 4" xfId="9405" xr:uid="{2E86D2D2-5F29-403C-A077-6E26B00CDFE4}"/>
    <cellStyle name="Comma 17 2 4 3 5" xfId="13019" xr:uid="{E4C0CF7A-6212-46CB-BD8F-B96DE0E12B57}"/>
    <cellStyle name="Comma 17 2 4 3 6" xfId="14764" xr:uid="{84F4CD15-8828-4CB5-A4D2-8B1127C66BA6}"/>
    <cellStyle name="Comma 17 2 4 4" xfId="4939" xr:uid="{01AFCB09-9EE6-4560-8E1E-45CF0285CFC7}"/>
    <cellStyle name="Comma 17 2 4 4 2" xfId="10403" xr:uid="{FEDEF8E0-140F-44AA-9681-742AE16A8EB5}"/>
    <cellStyle name="Comma 17 2 4 5" xfId="5431" xr:uid="{33AB7ABE-0283-4A42-8B60-0D12B0CDA1D6}"/>
    <cellStyle name="Comma 17 2 4 5 2" xfId="10905" xr:uid="{C24C456B-2B3F-4AEE-A797-A78FE1C1DD38}"/>
    <cellStyle name="Comma 17 2 4 6" xfId="5933" xr:uid="{499A1C0F-6680-4D48-B461-8F1F39DDDB79}"/>
    <cellStyle name="Comma 17 2 4 6 2" xfId="11407" xr:uid="{31F24DED-78AB-4ED6-A56B-BE109B396083}"/>
    <cellStyle name="Comma 17 2 4 7" xfId="2957" xr:uid="{8DEB62D2-B548-4DAA-BA9E-1A407271F101}"/>
    <cellStyle name="Comma 17 2 4 8" xfId="6873" xr:uid="{3821677E-D814-4C8D-B2D8-A6F421758EFC}"/>
    <cellStyle name="Comma 17 2 4 9" xfId="8397" xr:uid="{1B8CDBF4-D061-4910-AC12-C769CCFAFBC0}"/>
    <cellStyle name="Comma 17 2 5" xfId="1485" xr:uid="{998EB779-66AF-49BC-8D79-78B281213A15}"/>
    <cellStyle name="Comma 17 2 5 2" xfId="4209" xr:uid="{3BB5BDC9-AF6D-4005-BC21-C54828E9CC66}"/>
    <cellStyle name="Comma 17 2 5 2 2" xfId="9653" xr:uid="{4CCCE01E-1E58-480A-AFA1-8A8308DF56ED}"/>
    <cellStyle name="Comma 17 2 5 3" xfId="3199" xr:uid="{7414F023-B8AE-449E-95A6-009E1B8B0C6F}"/>
    <cellStyle name="Comma 17 2 5 4" xfId="7131" xr:uid="{EF7FAB3F-3B7D-43B8-AF3C-D4019892CE41}"/>
    <cellStyle name="Comma 17 2 5 5" xfId="8645" xr:uid="{4ADA3BEB-7C68-4B64-8886-6366CB543FA1}"/>
    <cellStyle name="Comma 17 2 5 6" xfId="12265" xr:uid="{0545236D-FCD5-4252-A403-D0FB0FA95BC0}"/>
    <cellStyle name="Comma 17 2 5 7" xfId="14010" xr:uid="{90F4D051-45A0-4597-B346-A03A09632C79}"/>
    <cellStyle name="Comma 17 2 6" xfId="1993" xr:uid="{42A7DBEF-4D35-4C5A-A351-9C845AAC0B8C}"/>
    <cellStyle name="Comma 17 2 6 2" xfId="3713" xr:uid="{72EF6458-5F52-47EA-94C4-5AAD1BFB61F4}"/>
    <cellStyle name="Comma 17 2 6 3" xfId="7639" xr:uid="{64D3BA71-1A30-44DD-B4F5-B605AB550E29}"/>
    <cellStyle name="Comma 17 2 6 4" xfId="9157" xr:uid="{D256C195-C85D-43FE-ABA4-6FF945F2DF98}"/>
    <cellStyle name="Comma 17 2 6 5" xfId="12771" xr:uid="{EB5BEC01-4E93-41C6-B6E6-0B0CF6B03830}"/>
    <cellStyle name="Comma 17 2 6 6" xfId="14516" xr:uid="{4CEA1E56-C42B-4174-BC26-985731F17FA3}"/>
    <cellStyle name="Comma 17 2 7" xfId="4709" xr:uid="{DBB606E7-6D9E-42D4-9FCF-8E2E741896DC}"/>
    <cellStyle name="Comma 17 2 7 2" xfId="10155" xr:uid="{5CF8982D-320D-4343-8ADC-69F4B57EA3BE}"/>
    <cellStyle name="Comma 17 2 8" xfId="5185" xr:uid="{A7CFB31E-1309-4FE2-9E0C-E5795ADFF2F5}"/>
    <cellStyle name="Comma 17 2 8 2" xfId="10657" xr:uid="{EC4E634F-0C78-4414-9E0E-65A419ED82B8}"/>
    <cellStyle name="Comma 17 2 9" xfId="5685" xr:uid="{AB587001-6DB2-4878-AA71-E13C31E5B01A}"/>
    <cellStyle name="Comma 17 2 9 2" xfId="11159" xr:uid="{14CE0BC2-E42E-4026-BA71-6D0873AEA71E}"/>
    <cellStyle name="Comma 17 3" xfId="999" xr:uid="{D02B92B8-C736-4493-8357-92431C359948}"/>
    <cellStyle name="Comma 17 3 10" xfId="2745" xr:uid="{625A96DC-9565-40FD-B79F-4D156E1CFE9D}"/>
    <cellStyle name="Comma 17 3 11" xfId="6645" xr:uid="{9F270BF9-D6A1-4189-BBA6-EC8ADAB5A840}"/>
    <cellStyle name="Comma 17 3 12" xfId="8169" xr:uid="{DA9B7855-910F-456C-AA88-45E265E6C398}"/>
    <cellStyle name="Comma 17 3 13" xfId="11779" xr:uid="{7845C5C6-D2E3-411E-BB8A-E83121D7155F}"/>
    <cellStyle name="Comma 17 3 14" xfId="13524" xr:uid="{C85A3D3C-C7F7-472B-A686-EE3FBA77ED13}"/>
    <cellStyle name="Comma 17 3 2" xfId="1021" xr:uid="{108BFFB5-2484-40EC-8E96-2B27EBF4A8E7}"/>
    <cellStyle name="Comma 17 3 2 10" xfId="6667" xr:uid="{5FA9768F-37C4-4CEC-B928-FB852EE67C16}"/>
    <cellStyle name="Comma 17 3 2 11" xfId="8191" xr:uid="{F986D36B-D97F-414A-A6A0-8BE946B7B881}"/>
    <cellStyle name="Comma 17 3 2 12" xfId="11801" xr:uid="{C402BE51-291B-402C-B16A-CCA3649F8859}"/>
    <cellStyle name="Comma 17 3 2 13" xfId="13546" xr:uid="{3D77A6FE-B601-44FD-9EF9-FB62EB5C93B9}"/>
    <cellStyle name="Comma 17 3 2 2" xfId="1145" xr:uid="{ADF9BA4E-1EDF-4DCF-BD48-D8B329960889}"/>
    <cellStyle name="Comma 17 3 2 2 10" xfId="8315" xr:uid="{7A7C2C97-74AA-4E34-81DC-5F3F5602FF7D}"/>
    <cellStyle name="Comma 17 3 2 2 11" xfId="11925" xr:uid="{ABFEECA6-E549-4EC4-8B9F-9A5C589EB9EC}"/>
    <cellStyle name="Comma 17 3 2 2 12" xfId="13670" xr:uid="{855DE98C-1B73-42B2-8275-FFF483915BE3}"/>
    <cellStyle name="Comma 17 3 2 2 2" xfId="1393" xr:uid="{73CF7620-0ADE-440E-BC7D-363D30968E31}"/>
    <cellStyle name="Comma 17 3 2 2 2 10" xfId="12173" xr:uid="{5E8A4018-3353-436A-A812-D3889D8E1EEA}"/>
    <cellStyle name="Comma 17 3 2 2 2 11" xfId="13918" xr:uid="{3EB0A19E-C624-4C6A-B97C-4AFCFB5BCD21}"/>
    <cellStyle name="Comma 17 3 2 2 2 2" xfId="1899" xr:uid="{0C4A9144-EC34-40EC-9FBB-93A3AE7DAA1D}"/>
    <cellStyle name="Comma 17 3 2 2 2 2 2" xfId="4621" xr:uid="{9584896B-6F0F-4BA7-95FA-FC964C8F7278}"/>
    <cellStyle name="Comma 17 3 2 2 2 2 2 2" xfId="10067" xr:uid="{004A7FEB-4006-46DE-AA07-B6908E1AD9C1}"/>
    <cellStyle name="Comma 17 3 2 2 2 2 3" xfId="3611" xr:uid="{09F1661D-33F1-4D20-9D4F-F9487989C7E2}"/>
    <cellStyle name="Comma 17 3 2 2 2 2 4" xfId="7545" xr:uid="{4C83C67B-698A-451C-BF10-82B543C2BEDB}"/>
    <cellStyle name="Comma 17 3 2 2 2 2 5" xfId="9059" xr:uid="{07202AF8-D02F-4531-AEE8-65C4A3869C1E}"/>
    <cellStyle name="Comma 17 3 2 2 2 2 6" xfId="12679" xr:uid="{CAD17F9C-B8AB-4076-96F6-3A369743F0DF}"/>
    <cellStyle name="Comma 17 3 2 2 2 2 7" xfId="14424" xr:uid="{04E15FFE-8F93-432B-B409-BBA548E292E8}"/>
    <cellStyle name="Comma 17 3 2 2 2 3" xfId="2407" xr:uid="{2E43FCEE-7A58-4AB0-A2C8-AD71DF65E270}"/>
    <cellStyle name="Comma 17 3 2 2 2 3 2" xfId="4127" xr:uid="{38B95F58-A12F-47FC-AC91-F9E5F9B99846}"/>
    <cellStyle name="Comma 17 3 2 2 2 3 3" xfId="8053" xr:uid="{3FD7ED4F-6B0C-44D6-9F4A-5EDF94B6E647}"/>
    <cellStyle name="Comma 17 3 2 2 2 3 4" xfId="9571" xr:uid="{6B367346-BF36-410E-BA3D-D2B28F8C8B86}"/>
    <cellStyle name="Comma 17 3 2 2 2 3 5" xfId="13185" xr:uid="{40A5BD9F-4A43-4BCD-AE42-AB8A27040842}"/>
    <cellStyle name="Comma 17 3 2 2 2 3 6" xfId="14930" xr:uid="{CEC320E0-3AE6-4790-B434-0C539B4ECA90}"/>
    <cellStyle name="Comma 17 3 2 2 2 4" xfId="5099" xr:uid="{1E53D9FD-B5B0-496F-BC02-3D1B1A9788F1}"/>
    <cellStyle name="Comma 17 3 2 2 2 4 2" xfId="10569" xr:uid="{F4D33CC4-9A2B-47F0-B58E-D07D200FFE79}"/>
    <cellStyle name="Comma 17 3 2 2 2 5" xfId="5597" xr:uid="{9752186D-6A9C-40B2-97DD-9D7AC24BF5C9}"/>
    <cellStyle name="Comma 17 3 2 2 2 5 2" xfId="11071" xr:uid="{A7A50185-386A-40B3-B6DB-2BE183AABB44}"/>
    <cellStyle name="Comma 17 3 2 2 2 6" xfId="6099" xr:uid="{3D4918E5-0749-4906-94E3-F74083E3E58E}"/>
    <cellStyle name="Comma 17 3 2 2 2 6 2" xfId="11573" xr:uid="{8F31AB26-5985-4FBE-AD53-BE0BFD16631C}"/>
    <cellStyle name="Comma 17 3 2 2 2 7" xfId="3117" xr:uid="{338904E4-683B-4C25-B8F3-7FA9AE19A388}"/>
    <cellStyle name="Comma 17 3 2 2 2 8" xfId="7039" xr:uid="{5A0F5BD7-696C-43F5-9B0E-584FF3CE3351}"/>
    <cellStyle name="Comma 17 3 2 2 2 9" xfId="8563" xr:uid="{C719BB0E-0D75-4D3B-9F7B-CAF46FAEE376}"/>
    <cellStyle name="Comma 17 3 2 2 3" xfId="1651" xr:uid="{E3F20572-05FB-4DF9-B118-7DF31E14551B}"/>
    <cellStyle name="Comma 17 3 2 2 3 2" xfId="4373" xr:uid="{78DC42C5-1A3F-4098-B107-603553C7A390}"/>
    <cellStyle name="Comma 17 3 2 2 3 2 2" xfId="9819" xr:uid="{472D7EE8-D3B3-4968-9EAB-7DDAA1E526C8}"/>
    <cellStyle name="Comma 17 3 2 2 3 3" xfId="3363" xr:uid="{4280DB79-9C8E-4492-8ACD-6B7A9D36A0A6}"/>
    <cellStyle name="Comma 17 3 2 2 3 4" xfId="7297" xr:uid="{79301763-420C-4F46-B709-EC4BFBEA8AA9}"/>
    <cellStyle name="Comma 17 3 2 2 3 5" xfId="8811" xr:uid="{1D603E67-3DE5-4551-A7BD-8AFBFAD65635}"/>
    <cellStyle name="Comma 17 3 2 2 3 6" xfId="12431" xr:uid="{D493D7A6-D370-4115-9BEE-E9F6CB5A98CE}"/>
    <cellStyle name="Comma 17 3 2 2 3 7" xfId="14176" xr:uid="{01D0D296-31A6-4366-BF23-8178C3994A68}"/>
    <cellStyle name="Comma 17 3 2 2 4" xfId="2159" xr:uid="{7C95D29D-6FEB-41B6-9979-964820E4F9EB}"/>
    <cellStyle name="Comma 17 3 2 2 4 2" xfId="3879" xr:uid="{7D7A9F90-303E-4748-8B90-7D19DFFB4F6D}"/>
    <cellStyle name="Comma 17 3 2 2 4 3" xfId="7805" xr:uid="{B175F4C8-7800-4031-8952-F5A1393423D8}"/>
    <cellStyle name="Comma 17 3 2 2 4 4" xfId="9323" xr:uid="{81B23894-97AA-42E6-B04B-0CBA294420FB}"/>
    <cellStyle name="Comma 17 3 2 2 4 5" xfId="12937" xr:uid="{83DBB653-E1B8-48C6-96BE-D1CF20FB7B1F}"/>
    <cellStyle name="Comma 17 3 2 2 4 6" xfId="14682" xr:uid="{2DC7F8DB-D352-47D5-A0D5-0EF3DEB9755B}"/>
    <cellStyle name="Comma 17 3 2 2 5" xfId="4861" xr:uid="{B8C594FF-98CF-42A7-8080-99C4E41AF43B}"/>
    <cellStyle name="Comma 17 3 2 2 5 2" xfId="10321" xr:uid="{BD7C8320-F89C-4776-AC83-755C168E12D5}"/>
    <cellStyle name="Comma 17 3 2 2 6" xfId="5349" xr:uid="{A3A25E5B-B01A-4DEC-A76B-BEB017E8F40D}"/>
    <cellStyle name="Comma 17 3 2 2 6 2" xfId="10823" xr:uid="{92C1397F-1CFE-4CE4-985E-214ACD4D64E6}"/>
    <cellStyle name="Comma 17 3 2 2 7" xfId="5851" xr:uid="{427EACF4-938E-4619-8869-5B31BA2E3416}"/>
    <cellStyle name="Comma 17 3 2 2 7 2" xfId="11325" xr:uid="{82534005-74FB-479B-B64D-A955033CEFF9}"/>
    <cellStyle name="Comma 17 3 2 2 8" xfId="2877" xr:uid="{A37D7E45-6677-4C77-B33D-323A82F43A0F}"/>
    <cellStyle name="Comma 17 3 2 2 9" xfId="6791" xr:uid="{D32DDD18-3E98-49D1-9786-60A1BC81FFFA}"/>
    <cellStyle name="Comma 17 3 2 3" xfId="1269" xr:uid="{20333761-F1BA-4EB3-B2C7-E46FD3ED8243}"/>
    <cellStyle name="Comma 17 3 2 3 10" xfId="12049" xr:uid="{80BC9131-896E-4EB8-AE7D-FC2CAC3C1D14}"/>
    <cellStyle name="Comma 17 3 2 3 11" xfId="13794" xr:uid="{15D68DC9-A428-4C86-8C03-CCC5DEB9D630}"/>
    <cellStyle name="Comma 17 3 2 3 2" xfId="1775" xr:uid="{FB16E830-1924-4DF3-BBB4-7BADDBB0A602}"/>
    <cellStyle name="Comma 17 3 2 3 2 2" xfId="4497" xr:uid="{0A77179D-0C05-470C-A3DD-1111BF05B6DE}"/>
    <cellStyle name="Comma 17 3 2 3 2 2 2" xfId="9943" xr:uid="{47761D85-7155-4655-AD81-83044224E00B}"/>
    <cellStyle name="Comma 17 3 2 3 2 3" xfId="3487" xr:uid="{066F8780-F84F-490A-A9A7-F6B07CFE76DF}"/>
    <cellStyle name="Comma 17 3 2 3 2 4" xfId="7421" xr:uid="{A4B548F8-AFD5-44CB-9180-C611A31B3650}"/>
    <cellStyle name="Comma 17 3 2 3 2 5" xfId="8935" xr:uid="{BE4523F6-A4AB-406B-AD96-8F747512A918}"/>
    <cellStyle name="Comma 17 3 2 3 2 6" xfId="12555" xr:uid="{11B02BF2-B960-4FED-AB8E-47C4CDF39EC9}"/>
    <cellStyle name="Comma 17 3 2 3 2 7" xfId="14300" xr:uid="{D4D54F24-0587-4834-9FDF-09FBB03FF47C}"/>
    <cellStyle name="Comma 17 3 2 3 3" xfId="2283" xr:uid="{E7E3CD8D-A5EB-462B-9A56-743BD05EFBDB}"/>
    <cellStyle name="Comma 17 3 2 3 3 2" xfId="4003" xr:uid="{A3931BAA-1A4D-4847-BE0E-A98F17E606BB}"/>
    <cellStyle name="Comma 17 3 2 3 3 3" xfId="7929" xr:uid="{2F6310E7-A15F-4C88-BAAC-B3D4138615D6}"/>
    <cellStyle name="Comma 17 3 2 3 3 4" xfId="9447" xr:uid="{8C2349AF-0BE0-44D9-B667-5D87CE965A41}"/>
    <cellStyle name="Comma 17 3 2 3 3 5" xfId="13061" xr:uid="{F8487896-B02F-4E43-948E-B704F3A28C02}"/>
    <cellStyle name="Comma 17 3 2 3 3 6" xfId="14806" xr:uid="{F72235CA-67C8-4835-973D-1E4A09FC60A9}"/>
    <cellStyle name="Comma 17 3 2 3 4" xfId="4977" xr:uid="{8C820D1B-E665-428B-ABF7-A6EC997453F7}"/>
    <cellStyle name="Comma 17 3 2 3 4 2" xfId="10445" xr:uid="{01F0C7E9-8558-44BF-A51A-21B589E82E66}"/>
    <cellStyle name="Comma 17 3 2 3 5" xfId="5473" xr:uid="{6B7D938F-8D27-426A-BD17-3CAE87EAC29F}"/>
    <cellStyle name="Comma 17 3 2 3 5 2" xfId="10947" xr:uid="{8C8E1A08-FFBA-4D57-89CD-39DAF5A734B1}"/>
    <cellStyle name="Comma 17 3 2 3 6" xfId="5975" xr:uid="{7A9A2A10-6A27-4584-99C5-C39197718A2E}"/>
    <cellStyle name="Comma 17 3 2 3 6 2" xfId="11449" xr:uid="{8848E5A7-88B9-4668-A1A0-B0BFB198554A}"/>
    <cellStyle name="Comma 17 3 2 3 7" xfId="2995" xr:uid="{B17E4D96-2CBC-4E97-86E4-1D969B4BD545}"/>
    <cellStyle name="Comma 17 3 2 3 8" xfId="6915" xr:uid="{15D515BA-A22D-4A95-92EB-CDB1D69CD731}"/>
    <cellStyle name="Comma 17 3 2 3 9" xfId="8439" xr:uid="{53EB8C47-AFFC-4235-A0C2-BCACB28E0275}"/>
    <cellStyle name="Comma 17 3 2 4" xfId="1527" xr:uid="{609A0AB7-786D-48BB-8466-3787028B0227}"/>
    <cellStyle name="Comma 17 3 2 4 2" xfId="4251" xr:uid="{D64B7946-2D1F-41A4-BD48-AA2D68855C2F}"/>
    <cellStyle name="Comma 17 3 2 4 2 2" xfId="9695" xr:uid="{24473657-43A3-4F93-878B-FD9C5E0C81A9}"/>
    <cellStyle name="Comma 17 3 2 4 3" xfId="3241" xr:uid="{4B6A8D2F-78B7-4E3D-AF2C-55DAD2D689F9}"/>
    <cellStyle name="Comma 17 3 2 4 4" xfId="7173" xr:uid="{F77FAE8A-7887-49B7-93F2-022E6581DBF0}"/>
    <cellStyle name="Comma 17 3 2 4 5" xfId="8687" xr:uid="{F925B2C6-9028-41E0-8048-3BE6B5749F40}"/>
    <cellStyle name="Comma 17 3 2 4 6" xfId="12307" xr:uid="{3D930EE6-A571-4BE9-A519-DA49232DD263}"/>
    <cellStyle name="Comma 17 3 2 4 7" xfId="14052" xr:uid="{F15D98B9-6D7C-439D-88CA-4487B2F89279}"/>
    <cellStyle name="Comma 17 3 2 5" xfId="2035" xr:uid="{300169C5-0764-44C6-B350-0AEE1AE77343}"/>
    <cellStyle name="Comma 17 3 2 5 2" xfId="3755" xr:uid="{8837DB67-12FB-438B-9F8F-4DBE51EC939A}"/>
    <cellStyle name="Comma 17 3 2 5 3" xfId="7681" xr:uid="{19A4A921-5989-47D5-AAA3-2DF1E67475BB}"/>
    <cellStyle name="Comma 17 3 2 5 4" xfId="9199" xr:uid="{F71AFA2D-894E-4EE5-9FA7-0C6905CC7C1B}"/>
    <cellStyle name="Comma 17 3 2 5 5" xfId="12813" xr:uid="{F65D15F2-9D58-4F79-957C-7FF120D48234}"/>
    <cellStyle name="Comma 17 3 2 5 6" xfId="14558" xr:uid="{08A75335-5BD4-4FEB-8C4A-F5203A1B4CC9}"/>
    <cellStyle name="Comma 17 3 2 6" xfId="4749" xr:uid="{E55E1B5E-B12B-408C-9FB0-0B33BA93D733}"/>
    <cellStyle name="Comma 17 3 2 6 2" xfId="10197" xr:uid="{A97B393C-320E-44AE-B1D1-7FC848DCD30D}"/>
    <cellStyle name="Comma 17 3 2 7" xfId="5225" xr:uid="{8874693F-D321-4FE7-96C1-A6BCB9CF0686}"/>
    <cellStyle name="Comma 17 3 2 7 2" xfId="10699" xr:uid="{7C667CE6-6871-4751-99C1-8F4BD981B31F}"/>
    <cellStyle name="Comma 17 3 2 8" xfId="5727" xr:uid="{529A6BBF-D4D9-4C4D-8F48-50255804C08C}"/>
    <cellStyle name="Comma 17 3 2 8 2" xfId="11201" xr:uid="{4B20B78D-8A26-47CE-86B4-BDF91053374E}"/>
    <cellStyle name="Comma 17 3 2 9" xfId="2765" xr:uid="{B9313E5C-1385-4CD8-BE93-EFAAC4708E42}"/>
    <cellStyle name="Comma 17 3 3" xfId="1123" xr:uid="{F16EC4D0-F9A9-4646-9821-94C47A4D8546}"/>
    <cellStyle name="Comma 17 3 3 10" xfId="8293" xr:uid="{DFD97BFE-4FF6-4090-9918-D8F6E8BC1729}"/>
    <cellStyle name="Comma 17 3 3 11" xfId="11903" xr:uid="{E77D9EFC-2321-4913-9CE1-6FBE464C51A9}"/>
    <cellStyle name="Comma 17 3 3 12" xfId="13648" xr:uid="{4B2C1655-F73D-44C3-8D35-B9568E2C3F6E}"/>
    <cellStyle name="Comma 17 3 3 2" xfId="1371" xr:uid="{A892835A-072B-41D1-92B2-4C62C87DB0C8}"/>
    <cellStyle name="Comma 17 3 3 2 10" xfId="12151" xr:uid="{2C5C98F3-A284-40DB-8152-DE45EF046511}"/>
    <cellStyle name="Comma 17 3 3 2 11" xfId="13896" xr:uid="{EE14FCEF-C935-4215-AFA3-F8365C6F4707}"/>
    <cellStyle name="Comma 17 3 3 2 2" xfId="1877" xr:uid="{A99CB289-308A-45A4-83F7-12EC55EAA626}"/>
    <cellStyle name="Comma 17 3 3 2 2 2" xfId="4599" xr:uid="{5002FD10-C168-47E1-A5AB-4D92A7CDC9F9}"/>
    <cellStyle name="Comma 17 3 3 2 2 2 2" xfId="10045" xr:uid="{9FAB123C-D5C7-4C45-B63E-2F2545C39B50}"/>
    <cellStyle name="Comma 17 3 3 2 2 3" xfId="3589" xr:uid="{BF623E09-B174-451C-88A0-8353CA56B536}"/>
    <cellStyle name="Comma 17 3 3 2 2 4" xfId="7523" xr:uid="{0AF37519-D0B3-4A23-815C-8214EB5B9517}"/>
    <cellStyle name="Comma 17 3 3 2 2 5" xfId="9037" xr:uid="{1723A683-B352-41DE-B8F2-892EAF02A162}"/>
    <cellStyle name="Comma 17 3 3 2 2 6" xfId="12657" xr:uid="{72DD0019-9E69-42B2-9B57-38EE069F6851}"/>
    <cellStyle name="Comma 17 3 3 2 2 7" xfId="14402" xr:uid="{15B6B22C-ACC1-4ACF-BD8E-DFE40BD074D4}"/>
    <cellStyle name="Comma 17 3 3 2 3" xfId="2385" xr:uid="{98402E04-4D1B-4614-B509-71F3AB4C7F2A}"/>
    <cellStyle name="Comma 17 3 3 2 3 2" xfId="4105" xr:uid="{E8E95BAD-1FA5-4487-A580-BAB25B201B47}"/>
    <cellStyle name="Comma 17 3 3 2 3 3" xfId="8031" xr:uid="{0C8E0DDC-F9DE-4D34-8EF6-A5EEA92238A2}"/>
    <cellStyle name="Comma 17 3 3 2 3 4" xfId="9549" xr:uid="{2085DA2A-5546-4B75-B166-7A5FBFC0A323}"/>
    <cellStyle name="Comma 17 3 3 2 3 5" xfId="13163" xr:uid="{7A052CB7-5B06-47C6-9D10-1EA3E4A70A99}"/>
    <cellStyle name="Comma 17 3 3 2 3 6" xfId="14908" xr:uid="{81F5628B-7F97-4356-91FF-CD84A09C4B58}"/>
    <cellStyle name="Comma 17 3 3 2 4" xfId="5077" xr:uid="{3DC23C1E-CAD2-4535-926A-B4E2275FD28A}"/>
    <cellStyle name="Comma 17 3 3 2 4 2" xfId="10547" xr:uid="{FF179006-3493-4D15-9EB2-7F034D2F2DF7}"/>
    <cellStyle name="Comma 17 3 3 2 5" xfId="5575" xr:uid="{3C87B068-286A-4783-9B98-2A9AFF7E4C2B}"/>
    <cellStyle name="Comma 17 3 3 2 5 2" xfId="11049" xr:uid="{907575A8-0A96-4CA9-B164-98443B222C15}"/>
    <cellStyle name="Comma 17 3 3 2 6" xfId="6077" xr:uid="{F47537A9-009F-4E27-A4B9-7FB462536773}"/>
    <cellStyle name="Comma 17 3 3 2 6 2" xfId="11551" xr:uid="{017D6AB8-D983-455C-8030-12FD7E05B6EC}"/>
    <cellStyle name="Comma 17 3 3 2 7" xfId="3095" xr:uid="{CE20F8DF-BD16-4F50-A705-DC958A5D55F9}"/>
    <cellStyle name="Comma 17 3 3 2 8" xfId="7017" xr:uid="{E311769C-BD97-47E1-A9D1-C3BFC0A707B0}"/>
    <cellStyle name="Comma 17 3 3 2 9" xfId="8541" xr:uid="{EC407A64-5DFA-400D-919E-5D87A6FC3D3F}"/>
    <cellStyle name="Comma 17 3 3 3" xfId="1629" xr:uid="{BD51224F-2703-48D8-9CCC-C17703130890}"/>
    <cellStyle name="Comma 17 3 3 3 2" xfId="4351" xr:uid="{8C4E8AE5-B945-4821-B843-7E9A0F2EB49C}"/>
    <cellStyle name="Comma 17 3 3 3 2 2" xfId="9797" xr:uid="{B683284A-1CE3-4A3A-9956-779CDB20BE1E}"/>
    <cellStyle name="Comma 17 3 3 3 3" xfId="3341" xr:uid="{446DAECE-0EAB-4ECF-A093-A373BC5FF0D1}"/>
    <cellStyle name="Comma 17 3 3 3 4" xfId="7275" xr:uid="{412347FA-5EAC-4781-9A09-D3007F9D3D13}"/>
    <cellStyle name="Comma 17 3 3 3 5" xfId="8789" xr:uid="{B971C52A-9987-402B-8BED-577140F1E995}"/>
    <cellStyle name="Comma 17 3 3 3 6" xfId="12409" xr:uid="{CA5607D4-201B-4A4F-BFAA-54A18CEDA275}"/>
    <cellStyle name="Comma 17 3 3 3 7" xfId="14154" xr:uid="{EC020F83-9C6C-431E-8399-45567FC53556}"/>
    <cellStyle name="Comma 17 3 3 4" xfId="2137" xr:uid="{9B8346F9-459D-494B-A319-840C12A741A9}"/>
    <cellStyle name="Comma 17 3 3 4 2" xfId="3857" xr:uid="{7BE03211-F4D3-4D29-9547-D5F5DD87587C}"/>
    <cellStyle name="Comma 17 3 3 4 3" xfId="7783" xr:uid="{C289B624-FE25-4CAD-8B2A-6556E0B4C668}"/>
    <cellStyle name="Comma 17 3 3 4 4" xfId="9301" xr:uid="{CCB62E83-84BA-44D1-89B1-3203C31EF60F}"/>
    <cellStyle name="Comma 17 3 3 4 5" xfId="12915" xr:uid="{F35DC0E8-ACF1-4804-A920-E5BA4AE1BA6E}"/>
    <cellStyle name="Comma 17 3 3 4 6" xfId="14660" xr:uid="{F540E871-FB91-4452-8A63-F1A2C16913F7}"/>
    <cellStyle name="Comma 17 3 3 5" xfId="4841" xr:uid="{7B5DDA8F-D780-471F-85FA-8DCA1E71EF5C}"/>
    <cellStyle name="Comma 17 3 3 5 2" xfId="10299" xr:uid="{2DA82CB6-DDE3-47D0-A4AF-6273CEC9D36A}"/>
    <cellStyle name="Comma 17 3 3 6" xfId="5327" xr:uid="{6C1099B8-2650-4A61-AC29-31FEB39B742A}"/>
    <cellStyle name="Comma 17 3 3 6 2" xfId="10801" xr:uid="{1D77C5C4-056C-4FB2-873A-882E136FEAC4}"/>
    <cellStyle name="Comma 17 3 3 7" xfId="5829" xr:uid="{507F4161-434D-4AC5-9BAC-596A80C19734}"/>
    <cellStyle name="Comma 17 3 3 7 2" xfId="11303" xr:uid="{DFD97A7C-9E71-416A-88E0-048FE5CD12A7}"/>
    <cellStyle name="Comma 17 3 3 8" xfId="2857" xr:uid="{B32A453E-4C1E-487B-AB44-6B88D7367312}"/>
    <cellStyle name="Comma 17 3 3 9" xfId="6769" xr:uid="{4CAB519C-0C6C-433A-9EAB-23958AA11B83}"/>
    <cellStyle name="Comma 17 3 4" xfId="1247" xr:uid="{3A1C1B5F-1FBB-4AEE-BDF2-E910B54D1D3E}"/>
    <cellStyle name="Comma 17 3 4 10" xfId="12027" xr:uid="{481618EC-D1C3-4E1E-99A0-B816357D9620}"/>
    <cellStyle name="Comma 17 3 4 11" xfId="13772" xr:uid="{4818A163-F02D-454D-8862-23415B886FE0}"/>
    <cellStyle name="Comma 17 3 4 2" xfId="1753" xr:uid="{16D30154-ACBA-42F2-AA66-6089A444B431}"/>
    <cellStyle name="Comma 17 3 4 2 2" xfId="4475" xr:uid="{134C92D1-7404-4EFE-8971-AD63B005C1E7}"/>
    <cellStyle name="Comma 17 3 4 2 2 2" xfId="9921" xr:uid="{F12F0EAD-C9FD-4FCB-B47B-81657728FF76}"/>
    <cellStyle name="Comma 17 3 4 2 3" xfId="3465" xr:uid="{E1CF3409-7BF8-46B9-A887-60F9CA6B8E63}"/>
    <cellStyle name="Comma 17 3 4 2 4" xfId="7399" xr:uid="{C0863F92-0523-4AE4-B56F-C5C3BC518EA3}"/>
    <cellStyle name="Comma 17 3 4 2 5" xfId="8913" xr:uid="{BAEFB79F-8788-4727-8E3F-747B046A5DAE}"/>
    <cellStyle name="Comma 17 3 4 2 6" xfId="12533" xr:uid="{93D7341E-83B5-403D-9C72-D025D51D0919}"/>
    <cellStyle name="Comma 17 3 4 2 7" xfId="14278" xr:uid="{200B931F-215B-4C11-95FC-409676DB660C}"/>
    <cellStyle name="Comma 17 3 4 3" xfId="2261" xr:uid="{5FA6554F-8072-4FA2-8086-377ED87C2C5D}"/>
    <cellStyle name="Comma 17 3 4 3 2" xfId="3981" xr:uid="{728D6288-A0C8-44FB-B600-76CAE62F065D}"/>
    <cellStyle name="Comma 17 3 4 3 3" xfId="7907" xr:uid="{AA84A2BB-397F-4C8A-8D68-9F3C59F72C70}"/>
    <cellStyle name="Comma 17 3 4 3 4" xfId="9425" xr:uid="{B73DBFF2-BF73-4C83-B42C-6C4E312D9AFB}"/>
    <cellStyle name="Comma 17 3 4 3 5" xfId="13039" xr:uid="{D82496E2-E301-48D7-B097-FB55220DCB5F}"/>
    <cellStyle name="Comma 17 3 4 3 6" xfId="14784" xr:uid="{05B6963A-0505-4FC6-80D1-68198ED2F8D1}"/>
    <cellStyle name="Comma 17 3 4 4" xfId="4957" xr:uid="{8CAF6582-031A-451B-99C9-7CA10C0C2B01}"/>
    <cellStyle name="Comma 17 3 4 4 2" xfId="10423" xr:uid="{85D5AE45-E478-4867-AE28-C5A65AA2A26A}"/>
    <cellStyle name="Comma 17 3 4 5" xfId="5451" xr:uid="{6CD740AA-9C63-4030-8427-E9F6D4ABD624}"/>
    <cellStyle name="Comma 17 3 4 5 2" xfId="10925" xr:uid="{E5CDE8F9-156A-40EF-AB8F-A6EAA5985A12}"/>
    <cellStyle name="Comma 17 3 4 6" xfId="5953" xr:uid="{E3F13E0C-8737-476E-9D1E-98811AA2B2CD}"/>
    <cellStyle name="Comma 17 3 4 6 2" xfId="11427" xr:uid="{F4EAC44E-50A3-4B53-AA7B-BE0DFC4AD7D8}"/>
    <cellStyle name="Comma 17 3 4 7" xfId="2975" xr:uid="{96BBF426-D4D6-435D-BE74-5D3CAD523151}"/>
    <cellStyle name="Comma 17 3 4 8" xfId="6893" xr:uid="{3824BC83-E31E-457C-A25E-FE3887C29E99}"/>
    <cellStyle name="Comma 17 3 4 9" xfId="8417" xr:uid="{F4428DE8-565F-49F7-B8FC-82AE3F85A910}"/>
    <cellStyle name="Comma 17 3 5" xfId="1505" xr:uid="{B3B82879-FF92-4BFD-90E9-CCFD04C615D7}"/>
    <cellStyle name="Comma 17 3 5 2" xfId="4229" xr:uid="{5384173E-6996-4E47-9A21-AFB3D28859A9}"/>
    <cellStyle name="Comma 17 3 5 2 2" xfId="9673" xr:uid="{34AE7967-2191-4E57-B73E-8EB42C075A41}"/>
    <cellStyle name="Comma 17 3 5 3" xfId="3219" xr:uid="{B40C1120-BB06-44F2-83C1-A43C930686C4}"/>
    <cellStyle name="Comma 17 3 5 4" xfId="7151" xr:uid="{4A7AE8AE-084B-4BCA-807C-9B0B1A8992E0}"/>
    <cellStyle name="Comma 17 3 5 5" xfId="8665" xr:uid="{1CA96910-8E61-46A8-AF55-80C9A3CE7BFE}"/>
    <cellStyle name="Comma 17 3 5 6" xfId="12285" xr:uid="{D38649DB-C8E1-4BCF-B818-4C19888B958B}"/>
    <cellStyle name="Comma 17 3 5 7" xfId="14030" xr:uid="{C06B7D24-0014-4AAB-8440-B81D2A3036D8}"/>
    <cellStyle name="Comma 17 3 6" xfId="2013" xr:uid="{663D24A0-AA13-4DEE-B97D-68978A517E4D}"/>
    <cellStyle name="Comma 17 3 6 2" xfId="3733" xr:uid="{0C5792FC-0128-4A7B-8B8D-48F50D54A575}"/>
    <cellStyle name="Comma 17 3 6 3" xfId="7659" xr:uid="{96D25E28-A526-436E-BE63-CA7AA12F7EA7}"/>
    <cellStyle name="Comma 17 3 6 4" xfId="9177" xr:uid="{53986844-19F1-4618-B8EA-9D6BF4D1B535}"/>
    <cellStyle name="Comma 17 3 6 5" xfId="12791" xr:uid="{9443CEAB-9E17-445F-AF8A-32F5B1248791}"/>
    <cellStyle name="Comma 17 3 6 6" xfId="14536" xr:uid="{52F6DCC0-772D-401F-A4D0-E72463895DAA}"/>
    <cellStyle name="Comma 17 3 7" xfId="4729" xr:uid="{5F90C670-4816-4E58-B0D4-7947DA7AD6A7}"/>
    <cellStyle name="Comma 17 3 7 2" xfId="10175" xr:uid="{2C64BF35-29AC-40A8-925D-1AD11FBC9A3A}"/>
    <cellStyle name="Comma 17 3 8" xfId="5203" xr:uid="{65C43C04-0CD3-42CF-92BA-A975E7AF804E}"/>
    <cellStyle name="Comma 17 3 8 2" xfId="10677" xr:uid="{D0048B1E-A633-4643-B33B-2EBF66DEC7F2}"/>
    <cellStyle name="Comma 17 3 9" xfId="5705" xr:uid="{D11EBF03-567C-4951-BD71-29FD1D668A98}"/>
    <cellStyle name="Comma 17 3 9 2" xfId="11179" xr:uid="{59C9A581-2F2D-43A8-988A-337FDBBA8427}"/>
    <cellStyle name="Comma 17 4" xfId="1019" xr:uid="{D5A3EC60-4F88-4508-9FAF-28B05D509399}"/>
    <cellStyle name="Comma 17 4 10" xfId="6665" xr:uid="{33B36C0E-A71F-4515-B376-3E278F0526A3}"/>
    <cellStyle name="Comma 17 4 11" xfId="8189" xr:uid="{B907997E-13ED-4525-A566-589184F04A79}"/>
    <cellStyle name="Comma 17 4 12" xfId="11799" xr:uid="{1CB2098D-2159-4CF5-BF1A-3F78F3E49DBF}"/>
    <cellStyle name="Comma 17 4 13" xfId="13544" xr:uid="{BC076B13-E821-402B-A8AB-27305CC0DF17}"/>
    <cellStyle name="Comma 17 4 2" xfId="1143" xr:uid="{76B4561B-92A7-4133-B686-768B2978FFA3}"/>
    <cellStyle name="Comma 17 4 2 10" xfId="8313" xr:uid="{FFE97519-2626-492F-982A-78A40075DCE5}"/>
    <cellStyle name="Comma 17 4 2 11" xfId="11923" xr:uid="{1D72D696-86D8-4AE2-BC57-685614C47073}"/>
    <cellStyle name="Comma 17 4 2 12" xfId="13668" xr:uid="{7A33FF07-F76A-4673-AC22-A30670ED2161}"/>
    <cellStyle name="Comma 17 4 2 2" xfId="1391" xr:uid="{504C43B6-403A-4D93-BEB4-D74DE203AE09}"/>
    <cellStyle name="Comma 17 4 2 2 10" xfId="12171" xr:uid="{92572D02-914D-4FBC-BD58-2C5562F582B6}"/>
    <cellStyle name="Comma 17 4 2 2 11" xfId="13916" xr:uid="{560A60A1-4F9B-4464-8C50-E1C1DE605C61}"/>
    <cellStyle name="Comma 17 4 2 2 2" xfId="1897" xr:uid="{D5000047-E4A3-40F8-83F5-F0502216A3E3}"/>
    <cellStyle name="Comma 17 4 2 2 2 2" xfId="4619" xr:uid="{27547CB8-A8CC-4B8E-B06B-D5EC8132D5F0}"/>
    <cellStyle name="Comma 17 4 2 2 2 2 2" xfId="10065" xr:uid="{8F36F5CC-21DC-4FBF-BB4A-2574CE42AF75}"/>
    <cellStyle name="Comma 17 4 2 2 2 3" xfId="3609" xr:uid="{3BBEE405-4654-4859-B07E-5B19EA7347F9}"/>
    <cellStyle name="Comma 17 4 2 2 2 4" xfId="7543" xr:uid="{791D99F1-0B9D-402B-9F3D-3D27E98FED54}"/>
    <cellStyle name="Comma 17 4 2 2 2 5" xfId="9057" xr:uid="{BFC62120-928D-4F21-BDFC-F0B4911EDBDF}"/>
    <cellStyle name="Comma 17 4 2 2 2 6" xfId="12677" xr:uid="{43E49C40-0E4A-4A8A-AA4A-341CC778FB71}"/>
    <cellStyle name="Comma 17 4 2 2 2 7" xfId="14422" xr:uid="{1A8D94FE-71BF-4CCD-A4C5-B43C6E921380}"/>
    <cellStyle name="Comma 17 4 2 2 3" xfId="2405" xr:uid="{050C8EB1-841F-4D66-A65F-BB44CBD5396E}"/>
    <cellStyle name="Comma 17 4 2 2 3 2" xfId="4125" xr:uid="{A5DC4998-503E-4F96-AADE-2879EC93B829}"/>
    <cellStyle name="Comma 17 4 2 2 3 3" xfId="8051" xr:uid="{AE5724B4-38E2-47C9-B91D-2F2615D6EE38}"/>
    <cellStyle name="Comma 17 4 2 2 3 4" xfId="9569" xr:uid="{5E5434CE-7923-487D-B29F-104F8998B2AC}"/>
    <cellStyle name="Comma 17 4 2 2 3 5" xfId="13183" xr:uid="{8CD351A1-07CA-4A4F-95D7-6EBB5051762D}"/>
    <cellStyle name="Comma 17 4 2 2 3 6" xfId="14928" xr:uid="{54DE2F5E-010E-4A2D-BF98-72F959FCC12D}"/>
    <cellStyle name="Comma 17 4 2 2 4" xfId="5097" xr:uid="{4ED129F3-6FAA-4789-89D8-3D94A2366BD1}"/>
    <cellStyle name="Comma 17 4 2 2 4 2" xfId="10567" xr:uid="{F442A515-CA9D-49ED-99D5-D94AD5776B4E}"/>
    <cellStyle name="Comma 17 4 2 2 5" xfId="5595" xr:uid="{9F283DCA-2CF4-485F-9911-988DC2C66935}"/>
    <cellStyle name="Comma 17 4 2 2 5 2" xfId="11069" xr:uid="{F82FD6B0-3AF8-47F9-ADBF-561127A49015}"/>
    <cellStyle name="Comma 17 4 2 2 6" xfId="6097" xr:uid="{B4A8BE57-C354-4B46-B5FE-2EF6593CC7EE}"/>
    <cellStyle name="Comma 17 4 2 2 6 2" xfId="11571" xr:uid="{17331064-4DB2-419E-9C8C-FD96190CE901}"/>
    <cellStyle name="Comma 17 4 2 2 7" xfId="3115" xr:uid="{2B890C24-C670-4B38-971D-D676AAC5921E}"/>
    <cellStyle name="Comma 17 4 2 2 8" xfId="7037" xr:uid="{62BFD6C1-2355-474D-849F-4B42027411E4}"/>
    <cellStyle name="Comma 17 4 2 2 9" xfId="8561" xr:uid="{99049A94-A2D0-44E1-8801-D044CE3BFD62}"/>
    <cellStyle name="Comma 17 4 2 3" xfId="1649" xr:uid="{1DD55A2D-99E3-4695-80AE-27E50258BC68}"/>
    <cellStyle name="Comma 17 4 2 3 2" xfId="4371" xr:uid="{7FDF7025-239D-4C7F-A3FB-D2ADCE81EE39}"/>
    <cellStyle name="Comma 17 4 2 3 2 2" xfId="9817" xr:uid="{90583E34-D123-497D-8EE7-295655F1A884}"/>
    <cellStyle name="Comma 17 4 2 3 3" xfId="3361" xr:uid="{58A55CFE-A37F-4D3F-ABE1-25D2875276AF}"/>
    <cellStyle name="Comma 17 4 2 3 4" xfId="7295" xr:uid="{F45C33C6-C480-4CFA-9CFB-78F31B79DCD8}"/>
    <cellStyle name="Comma 17 4 2 3 5" xfId="8809" xr:uid="{80D164A3-7770-43C9-B15D-8F04831D2564}"/>
    <cellStyle name="Comma 17 4 2 3 6" xfId="12429" xr:uid="{5538FA54-1D14-4DE5-8FDB-8A2FBDFF9D6B}"/>
    <cellStyle name="Comma 17 4 2 3 7" xfId="14174" xr:uid="{5BA94A1C-87E3-49BA-81D4-A221EAE561E4}"/>
    <cellStyle name="Comma 17 4 2 4" xfId="2157" xr:uid="{58267157-3A5E-4FAF-B90A-730B0411FA37}"/>
    <cellStyle name="Comma 17 4 2 4 2" xfId="3877" xr:uid="{4B2AFFD2-CAA8-44F9-B205-FCFAE250DB63}"/>
    <cellStyle name="Comma 17 4 2 4 3" xfId="7803" xr:uid="{C01FC205-3901-4B3E-8129-1E21164382A7}"/>
    <cellStyle name="Comma 17 4 2 4 4" xfId="9321" xr:uid="{20E3C3D2-2A6C-4AFB-A53B-EC7D7E4BDB95}"/>
    <cellStyle name="Comma 17 4 2 4 5" xfId="12935" xr:uid="{59CE2229-EB84-4DAB-AF78-ED5F13E331A3}"/>
    <cellStyle name="Comma 17 4 2 4 6" xfId="14680" xr:uid="{CEC32834-C1C7-416E-AD1B-D61EEF99BDD7}"/>
    <cellStyle name="Comma 17 4 2 5" xfId="4859" xr:uid="{11B84C4E-3034-4A3D-AF9F-FD4E21A8092C}"/>
    <cellStyle name="Comma 17 4 2 5 2" xfId="10319" xr:uid="{2F56C9C1-3298-41AF-A6BC-C229C1EDF729}"/>
    <cellStyle name="Comma 17 4 2 6" xfId="5347" xr:uid="{C55DCFF1-6DF0-478E-9931-D9791D2E76AF}"/>
    <cellStyle name="Comma 17 4 2 6 2" xfId="10821" xr:uid="{D601BA0B-F7C2-4FDB-8D5A-69C3FF4C9FE3}"/>
    <cellStyle name="Comma 17 4 2 7" xfId="5849" xr:uid="{280083AC-E097-478C-8CE4-62351F1EA7D7}"/>
    <cellStyle name="Comma 17 4 2 7 2" xfId="11323" xr:uid="{1F437B8A-59AB-409C-A099-D638126DE8DD}"/>
    <cellStyle name="Comma 17 4 2 8" xfId="2875" xr:uid="{A5A2B66C-EF04-4BB5-896E-99ABB370FF80}"/>
    <cellStyle name="Comma 17 4 2 9" xfId="6789" xr:uid="{9F8AE8F8-914C-40A0-9309-BCAE6BB8CA79}"/>
    <cellStyle name="Comma 17 4 3" xfId="1267" xr:uid="{A598DDC1-D864-4677-BAFB-FE5DD0FF681B}"/>
    <cellStyle name="Comma 17 4 3 10" xfId="12047" xr:uid="{379BFBA6-B035-4F80-B22E-3897F2043416}"/>
    <cellStyle name="Comma 17 4 3 11" xfId="13792" xr:uid="{A4A293EE-34A5-49E1-9CDF-0C8857FD4D5C}"/>
    <cellStyle name="Comma 17 4 3 2" xfId="1773" xr:uid="{9E9823AC-DC17-4731-8A33-3A048005E932}"/>
    <cellStyle name="Comma 17 4 3 2 2" xfId="4495" xr:uid="{1376DF85-9072-4487-8D41-34CFCCE47E10}"/>
    <cellStyle name="Comma 17 4 3 2 2 2" xfId="9941" xr:uid="{AE013BEB-6C11-4EB9-9B02-336B2E50A5B6}"/>
    <cellStyle name="Comma 17 4 3 2 3" xfId="3485" xr:uid="{CBD5EA96-2D48-454E-9765-595FAB498FA0}"/>
    <cellStyle name="Comma 17 4 3 2 4" xfId="7419" xr:uid="{27472938-6DC5-4EBC-A19F-011CC14F3AED}"/>
    <cellStyle name="Comma 17 4 3 2 5" xfId="8933" xr:uid="{08BCD18F-5D88-43C7-80DC-D8770B0528BA}"/>
    <cellStyle name="Comma 17 4 3 2 6" xfId="12553" xr:uid="{13A64478-F3E5-4B27-925E-A39CC66827BA}"/>
    <cellStyle name="Comma 17 4 3 2 7" xfId="14298" xr:uid="{FA4AA17F-264F-4725-81B3-08135311956E}"/>
    <cellStyle name="Comma 17 4 3 3" xfId="2281" xr:uid="{5B129F82-FE83-4706-9413-F6C635D0D490}"/>
    <cellStyle name="Comma 17 4 3 3 2" xfId="4001" xr:uid="{132B3863-7478-4E7A-84B1-28FB367C93CB}"/>
    <cellStyle name="Comma 17 4 3 3 3" xfId="7927" xr:uid="{BAE57D12-61AE-49D2-B424-5E771494B3AD}"/>
    <cellStyle name="Comma 17 4 3 3 4" xfId="9445" xr:uid="{99473DF8-3B99-4F1B-8577-2668ECBA6565}"/>
    <cellStyle name="Comma 17 4 3 3 5" xfId="13059" xr:uid="{124534C3-BF6A-4849-B93F-33EDEBAE277F}"/>
    <cellStyle name="Comma 17 4 3 3 6" xfId="14804" xr:uid="{7D4D1A07-7193-408F-AA70-746EC755F3AB}"/>
    <cellStyle name="Comma 17 4 3 4" xfId="4975" xr:uid="{74748277-4FAC-4327-9BF5-4D061A9AAE89}"/>
    <cellStyle name="Comma 17 4 3 4 2" xfId="10443" xr:uid="{66D66A22-67CB-4CE9-8FF6-151FBA35BF7C}"/>
    <cellStyle name="Comma 17 4 3 5" xfId="5471" xr:uid="{2B030414-2569-4ACD-9FCC-2546C32C890E}"/>
    <cellStyle name="Comma 17 4 3 5 2" xfId="10945" xr:uid="{73725928-C932-42A2-970F-A3A5570E215C}"/>
    <cellStyle name="Comma 17 4 3 6" xfId="5973" xr:uid="{871E722F-00EF-42ED-A87B-8A4F358B68A9}"/>
    <cellStyle name="Comma 17 4 3 6 2" xfId="11447" xr:uid="{7F281498-8B43-439A-81A6-307C2842A364}"/>
    <cellStyle name="Comma 17 4 3 7" xfId="2993" xr:uid="{BFC5BB11-8720-4F5A-9169-2BE625CDACD4}"/>
    <cellStyle name="Comma 17 4 3 8" xfId="6913" xr:uid="{1D2DAAF9-D816-4A0A-A664-5936B7891B80}"/>
    <cellStyle name="Comma 17 4 3 9" xfId="8437" xr:uid="{9326E6E6-952B-4749-A7FF-4827FF892C12}"/>
    <cellStyle name="Comma 17 4 4" xfId="1525" xr:uid="{F23E7E69-1241-4A36-9184-6E23E93C843E}"/>
    <cellStyle name="Comma 17 4 4 2" xfId="4249" xr:uid="{9B8D4B10-1EF3-4595-A4BD-E0D230C865E7}"/>
    <cellStyle name="Comma 17 4 4 2 2" xfId="9693" xr:uid="{DE35D6BC-CE49-4448-83C0-8F3BC879CCB1}"/>
    <cellStyle name="Comma 17 4 4 3" xfId="3239" xr:uid="{8EB11A19-9EBA-48D3-8C1C-3F6897553FE1}"/>
    <cellStyle name="Comma 17 4 4 4" xfId="7171" xr:uid="{5EF916B2-3946-45AC-B243-4EAFDA4BF4F0}"/>
    <cellStyle name="Comma 17 4 4 5" xfId="8685" xr:uid="{5A92CDD8-DC84-4511-9518-B555C0CCEC17}"/>
    <cellStyle name="Comma 17 4 4 6" xfId="12305" xr:uid="{78A25D59-CC65-459B-8E9C-E5EFAF5B4F9A}"/>
    <cellStyle name="Comma 17 4 4 7" xfId="14050" xr:uid="{7F6BA46B-E1EE-43AF-8431-4F21F1B685EB}"/>
    <cellStyle name="Comma 17 4 5" xfId="2033" xr:uid="{4A55AB08-6227-4B70-A4D2-75DB725092A7}"/>
    <cellStyle name="Comma 17 4 5 2" xfId="3753" xr:uid="{FA448F15-FC1D-4487-818C-BAB1B37164F4}"/>
    <cellStyle name="Comma 17 4 5 3" xfId="7679" xr:uid="{FBA5A6F1-7962-451F-B2E7-54FB3C3DE01F}"/>
    <cellStyle name="Comma 17 4 5 4" xfId="9197" xr:uid="{EE201525-69FF-45ED-80AF-1A656701CA30}"/>
    <cellStyle name="Comma 17 4 5 5" xfId="12811" xr:uid="{505C5058-7DD7-4686-AE70-F3C254D516E4}"/>
    <cellStyle name="Comma 17 4 5 6" xfId="14556" xr:uid="{5FD8571F-C71F-4A75-8520-205183C51787}"/>
    <cellStyle name="Comma 17 4 6" xfId="4747" xr:uid="{65A10C32-9F7D-4F59-A17B-A9F6C955B71C}"/>
    <cellStyle name="Comma 17 4 6 2" xfId="10195" xr:uid="{1552BE53-100B-4F1F-A370-FE05EBF1AC11}"/>
    <cellStyle name="Comma 17 4 7" xfId="5223" xr:uid="{3DF1B765-1C22-45C1-8475-97321522A600}"/>
    <cellStyle name="Comma 17 4 7 2" xfId="10697" xr:uid="{A551B275-A683-4CAE-8BFC-FB5CFC036531}"/>
    <cellStyle name="Comma 17 4 8" xfId="5725" xr:uid="{7F2C61EA-A8DE-4818-B5B5-4AB1D932E30B}"/>
    <cellStyle name="Comma 17 4 8 2" xfId="11199" xr:uid="{41EEFE56-0D15-4683-849B-A31D24299D28}"/>
    <cellStyle name="Comma 17 4 9" xfId="2763" xr:uid="{5B8A00AD-B50F-42FC-BFB2-726FEB87215C}"/>
    <cellStyle name="Comma 17 5" xfId="1081" xr:uid="{F08C17E1-2F74-4D5F-BAFA-5DAE0EA36ACD}"/>
    <cellStyle name="Comma 17 5 10" xfId="8251" xr:uid="{0D233696-C1DD-47BC-BAFE-99E5030EB665}"/>
    <cellStyle name="Comma 17 5 11" xfId="11861" xr:uid="{249FE30C-8C17-4C9F-81EE-298E26584E2A}"/>
    <cellStyle name="Comma 17 5 12" xfId="13606" xr:uid="{B1B82342-EEF4-49FF-AE80-34702BBC07A2}"/>
    <cellStyle name="Comma 17 5 2" xfId="1329" xr:uid="{74629D53-1053-4ADF-98BC-28D2EC361995}"/>
    <cellStyle name="Comma 17 5 2 10" xfId="12109" xr:uid="{4A3A6AE6-7FB5-4497-AEFB-0D27697BB5D1}"/>
    <cellStyle name="Comma 17 5 2 11" xfId="13854" xr:uid="{E7A252BE-3FFA-4044-B860-DF94AE33375B}"/>
    <cellStyle name="Comma 17 5 2 2" xfId="1835" xr:uid="{E05B9BF1-8DE9-4F0E-A95B-8824EDED0653}"/>
    <cellStyle name="Comma 17 5 2 2 2" xfId="4557" xr:uid="{FBC8708D-33A7-488A-8774-B512F25B6EE2}"/>
    <cellStyle name="Comma 17 5 2 2 2 2" xfId="10003" xr:uid="{D44317BC-AA57-4D6C-B1B3-5CF265849785}"/>
    <cellStyle name="Comma 17 5 2 2 3" xfId="3547" xr:uid="{59D38400-8FDD-49BC-8C73-15B63E74981E}"/>
    <cellStyle name="Comma 17 5 2 2 4" xfId="7481" xr:uid="{C1FD8540-8E3A-4A04-9755-15351C1838E5}"/>
    <cellStyle name="Comma 17 5 2 2 5" xfId="8995" xr:uid="{EED21731-B35C-41DC-9426-8862A59D4ADA}"/>
    <cellStyle name="Comma 17 5 2 2 6" xfId="12615" xr:uid="{89DD5607-FCAB-4DAE-810D-DACACD856682}"/>
    <cellStyle name="Comma 17 5 2 2 7" xfId="14360" xr:uid="{76F848D4-4FEC-424D-B99B-B47CC3F1E90A}"/>
    <cellStyle name="Comma 17 5 2 3" xfId="2343" xr:uid="{C4A13E9A-60C3-406F-84B2-17EB1FCC41EB}"/>
    <cellStyle name="Comma 17 5 2 3 2" xfId="4063" xr:uid="{B68F70F2-01B0-434B-8414-640968F8D76E}"/>
    <cellStyle name="Comma 17 5 2 3 3" xfId="7989" xr:uid="{9D74A865-AB1E-4D7D-A4A8-A80F845A0F9F}"/>
    <cellStyle name="Comma 17 5 2 3 4" xfId="9507" xr:uid="{7EC84024-FA36-4BB7-AB17-90E613BCFB98}"/>
    <cellStyle name="Comma 17 5 2 3 5" xfId="13121" xr:uid="{5F0BB00F-541C-4CFC-AB5A-EE88BC7285FE}"/>
    <cellStyle name="Comma 17 5 2 3 6" xfId="14866" xr:uid="{9BC38FBA-23D9-42B1-B57B-6EA9E9E524BE}"/>
    <cellStyle name="Comma 17 5 2 4" xfId="5035" xr:uid="{08131E95-150D-4E58-BD4A-DC246BB6F72D}"/>
    <cellStyle name="Comma 17 5 2 4 2" xfId="10505" xr:uid="{47B9F4E8-BACD-4431-A21C-41E34CC62027}"/>
    <cellStyle name="Comma 17 5 2 5" xfId="5533" xr:uid="{D7004DF6-AE0F-411A-8375-0030D7C8A423}"/>
    <cellStyle name="Comma 17 5 2 5 2" xfId="11007" xr:uid="{0743F346-8646-4496-9FDE-03BF4CDC01FD}"/>
    <cellStyle name="Comma 17 5 2 6" xfId="6035" xr:uid="{19E56F58-44B3-4DF8-8F9D-FD3FB6F002A0}"/>
    <cellStyle name="Comma 17 5 2 6 2" xfId="11509" xr:uid="{426A3E0F-96D6-49C0-9D41-4120ACBE2A5B}"/>
    <cellStyle name="Comma 17 5 2 7" xfId="3053" xr:uid="{4388BD1F-17B2-4CD2-8993-D8FAF0DF8347}"/>
    <cellStyle name="Comma 17 5 2 8" xfId="6975" xr:uid="{FB0ED269-2F15-49B2-86C8-CE5DDDBBC7CF}"/>
    <cellStyle name="Comma 17 5 2 9" xfId="8499" xr:uid="{981091C4-8A45-41EB-B044-F83F33F3A5D9}"/>
    <cellStyle name="Comma 17 5 3" xfId="1587" xr:uid="{8222ACD1-BE85-425F-9835-51A039D63E77}"/>
    <cellStyle name="Comma 17 5 3 2" xfId="4309" xr:uid="{F04F1E76-B84E-4A27-A075-031898561455}"/>
    <cellStyle name="Comma 17 5 3 2 2" xfId="9755" xr:uid="{3CF857E4-45B7-4ACB-BFA9-AE091511A029}"/>
    <cellStyle name="Comma 17 5 3 3" xfId="3299" xr:uid="{5B4E5550-D1CE-42E8-86CB-5AE792ED1BE5}"/>
    <cellStyle name="Comma 17 5 3 4" xfId="7233" xr:uid="{5B9E6F12-DB88-4453-810A-F27FEB3C5BC5}"/>
    <cellStyle name="Comma 17 5 3 5" xfId="8747" xr:uid="{ADD017E1-036C-4FE0-98B5-691F89F0EF6E}"/>
    <cellStyle name="Comma 17 5 3 6" xfId="12367" xr:uid="{FE4BBBA7-BA85-4876-A70D-28273E2F0832}"/>
    <cellStyle name="Comma 17 5 3 7" xfId="14112" xr:uid="{9A426E33-6778-4D70-BBCD-AC72C5D447C7}"/>
    <cellStyle name="Comma 17 5 4" xfId="2095" xr:uid="{B8B37D7E-1C07-41E5-A5A1-1CBF7C7FC46C}"/>
    <cellStyle name="Comma 17 5 4 2" xfId="3815" xr:uid="{42FA053C-0D96-42B9-8FAF-E51BC2200C74}"/>
    <cellStyle name="Comma 17 5 4 3" xfId="7741" xr:uid="{4D87A2BD-C9D9-4539-B219-E7DC20529FC3}"/>
    <cellStyle name="Comma 17 5 4 4" xfId="9259" xr:uid="{985421A5-8FA8-4AD9-AE0C-361415727435}"/>
    <cellStyle name="Comma 17 5 4 5" xfId="12873" xr:uid="{1ED274FE-F320-4D69-A475-C1B209C2A998}"/>
    <cellStyle name="Comma 17 5 4 6" xfId="14618" xr:uid="{8AD3E1C5-75C2-4DB2-973C-F1646969BF29}"/>
    <cellStyle name="Comma 17 5 5" xfId="4803" xr:uid="{95CFCFAA-37AD-47CE-843F-D66F6A3B80BC}"/>
    <cellStyle name="Comma 17 5 5 2" xfId="10257" xr:uid="{9CB5363B-4624-46FE-87A7-9E72046599AD}"/>
    <cellStyle name="Comma 17 5 6" xfId="5285" xr:uid="{744A02D4-E092-4D19-A3CF-CA4971BE2209}"/>
    <cellStyle name="Comma 17 5 6 2" xfId="10759" xr:uid="{1D36250F-C81E-4DAD-A918-D67B62757F83}"/>
    <cellStyle name="Comma 17 5 7" xfId="5787" xr:uid="{52F889C0-B8E0-43CA-AED9-7FE67F44E17E}"/>
    <cellStyle name="Comma 17 5 7 2" xfId="11261" xr:uid="{30785F18-A9FA-44B7-9CC8-2796810363DA}"/>
    <cellStyle name="Comma 17 5 8" xfId="2819" xr:uid="{609083B1-567F-4E7D-94A0-68B21DCCA665}"/>
    <cellStyle name="Comma 17 5 9" xfId="6727" xr:uid="{BC38BD09-9E10-46D9-A340-A108937D5CDD}"/>
    <cellStyle name="Comma 17 6" xfId="1205" xr:uid="{0F9527EF-3C68-41B7-ACDC-77630A2B4E89}"/>
    <cellStyle name="Comma 17 6 10" xfId="11985" xr:uid="{A4D517D7-D4F9-4D8C-A34E-BAFAA522EBE4}"/>
    <cellStyle name="Comma 17 6 11" xfId="13730" xr:uid="{A50C00A5-177D-4C67-800C-357D8C43B43F}"/>
    <cellStyle name="Comma 17 6 2" xfId="1711" xr:uid="{7AD1744D-1E39-45E2-87C3-8B526BBBCCDE}"/>
    <cellStyle name="Comma 17 6 2 2" xfId="4433" xr:uid="{3AE03F3A-E0FE-4635-9B55-38C126ED5E47}"/>
    <cellStyle name="Comma 17 6 2 2 2" xfId="9879" xr:uid="{A40A6BF7-70EA-4AE4-A859-47B6B7B79FB4}"/>
    <cellStyle name="Comma 17 6 2 3" xfId="3423" xr:uid="{719D39D1-F158-4869-9171-0693AD160FC3}"/>
    <cellStyle name="Comma 17 6 2 4" xfId="7357" xr:uid="{4B9E75FB-5222-4D02-B289-3173CF69D9EB}"/>
    <cellStyle name="Comma 17 6 2 5" xfId="8871" xr:uid="{0AC46509-0AD1-4FA1-A244-348970786190}"/>
    <cellStyle name="Comma 17 6 2 6" xfId="12491" xr:uid="{F9EB03A2-C91F-428F-B118-1C793A6440AD}"/>
    <cellStyle name="Comma 17 6 2 7" xfId="14236" xr:uid="{AA2E691D-D90F-40CE-BF67-95362FED37B1}"/>
    <cellStyle name="Comma 17 6 3" xfId="2219" xr:uid="{BB0149E5-4878-400B-A36D-F9445EFA8786}"/>
    <cellStyle name="Comma 17 6 3 2" xfId="3939" xr:uid="{348BE5C9-D732-4DAE-82B5-056EDBC77C28}"/>
    <cellStyle name="Comma 17 6 3 3" xfId="7865" xr:uid="{44D9660B-8843-4484-9490-B1A082E8C2D0}"/>
    <cellStyle name="Comma 17 6 3 4" xfId="9383" xr:uid="{704A5796-520C-4A73-B6E5-FDFDBA60680A}"/>
    <cellStyle name="Comma 17 6 3 5" xfId="12997" xr:uid="{58FDC11F-4A18-48DC-8439-207D675DA7F5}"/>
    <cellStyle name="Comma 17 6 3 6" xfId="14742" xr:uid="{C9332F96-B7A6-4E12-96D5-4445C7252230}"/>
    <cellStyle name="Comma 17 6 4" xfId="4919" xr:uid="{29A081FA-47BF-4199-A841-2C077E2DEC55}"/>
    <cellStyle name="Comma 17 6 4 2" xfId="10381" xr:uid="{8D307203-BEAB-4B26-8239-2B174FC75E1D}"/>
    <cellStyle name="Comma 17 6 5" xfId="5409" xr:uid="{18AAA7C3-5064-4D6B-B823-0A1762B86F95}"/>
    <cellStyle name="Comma 17 6 5 2" xfId="10883" xr:uid="{D702DA38-910C-45C2-A713-502ABF5E1B04}"/>
    <cellStyle name="Comma 17 6 6" xfId="5911" xr:uid="{75AE37D2-22AC-49D2-A06F-C0BFF20F3C43}"/>
    <cellStyle name="Comma 17 6 6 2" xfId="11385" xr:uid="{1D6D65F7-09F0-4807-A4FE-E5EED805FC43}"/>
    <cellStyle name="Comma 17 6 7" xfId="2935" xr:uid="{2353F1CA-1419-4CA8-A805-DA506D3F43D3}"/>
    <cellStyle name="Comma 17 6 8" xfId="6851" xr:uid="{FB6746B5-7E0D-42BE-ACF1-7A111146540F}"/>
    <cellStyle name="Comma 17 6 9" xfId="8375" xr:uid="{A9BD0DE6-112C-4490-9494-03BD3DC29E22}"/>
    <cellStyle name="Comma 17 7" xfId="1463" xr:uid="{317230D2-5E7E-4432-B191-741A66A122CD}"/>
    <cellStyle name="Comma 17 7 2" xfId="4187" xr:uid="{D847AB78-5334-4AC0-9774-F3950D07F6B6}"/>
    <cellStyle name="Comma 17 7 2 2" xfId="9631" xr:uid="{734F948A-3413-4AE7-A46B-1C53D9828FFE}"/>
    <cellStyle name="Comma 17 7 3" xfId="3177" xr:uid="{6F0004B7-FE4D-4AE0-964C-6B1ACA020934}"/>
    <cellStyle name="Comma 17 7 4" xfId="7109" xr:uid="{73365821-443F-4F36-A85F-633B24AA4468}"/>
    <cellStyle name="Comma 17 7 5" xfId="8623" xr:uid="{CDCC20B9-53D5-408A-8E85-8858A1331D38}"/>
    <cellStyle name="Comma 17 7 6" xfId="12243" xr:uid="{AE80E8F5-BA6A-4176-B642-4443491ADCEF}"/>
    <cellStyle name="Comma 17 7 7" xfId="13988" xr:uid="{494EF004-EAE6-46A0-A3CC-00768C24B755}"/>
    <cellStyle name="Comma 17 8" xfId="1970" xr:uid="{36B05958-7B61-4687-A17A-C444A23852E5}"/>
    <cellStyle name="Comma 17 8 2" xfId="3691" xr:uid="{D758BB36-BB44-488E-B9E6-1582848A8DEF}"/>
    <cellStyle name="Comma 17 8 3" xfId="7616" xr:uid="{6D752FC8-62DF-472C-A7E2-6CF286DDDAD6}"/>
    <cellStyle name="Comma 17 8 4" xfId="9135" xr:uid="{289ED0F2-780E-402D-AC44-9BFE725201DE}"/>
    <cellStyle name="Comma 17 8 5" xfId="12749" xr:uid="{F1B75D5C-A912-4C3D-9F93-E8C3D40AE756}"/>
    <cellStyle name="Comma 17 8 6" xfId="14494" xr:uid="{4036B5F5-D5D8-45D2-A76A-14958FBD5B3A}"/>
    <cellStyle name="Comma 17 9" xfId="4687" xr:uid="{5604EC8F-3EE3-4E9B-A2AC-164ED0CA5E3D}"/>
    <cellStyle name="Comma 17 9 2" xfId="10133" xr:uid="{9BC6B7A3-3FB5-4057-B29A-FCFADF03C890}"/>
    <cellStyle name="Comma 18" xfId="738" xr:uid="{7F081C6E-F7E4-4D18-B32E-81DDA391DA0B}"/>
    <cellStyle name="Comma 19" xfId="564" xr:uid="{D2EB21EB-2014-4C9A-93C3-E7D050EFD502}"/>
    <cellStyle name="Comma 2" xfId="31" xr:uid="{00000000-0005-0000-0000-00008B000000}"/>
    <cellStyle name="Comma 2 10" xfId="6478" xr:uid="{F56A6A6F-279A-4BE1-91F3-74859E097010}"/>
    <cellStyle name="Comma 2 10 2" xfId="13454" xr:uid="{B718E29D-536D-4E79-8956-7CFA0D9FA000}"/>
    <cellStyle name="Comma 2 11" xfId="11709" xr:uid="{36684400-CB2F-4284-8222-B266CADFF891}"/>
    <cellStyle name="Comma 2 12" xfId="508" xr:uid="{A334F4AE-C5A5-4BD8-AEA9-537A38267BC8}"/>
    <cellStyle name="Comma 2 13" xfId="2470" xr:uid="{8755F97B-6530-46EE-BB71-89952FFF3090}"/>
    <cellStyle name="Comma 2 2" xfId="32" xr:uid="{00000000-0005-0000-0000-00008C000000}"/>
    <cellStyle name="Comma 2 2 2" xfId="33" xr:uid="{00000000-0005-0000-0000-00008D000000}"/>
    <cellStyle name="Comma 2 2 2 2" xfId="127" xr:uid="{00000000-0005-0000-0000-00008E000000}"/>
    <cellStyle name="Comma 2 2 2 2 2" xfId="297" xr:uid="{00000000-0005-0000-0000-00008F000000}"/>
    <cellStyle name="Comma 2 2 2 3" xfId="237" xr:uid="{00000000-0005-0000-0000-000090000000}"/>
    <cellStyle name="Comma 2 2 3" xfId="34" xr:uid="{00000000-0005-0000-0000-000091000000}"/>
    <cellStyle name="Comma 2 2 3 2" xfId="128" xr:uid="{00000000-0005-0000-0000-000092000000}"/>
    <cellStyle name="Comma 2 2 3 2 2" xfId="298" xr:uid="{00000000-0005-0000-0000-000093000000}"/>
    <cellStyle name="Comma 2 2 3 3" xfId="238" xr:uid="{00000000-0005-0000-0000-000094000000}"/>
    <cellStyle name="Comma 2 2 3 3 2" xfId="2519" xr:uid="{C1A683ED-3911-4DFE-B94C-EA959D147823}"/>
    <cellStyle name="Comma 2 2 3 3 2 2" xfId="6623" xr:uid="{6165924E-441A-425D-99C7-BEE11C0E333C}"/>
    <cellStyle name="Comma 2 2 3 3 3" xfId="972" xr:uid="{3E02D9EC-D587-422A-B951-1B37201968F8}"/>
    <cellStyle name="Comma 2 2 4" xfId="35" xr:uid="{00000000-0005-0000-0000-000095000000}"/>
    <cellStyle name="Comma 2 2 4 2" xfId="129" xr:uid="{00000000-0005-0000-0000-000096000000}"/>
    <cellStyle name="Comma 2 2 4 2 2" xfId="299" xr:uid="{00000000-0005-0000-0000-000097000000}"/>
    <cellStyle name="Comma 2 2 4 3" xfId="239" xr:uid="{00000000-0005-0000-0000-000098000000}"/>
    <cellStyle name="Comma 2 2 5" xfId="112" xr:uid="{00000000-0005-0000-0000-000099000000}"/>
    <cellStyle name="Comma 2 2 5 2" xfId="3682" xr:uid="{6E4D228C-6CD8-4A4A-A1BB-70419815FC53}"/>
    <cellStyle name="Comma 2 2 6" xfId="739" xr:uid="{328D4D9F-D61E-451C-950B-1A58CC53E8E4}"/>
    <cellStyle name="Comma 2 3" xfId="36" xr:uid="{00000000-0005-0000-0000-00009A000000}"/>
    <cellStyle name="Comma 2 3 2" xfId="37" xr:uid="{00000000-0005-0000-0000-00009B000000}"/>
    <cellStyle name="Comma 2 3 2 2" xfId="130" xr:uid="{00000000-0005-0000-0000-00009C000000}"/>
    <cellStyle name="Comma 2 3 2 2 2" xfId="300" xr:uid="{00000000-0005-0000-0000-00009D000000}"/>
    <cellStyle name="Comma 2 3 2 3" xfId="241" xr:uid="{00000000-0005-0000-0000-00009E000000}"/>
    <cellStyle name="Comma 2 3 3" xfId="38" xr:uid="{00000000-0005-0000-0000-00009F000000}"/>
    <cellStyle name="Comma 2 3 3 2" xfId="131" xr:uid="{00000000-0005-0000-0000-0000A0000000}"/>
    <cellStyle name="Comma 2 3 3 2 2" xfId="301" xr:uid="{00000000-0005-0000-0000-0000A1000000}"/>
    <cellStyle name="Comma 2 3 3 3" xfId="242" xr:uid="{00000000-0005-0000-0000-0000A2000000}"/>
    <cellStyle name="Comma 2 3 4" xfId="39" xr:uid="{00000000-0005-0000-0000-0000A3000000}"/>
    <cellStyle name="Comma 2 3 4 2" xfId="132" xr:uid="{00000000-0005-0000-0000-0000A4000000}"/>
    <cellStyle name="Comma 2 3 4 2 2" xfId="302" xr:uid="{00000000-0005-0000-0000-0000A5000000}"/>
    <cellStyle name="Comma 2 3 4 3" xfId="243" xr:uid="{00000000-0005-0000-0000-0000A6000000}"/>
    <cellStyle name="Comma 2 3 5" xfId="240" xr:uid="{00000000-0005-0000-0000-0000A7000000}"/>
    <cellStyle name="Comma 2 4" xfId="40" xr:uid="{00000000-0005-0000-0000-0000A8000000}"/>
    <cellStyle name="Comma 2 4 2" xfId="133" xr:uid="{00000000-0005-0000-0000-0000A9000000}"/>
    <cellStyle name="Comma 2 4 2 2" xfId="303" xr:uid="{00000000-0005-0000-0000-0000AA000000}"/>
    <cellStyle name="Comma 2 4 3" xfId="244" xr:uid="{00000000-0005-0000-0000-0000AB000000}"/>
    <cellStyle name="Comma 2 4 3 2" xfId="2520" xr:uid="{93D3E025-84AB-491A-9630-9898B250513E}"/>
    <cellStyle name="Comma 2 4 3 2 2" xfId="6572" xr:uid="{3BF0E858-A498-48FD-9134-D2DA1CA8D460}"/>
    <cellStyle name="Comma 2 4 3 3" xfId="740" xr:uid="{400CF9DE-AA8F-46A9-B591-FCF99639A63E}"/>
    <cellStyle name="Comma 2 5" xfId="41" xr:uid="{00000000-0005-0000-0000-0000AC000000}"/>
    <cellStyle name="Comma 2 5 2" xfId="134" xr:uid="{00000000-0005-0000-0000-0000AD000000}"/>
    <cellStyle name="Comma 2 5 2 2" xfId="304" xr:uid="{00000000-0005-0000-0000-0000AE000000}"/>
    <cellStyle name="Comma 2 5 3" xfId="245" xr:uid="{00000000-0005-0000-0000-0000AF000000}"/>
    <cellStyle name="Comma 2 6" xfId="42" xr:uid="{00000000-0005-0000-0000-0000B0000000}"/>
    <cellStyle name="Comma 2 6 2" xfId="135" xr:uid="{00000000-0005-0000-0000-0000B1000000}"/>
    <cellStyle name="Comma 2 6 2 2" xfId="305" xr:uid="{00000000-0005-0000-0000-0000B2000000}"/>
    <cellStyle name="Comma 2 6 3" xfId="246" xr:uid="{00000000-0005-0000-0000-0000B3000000}"/>
    <cellStyle name="Comma 2 7" xfId="101" xr:uid="{00000000-0005-0000-0000-0000B4000000}"/>
    <cellStyle name="Comma 2 7 2" xfId="3678" xr:uid="{BBC9ED03-648D-477A-8AD5-D0F87D2512E6}"/>
    <cellStyle name="Comma 2 8" xfId="110" xr:uid="{00000000-0005-0000-0000-0000B5000000}"/>
    <cellStyle name="Comma 2 8 2" xfId="287" xr:uid="{00000000-0005-0000-0000-0000B6000000}"/>
    <cellStyle name="Comma 2 9" xfId="553" xr:uid="{FF260726-AA57-4F7C-8FED-9EF3155CCE39}"/>
    <cellStyle name="Comma 2 9 2" xfId="6517" xr:uid="{38BF18CF-9F2B-4A99-BA15-D9C93F62A583}"/>
    <cellStyle name="Comma 2 9 3" xfId="6277" xr:uid="{64B5336D-E865-42BD-AF7C-362A855A73CE}"/>
    <cellStyle name="Comma 2_Allocators" xfId="741" xr:uid="{B45AA03A-A112-409B-9316-DADB5CA4FB03}"/>
    <cellStyle name="Comma 20" xfId="742" xr:uid="{93F80438-2C89-4994-91C8-418E439E105C}"/>
    <cellStyle name="Comma 20 10" xfId="5166" xr:uid="{589BB15C-0441-47EF-B4E7-F7212697A8C7}"/>
    <cellStyle name="Comma 20 10 2" xfId="10636" xr:uid="{93C4A632-DE0A-4D74-BB9C-61D4F8116C0B}"/>
    <cellStyle name="Comma 20 11" xfId="5664" xr:uid="{F0BC8A75-104D-4C62-8F77-1037AB4A5A9F}"/>
    <cellStyle name="Comma 20 11 2" xfId="11138" xr:uid="{AEF2EE83-0B19-4B73-AAC7-F8D2A116739E}"/>
    <cellStyle name="Comma 20 12" xfId="2496" xr:uid="{1FB0FFF6-21F5-439D-B35E-A5BC487ACD5D}"/>
    <cellStyle name="Comma 20 13" xfId="6573" xr:uid="{9453C670-E87D-49CF-B598-0EF49E9E8FF3}"/>
    <cellStyle name="Comma 20 14" xfId="8128" xr:uid="{A51CF30A-ACAE-45F6-B950-BE1C0E8BA388}"/>
    <cellStyle name="Comma 20 15" xfId="11738" xr:uid="{A2D1BD32-7994-42DB-AF90-338A4E19E90F}"/>
    <cellStyle name="Comma 20 16" xfId="13483" xr:uid="{6B533F48-D1F1-4D60-95D3-938315BA1957}"/>
    <cellStyle name="Comma 20 2" xfId="973" xr:uid="{ACD6BC8A-728C-408A-A90D-FF093D3A5F15}"/>
    <cellStyle name="Comma 20 2 10" xfId="2728" xr:uid="{D98BE45E-1E88-4D35-83DD-FE8F65471930}"/>
    <cellStyle name="Comma 20 2 11" xfId="6624" xr:uid="{3CAF3AFE-FBCA-490E-BB04-CE435C3B6A8A}"/>
    <cellStyle name="Comma 20 2 12" xfId="8150" xr:uid="{2452B125-CFAE-4B78-AEAB-051417066B52}"/>
    <cellStyle name="Comma 20 2 13" xfId="11760" xr:uid="{FE75EC29-01BF-4337-BB63-28B452A0822A}"/>
    <cellStyle name="Comma 20 2 14" xfId="13505" xr:uid="{B2217B1D-7635-441D-9B9B-F339DF0A24AE}"/>
    <cellStyle name="Comma 20 2 2" xfId="1023" xr:uid="{76E249F7-41AD-434F-99EB-A33CB3028821}"/>
    <cellStyle name="Comma 20 2 2 10" xfId="6669" xr:uid="{89055DB7-A957-4042-8823-44777D4A08B2}"/>
    <cellStyle name="Comma 20 2 2 11" xfId="8193" xr:uid="{E61D2E84-63BA-4887-8BD9-976D8EB96746}"/>
    <cellStyle name="Comma 20 2 2 12" xfId="11803" xr:uid="{0C3CCDC2-B12A-442D-9035-77CD7DE25C88}"/>
    <cellStyle name="Comma 20 2 2 13" xfId="13548" xr:uid="{F6396C82-B22B-4ADE-A233-3365D0327C20}"/>
    <cellStyle name="Comma 20 2 2 2" xfId="1147" xr:uid="{21450170-20CE-42A7-A262-C4A45BC6368B}"/>
    <cellStyle name="Comma 20 2 2 2 10" xfId="8317" xr:uid="{9A8BEEA9-62C0-495D-BB4F-F70824DE5E6E}"/>
    <cellStyle name="Comma 20 2 2 2 11" xfId="11927" xr:uid="{76A1029B-99D9-40BC-9394-FFB8D36A18DB}"/>
    <cellStyle name="Comma 20 2 2 2 12" xfId="13672" xr:uid="{924B6F19-AC9E-4000-AE3B-76F25D70EE34}"/>
    <cellStyle name="Comma 20 2 2 2 2" xfId="1395" xr:uid="{7FC01D69-D39F-425B-8F11-993A1DE557E4}"/>
    <cellStyle name="Comma 20 2 2 2 2 10" xfId="12175" xr:uid="{B71AB0B8-F102-46B7-B5EC-98807EBB2B70}"/>
    <cellStyle name="Comma 20 2 2 2 2 11" xfId="13920" xr:uid="{9E2FEEB9-358F-480F-8253-7781386278B7}"/>
    <cellStyle name="Comma 20 2 2 2 2 2" xfId="1901" xr:uid="{22F0F167-16D0-430C-B897-6224B2A7BFD2}"/>
    <cellStyle name="Comma 20 2 2 2 2 2 2" xfId="4623" xr:uid="{7DB9CCAD-77E4-4D38-A1D3-FD521DEFE0B4}"/>
    <cellStyle name="Comma 20 2 2 2 2 2 2 2" xfId="10069" xr:uid="{0626F2A8-80FF-44CB-BF82-1610248C421E}"/>
    <cellStyle name="Comma 20 2 2 2 2 2 3" xfId="3613" xr:uid="{277CBD31-D516-4497-98D7-D942BD49F402}"/>
    <cellStyle name="Comma 20 2 2 2 2 2 4" xfId="7547" xr:uid="{C677E1AB-BBA9-4E8C-B2AC-4C74345C65EC}"/>
    <cellStyle name="Comma 20 2 2 2 2 2 5" xfId="9061" xr:uid="{208C2A2D-5CA2-408C-90A3-4FB60910C9FE}"/>
    <cellStyle name="Comma 20 2 2 2 2 2 6" xfId="12681" xr:uid="{EF6776F6-1F0D-4D37-816F-EE4387792701}"/>
    <cellStyle name="Comma 20 2 2 2 2 2 7" xfId="14426" xr:uid="{8351A694-52BA-4AD6-A035-1FF051E7FF2E}"/>
    <cellStyle name="Comma 20 2 2 2 2 3" xfId="2409" xr:uid="{CE339AA8-AB1E-46D0-9BD0-353B613FC8EB}"/>
    <cellStyle name="Comma 20 2 2 2 2 3 2" xfId="4129" xr:uid="{171C3A75-DB1D-49B0-8DD9-8287413E43CE}"/>
    <cellStyle name="Comma 20 2 2 2 2 3 3" xfId="8055" xr:uid="{27DB0446-4ECE-451E-BD16-298985B9A8E2}"/>
    <cellStyle name="Comma 20 2 2 2 2 3 4" xfId="9573" xr:uid="{4400E014-BC1D-4FB7-9DDE-535C45525079}"/>
    <cellStyle name="Comma 20 2 2 2 2 3 5" xfId="13187" xr:uid="{B551232A-FA3F-4802-B12B-4980007D1F61}"/>
    <cellStyle name="Comma 20 2 2 2 2 3 6" xfId="14932" xr:uid="{C4289726-0C79-44EC-A777-DF1A334F7B68}"/>
    <cellStyle name="Comma 20 2 2 2 2 4" xfId="5101" xr:uid="{7C2D3015-79F6-4B01-A3EE-2CC21F6D6613}"/>
    <cellStyle name="Comma 20 2 2 2 2 4 2" xfId="10571" xr:uid="{38E75BE0-5F61-451B-977C-14060F15A9F6}"/>
    <cellStyle name="Comma 20 2 2 2 2 5" xfId="5599" xr:uid="{C77803BB-BFBB-4406-9022-882A9E5D065A}"/>
    <cellStyle name="Comma 20 2 2 2 2 5 2" xfId="11073" xr:uid="{04547EA2-BDAB-4857-894B-1E92D287ECE0}"/>
    <cellStyle name="Comma 20 2 2 2 2 6" xfId="6101" xr:uid="{F1FCA84F-4A69-4E21-870A-75F9141DB624}"/>
    <cellStyle name="Comma 20 2 2 2 2 6 2" xfId="11575" xr:uid="{19E470B2-6426-49BC-A56E-687200CFED28}"/>
    <cellStyle name="Comma 20 2 2 2 2 7" xfId="3119" xr:uid="{7F32B15D-482E-4EBF-8DC8-9EDDF53AEA96}"/>
    <cellStyle name="Comma 20 2 2 2 2 8" xfId="7041" xr:uid="{7D1DFD9D-7472-4B83-94D3-D2E4E91CFEAE}"/>
    <cellStyle name="Comma 20 2 2 2 2 9" xfId="8565" xr:uid="{F78754E8-FFE8-4ED0-9ADA-60542078D04F}"/>
    <cellStyle name="Comma 20 2 2 2 3" xfId="1653" xr:uid="{0D646F4A-E625-4B7E-A1AD-D88A4B74DFB9}"/>
    <cellStyle name="Comma 20 2 2 2 3 2" xfId="4375" xr:uid="{3E655958-14C9-4E9F-95C8-687176B35359}"/>
    <cellStyle name="Comma 20 2 2 2 3 2 2" xfId="9821" xr:uid="{6D228ECD-B8E2-40A5-9EAD-A93372ED9B2A}"/>
    <cellStyle name="Comma 20 2 2 2 3 3" xfId="3365" xr:uid="{A7210B53-531B-46AF-BA42-3108609C83B7}"/>
    <cellStyle name="Comma 20 2 2 2 3 4" xfId="7299" xr:uid="{1F8B34E7-085F-49B4-BF16-C397B97CD096}"/>
    <cellStyle name="Comma 20 2 2 2 3 5" xfId="8813" xr:uid="{EDC786CB-5288-4DE2-ACD3-1079E631A597}"/>
    <cellStyle name="Comma 20 2 2 2 3 6" xfId="12433" xr:uid="{338D20A9-1F2F-4349-9EEA-062571A1D60A}"/>
    <cellStyle name="Comma 20 2 2 2 3 7" xfId="14178" xr:uid="{8CFC4975-5CB1-413F-A44A-9F8FD47410D3}"/>
    <cellStyle name="Comma 20 2 2 2 4" xfId="2161" xr:uid="{B4236245-28CF-4442-9611-4AE17F469C56}"/>
    <cellStyle name="Comma 20 2 2 2 4 2" xfId="3881" xr:uid="{60AEF121-C9A0-479A-9B03-CB2D378550C5}"/>
    <cellStyle name="Comma 20 2 2 2 4 3" xfId="7807" xr:uid="{4082EF3A-DEF8-474B-AB12-AFE60ABE0956}"/>
    <cellStyle name="Comma 20 2 2 2 4 4" xfId="9325" xr:uid="{CC3E099D-7AF0-4F27-B9E9-0B39FF8DF6E4}"/>
    <cellStyle name="Comma 20 2 2 2 4 5" xfId="12939" xr:uid="{44E80678-F535-41C1-B264-B066DB8B164C}"/>
    <cellStyle name="Comma 20 2 2 2 4 6" xfId="14684" xr:uid="{A2E4CE22-BFAF-4769-A0F8-AAE0ACB4421F}"/>
    <cellStyle name="Comma 20 2 2 2 5" xfId="4863" xr:uid="{EFD8A0ED-186C-4D05-8DDA-3C3EFED60097}"/>
    <cellStyle name="Comma 20 2 2 2 5 2" xfId="10323" xr:uid="{3600E670-67EF-4D8B-A776-C4217062354C}"/>
    <cellStyle name="Comma 20 2 2 2 6" xfId="5351" xr:uid="{F15B6E8D-F243-4E74-9194-A010874666A0}"/>
    <cellStyle name="Comma 20 2 2 2 6 2" xfId="10825" xr:uid="{81157C04-5A26-4201-AF85-E88E1BB670D6}"/>
    <cellStyle name="Comma 20 2 2 2 7" xfId="5853" xr:uid="{298C0FEF-C904-4F9B-88E6-0CB925C84C37}"/>
    <cellStyle name="Comma 20 2 2 2 7 2" xfId="11327" xr:uid="{0E277576-B285-42BE-972D-B53D7739820D}"/>
    <cellStyle name="Comma 20 2 2 2 8" xfId="2879" xr:uid="{9FE3152F-C5AC-4194-8BC5-6C40A34FD808}"/>
    <cellStyle name="Comma 20 2 2 2 9" xfId="6793" xr:uid="{AF7D4E5E-E009-4FD4-962D-7231AD67D5CB}"/>
    <cellStyle name="Comma 20 2 2 3" xfId="1271" xr:uid="{300AC92C-A634-4AEC-890A-29A7CD2CBEFD}"/>
    <cellStyle name="Comma 20 2 2 3 10" xfId="12051" xr:uid="{52F4537D-5A2D-4807-B087-EFB69D245392}"/>
    <cellStyle name="Comma 20 2 2 3 11" xfId="13796" xr:uid="{6C265756-4BFA-4C28-B88B-147BF9891127}"/>
    <cellStyle name="Comma 20 2 2 3 2" xfId="1777" xr:uid="{5055B651-2C4A-46AA-BFCB-CB799B668444}"/>
    <cellStyle name="Comma 20 2 2 3 2 2" xfId="4499" xr:uid="{2FBCC269-1543-4A52-B3B1-603FA7B039D3}"/>
    <cellStyle name="Comma 20 2 2 3 2 2 2" xfId="9945" xr:uid="{188065A6-97A5-4700-A7E9-7DBCF837FF0C}"/>
    <cellStyle name="Comma 20 2 2 3 2 3" xfId="3489" xr:uid="{35729672-4322-48F9-A473-4912451D84C0}"/>
    <cellStyle name="Comma 20 2 2 3 2 4" xfId="7423" xr:uid="{2412E2C2-53B0-4D19-A0A9-F8D1DD2211E5}"/>
    <cellStyle name="Comma 20 2 2 3 2 5" xfId="8937" xr:uid="{A8468AB5-6C4D-4267-A107-10B44E551D57}"/>
    <cellStyle name="Comma 20 2 2 3 2 6" xfId="12557" xr:uid="{FE15DB90-9644-4951-BE4E-98D7DD095D13}"/>
    <cellStyle name="Comma 20 2 2 3 2 7" xfId="14302" xr:uid="{C091D234-CBAD-4120-B060-1E36023C67C2}"/>
    <cellStyle name="Comma 20 2 2 3 3" xfId="2285" xr:uid="{BB13A528-05DF-42BF-8252-A72D75E33FE2}"/>
    <cellStyle name="Comma 20 2 2 3 3 2" xfId="4005" xr:uid="{A9E364D7-330A-47E2-BA87-D12349DCE455}"/>
    <cellStyle name="Comma 20 2 2 3 3 3" xfId="7931" xr:uid="{1AA9DA16-5AF4-4A50-94AD-3094C7A60500}"/>
    <cellStyle name="Comma 20 2 2 3 3 4" xfId="9449" xr:uid="{13B471E2-303F-4AB9-A20A-00486B96B031}"/>
    <cellStyle name="Comma 20 2 2 3 3 5" xfId="13063" xr:uid="{ECBE8407-983F-4227-A99A-1D3E7D8F62B7}"/>
    <cellStyle name="Comma 20 2 2 3 3 6" xfId="14808" xr:uid="{0512ADEC-C324-46D9-B763-699F1B9AF109}"/>
    <cellStyle name="Comma 20 2 2 3 4" xfId="4979" xr:uid="{021D6F77-BB5E-470F-9517-6775FDBE318C}"/>
    <cellStyle name="Comma 20 2 2 3 4 2" xfId="10447" xr:uid="{0084D362-CE6A-487B-ACD0-E201401811D2}"/>
    <cellStyle name="Comma 20 2 2 3 5" xfId="5475" xr:uid="{76500A30-A31D-4524-8A90-FC7D514757AE}"/>
    <cellStyle name="Comma 20 2 2 3 5 2" xfId="10949" xr:uid="{4223CBFD-DDC7-46CB-BE06-F57CE66711CA}"/>
    <cellStyle name="Comma 20 2 2 3 6" xfId="5977" xr:uid="{6AC87FE7-D47A-4FEA-8507-1447C1BDCE0A}"/>
    <cellStyle name="Comma 20 2 2 3 6 2" xfId="11451" xr:uid="{660EE421-5032-45FD-8336-D05F3DA5E1E1}"/>
    <cellStyle name="Comma 20 2 2 3 7" xfId="2997" xr:uid="{3176754C-2B91-446C-89D5-77DFA58ECCC7}"/>
    <cellStyle name="Comma 20 2 2 3 8" xfId="6917" xr:uid="{11549029-0C9D-4104-99E8-3F772B93230A}"/>
    <cellStyle name="Comma 20 2 2 3 9" xfId="8441" xr:uid="{F14D1528-A47C-4E2A-91D4-C180FB9AAE4D}"/>
    <cellStyle name="Comma 20 2 2 4" xfId="1529" xr:uid="{C2C21C9F-D718-4989-9B56-C70C50DC9F0D}"/>
    <cellStyle name="Comma 20 2 2 4 2" xfId="4253" xr:uid="{04620081-942E-4985-B767-A20F8FC8E007}"/>
    <cellStyle name="Comma 20 2 2 4 2 2" xfId="9697" xr:uid="{0354AEA7-BC6F-4ECE-AA81-ED800F2A14EF}"/>
    <cellStyle name="Comma 20 2 2 4 3" xfId="3243" xr:uid="{CED4FFD2-52C0-4232-8267-5802B01087F5}"/>
    <cellStyle name="Comma 20 2 2 4 4" xfId="7175" xr:uid="{362A3501-D698-4292-A04C-ADE5B82E01C2}"/>
    <cellStyle name="Comma 20 2 2 4 5" xfId="8689" xr:uid="{5FE6462A-F3F1-4FD3-BA88-27161B22F2F5}"/>
    <cellStyle name="Comma 20 2 2 4 6" xfId="12309" xr:uid="{2913CA42-BABA-456F-9E35-B7190249AB1D}"/>
    <cellStyle name="Comma 20 2 2 4 7" xfId="14054" xr:uid="{8E5F9F5A-60D2-4407-846E-D6C0C733988E}"/>
    <cellStyle name="Comma 20 2 2 5" xfId="2037" xr:uid="{87072DCE-2537-4B02-941C-CBC190D87BE6}"/>
    <cellStyle name="Comma 20 2 2 5 2" xfId="3757" xr:uid="{6C6EEAC0-499E-422D-BC69-516D0C5979E3}"/>
    <cellStyle name="Comma 20 2 2 5 3" xfId="7683" xr:uid="{4E5B4FC6-15E3-4158-80AB-34BEEA3C3670}"/>
    <cellStyle name="Comma 20 2 2 5 4" xfId="9201" xr:uid="{856B211A-9AAA-4552-A0BC-EACE41A82A8E}"/>
    <cellStyle name="Comma 20 2 2 5 5" xfId="12815" xr:uid="{90079C3B-E8F5-40F7-9FAB-38EEDC6F3FD7}"/>
    <cellStyle name="Comma 20 2 2 5 6" xfId="14560" xr:uid="{036B7719-78B9-41DB-9036-8BBD36BD4331}"/>
    <cellStyle name="Comma 20 2 2 6" xfId="4751" xr:uid="{C4CDC887-9847-43EE-A302-65AE5427351F}"/>
    <cellStyle name="Comma 20 2 2 6 2" xfId="10199" xr:uid="{FACBB3C9-3375-497A-938D-02CD6B5C2609}"/>
    <cellStyle name="Comma 20 2 2 7" xfId="5227" xr:uid="{15D96805-BC84-4E72-9E91-7A44A338DA5E}"/>
    <cellStyle name="Comma 20 2 2 7 2" xfId="10701" xr:uid="{744347AD-34D3-4663-B797-DB9D00E2E35A}"/>
    <cellStyle name="Comma 20 2 2 8" xfId="5729" xr:uid="{ECBDFCC6-EC5D-498C-9CEF-7420802944B1}"/>
    <cellStyle name="Comma 20 2 2 8 2" xfId="11203" xr:uid="{952C3894-A6C0-4A00-9D77-96383BE88F70}"/>
    <cellStyle name="Comma 20 2 2 9" xfId="2767" xr:uid="{C08961E2-7F23-43AA-A3B2-1312D5EB456F}"/>
    <cellStyle name="Comma 20 2 3" xfId="1104" xr:uid="{D1561864-39BA-40A0-AA92-5BA06B3CA6E6}"/>
    <cellStyle name="Comma 20 2 3 10" xfId="8274" xr:uid="{3145EC77-2FCD-4558-BD22-ACB7A13F0148}"/>
    <cellStyle name="Comma 20 2 3 11" xfId="11884" xr:uid="{EF203E1C-E37D-4078-8460-574C827EDD27}"/>
    <cellStyle name="Comma 20 2 3 12" xfId="13629" xr:uid="{7B30CF8E-CAED-45FE-972D-1D14C98320E4}"/>
    <cellStyle name="Comma 20 2 3 2" xfId="1352" xr:uid="{427AC490-6C35-4F9C-9DA4-5D21146341AF}"/>
    <cellStyle name="Comma 20 2 3 2 10" xfId="12132" xr:uid="{72E466C5-BD18-439F-A17D-3BE1045B8F80}"/>
    <cellStyle name="Comma 20 2 3 2 11" xfId="13877" xr:uid="{876219B8-3A86-4F20-9765-B5734E87FCB2}"/>
    <cellStyle name="Comma 20 2 3 2 2" xfId="1858" xr:uid="{81EB6CDB-4640-4449-AD1B-24C32BB6F4D5}"/>
    <cellStyle name="Comma 20 2 3 2 2 2" xfId="4580" xr:uid="{BCF540D5-4246-442D-8F2D-F4C27F754921}"/>
    <cellStyle name="Comma 20 2 3 2 2 2 2" xfId="10026" xr:uid="{5BC36E82-707D-4A87-8C67-A1001E2F6A52}"/>
    <cellStyle name="Comma 20 2 3 2 2 3" xfId="3570" xr:uid="{3E1A1679-8C16-48FC-B6BA-F78F831D8A42}"/>
    <cellStyle name="Comma 20 2 3 2 2 4" xfId="7504" xr:uid="{3E063AE4-074B-4976-B5C1-841586A605BA}"/>
    <cellStyle name="Comma 20 2 3 2 2 5" xfId="9018" xr:uid="{63D7A448-545A-4AB3-BBCA-C09BCEA6F5BF}"/>
    <cellStyle name="Comma 20 2 3 2 2 6" xfId="12638" xr:uid="{EDE5BAF1-900D-49AC-9FD4-68913C210CD7}"/>
    <cellStyle name="Comma 20 2 3 2 2 7" xfId="14383" xr:uid="{5DE08A8E-81BD-4014-8E80-0E9B524B3D3F}"/>
    <cellStyle name="Comma 20 2 3 2 3" xfId="2366" xr:uid="{6DC07168-62E1-4782-ADF1-500B555D5CA5}"/>
    <cellStyle name="Comma 20 2 3 2 3 2" xfId="4086" xr:uid="{3C0FE21B-50BB-4686-8173-92D35E7EC1A4}"/>
    <cellStyle name="Comma 20 2 3 2 3 3" xfId="8012" xr:uid="{D31E5C5F-B475-458A-BA59-8BE3ABCCE616}"/>
    <cellStyle name="Comma 20 2 3 2 3 4" xfId="9530" xr:uid="{D5D5029A-0259-4AE8-A90C-69D8B6A22602}"/>
    <cellStyle name="Comma 20 2 3 2 3 5" xfId="13144" xr:uid="{DF6D9314-1DBB-4282-B11B-3C34EF49045E}"/>
    <cellStyle name="Comma 20 2 3 2 3 6" xfId="14889" xr:uid="{5A60E7FA-6688-4ED4-968F-8AC31B12E98B}"/>
    <cellStyle name="Comma 20 2 3 2 4" xfId="5058" xr:uid="{EAAE7535-01BC-478E-B1BD-1684DF186C4B}"/>
    <cellStyle name="Comma 20 2 3 2 4 2" xfId="10528" xr:uid="{7F5DB5B8-CF5C-408F-A800-C9C5C1ABE236}"/>
    <cellStyle name="Comma 20 2 3 2 5" xfId="5556" xr:uid="{139B0340-C794-42A8-9F94-BE6CD40997BB}"/>
    <cellStyle name="Comma 20 2 3 2 5 2" xfId="11030" xr:uid="{A36BB314-336E-4678-881D-274A623EFB5C}"/>
    <cellStyle name="Comma 20 2 3 2 6" xfId="6058" xr:uid="{1F36CFB4-5637-47F2-B72D-1F1BDF97A5D4}"/>
    <cellStyle name="Comma 20 2 3 2 6 2" xfId="11532" xr:uid="{EC70A565-479A-482F-AEC3-9D7318638DE7}"/>
    <cellStyle name="Comma 20 2 3 2 7" xfId="3076" xr:uid="{C0BB0A44-082C-42C3-AEC5-BAE2935E9B62}"/>
    <cellStyle name="Comma 20 2 3 2 8" xfId="6998" xr:uid="{26862AEE-3383-45FF-96B4-249C1D46EC2A}"/>
    <cellStyle name="Comma 20 2 3 2 9" xfId="8522" xr:uid="{37D44AA7-47F4-4FC1-B214-C0FBCCF46D4C}"/>
    <cellStyle name="Comma 20 2 3 3" xfId="1610" xr:uid="{5EA1E655-53E4-481E-9706-EC4EFC408717}"/>
    <cellStyle name="Comma 20 2 3 3 2" xfId="4332" xr:uid="{F422101D-0B4E-46A9-A254-BECA9E621CB4}"/>
    <cellStyle name="Comma 20 2 3 3 2 2" xfId="9778" xr:uid="{299C37F3-40C4-4E57-B28E-DF5FD6115D62}"/>
    <cellStyle name="Comma 20 2 3 3 3" xfId="3322" xr:uid="{D79E9ED7-C5B9-4743-B022-2D83EB4425EE}"/>
    <cellStyle name="Comma 20 2 3 3 4" xfId="7256" xr:uid="{E174A198-BF34-4F07-8AFA-B8ECE2DE2645}"/>
    <cellStyle name="Comma 20 2 3 3 5" xfId="8770" xr:uid="{0A4D00CC-E40B-4292-8C62-5D58DAB8635B}"/>
    <cellStyle name="Comma 20 2 3 3 6" xfId="12390" xr:uid="{A67AA022-8028-4C58-BECB-4F8F62D32333}"/>
    <cellStyle name="Comma 20 2 3 3 7" xfId="14135" xr:uid="{05065BA9-C38C-4869-A1FC-2813BA85643F}"/>
    <cellStyle name="Comma 20 2 3 4" xfId="2118" xr:uid="{C5181C6E-2186-42A9-A6AB-1A329EC57AE1}"/>
    <cellStyle name="Comma 20 2 3 4 2" xfId="3838" xr:uid="{2937B4B0-3028-4D36-BCDE-AC9CF74A85FA}"/>
    <cellStyle name="Comma 20 2 3 4 3" xfId="7764" xr:uid="{712D7DBC-D245-4918-87C4-ADD478B45055}"/>
    <cellStyle name="Comma 20 2 3 4 4" xfId="9282" xr:uid="{BD5C30E4-1F6A-47FE-BE7F-6183DAA505A0}"/>
    <cellStyle name="Comma 20 2 3 4 5" xfId="12896" xr:uid="{8CE7D946-57C9-4488-B39B-0B67E2258C9B}"/>
    <cellStyle name="Comma 20 2 3 4 6" xfId="14641" xr:uid="{0580302C-E865-40A7-90C5-E7215441F9C0}"/>
    <cellStyle name="Comma 20 2 3 5" xfId="4824" xr:uid="{1AAC61A1-0FFC-4A06-AD56-B7A9CDF90D63}"/>
    <cellStyle name="Comma 20 2 3 5 2" xfId="10280" xr:uid="{3B9F8A78-DD54-4E6B-AB63-99B6212907BA}"/>
    <cellStyle name="Comma 20 2 3 6" xfId="5308" xr:uid="{A374850A-EF15-41C6-887C-AFEBF649D497}"/>
    <cellStyle name="Comma 20 2 3 6 2" xfId="10782" xr:uid="{F3204B7F-0E09-4347-B98C-81A1DB685255}"/>
    <cellStyle name="Comma 20 2 3 7" xfId="5810" xr:uid="{491FA80D-E951-4B6C-980B-F90E2D7E28DF}"/>
    <cellStyle name="Comma 20 2 3 7 2" xfId="11284" xr:uid="{37E13C08-1AF0-426B-ACE8-C6B3BD4419B4}"/>
    <cellStyle name="Comma 20 2 3 8" xfId="2840" xr:uid="{27DDF4EF-0999-45C9-AAF6-A4C0CD0D3856}"/>
    <cellStyle name="Comma 20 2 3 9" xfId="6750" xr:uid="{CD114666-D216-4B2C-B4F7-FB497F6187C5}"/>
    <cellStyle name="Comma 20 2 4" xfId="1228" xr:uid="{1B83466D-CAEF-4B3A-9DFF-C089A8A2A63E}"/>
    <cellStyle name="Comma 20 2 4 10" xfId="12008" xr:uid="{C1F59BB6-A525-480B-B235-41DDC2814231}"/>
    <cellStyle name="Comma 20 2 4 11" xfId="13753" xr:uid="{9DCC283F-417C-420D-8F68-BFEFBD4502A9}"/>
    <cellStyle name="Comma 20 2 4 2" xfId="1734" xr:uid="{E465C0DA-0909-4F0E-91D5-C5BE44F9A983}"/>
    <cellStyle name="Comma 20 2 4 2 2" xfId="4456" xr:uid="{D2E24D56-57EF-4AF5-BD31-CDAE3EEDD230}"/>
    <cellStyle name="Comma 20 2 4 2 2 2" xfId="9902" xr:uid="{D5283AF7-169C-4452-8170-C109B0473782}"/>
    <cellStyle name="Comma 20 2 4 2 3" xfId="3446" xr:uid="{C0132945-15DD-4CB7-80F1-EA33C1961667}"/>
    <cellStyle name="Comma 20 2 4 2 4" xfId="7380" xr:uid="{B526719C-A6FF-4F32-895D-D303F2B9C2CA}"/>
    <cellStyle name="Comma 20 2 4 2 5" xfId="8894" xr:uid="{7B4247DC-0BAE-47A1-817B-AF4CEBA8D9EE}"/>
    <cellStyle name="Comma 20 2 4 2 6" xfId="12514" xr:uid="{B9FD4668-8B9C-4CEC-940E-8CF1DFF45DE1}"/>
    <cellStyle name="Comma 20 2 4 2 7" xfId="14259" xr:uid="{F48280D9-D323-414F-9EA9-F5FFBF10C9BF}"/>
    <cellStyle name="Comma 20 2 4 3" xfId="2242" xr:uid="{FAEA21B9-5A1A-4B67-9DDF-5D6B623957B6}"/>
    <cellStyle name="Comma 20 2 4 3 2" xfId="3962" xr:uid="{6A6E0B93-A44C-4643-8F41-91F3EE7A1FEE}"/>
    <cellStyle name="Comma 20 2 4 3 3" xfId="7888" xr:uid="{817E51EE-961D-454C-ACCE-0A8F16C73B20}"/>
    <cellStyle name="Comma 20 2 4 3 4" xfId="9406" xr:uid="{ABD16426-023D-4915-834D-74C1DA7FDA0C}"/>
    <cellStyle name="Comma 20 2 4 3 5" xfId="13020" xr:uid="{7483DBC3-4887-4686-A50C-6643ABA393A8}"/>
    <cellStyle name="Comma 20 2 4 3 6" xfId="14765" xr:uid="{134BEAA5-552D-4DA5-B70C-67B4DFBA869F}"/>
    <cellStyle name="Comma 20 2 4 4" xfId="4940" xr:uid="{032402FE-E0FF-4DA8-A48E-F504EDE7403D}"/>
    <cellStyle name="Comma 20 2 4 4 2" xfId="10404" xr:uid="{84C17ACF-BA62-4649-8D72-25409219BA0C}"/>
    <cellStyle name="Comma 20 2 4 5" xfId="5432" xr:uid="{522EE2CC-924B-47C9-9EF9-A62106D70634}"/>
    <cellStyle name="Comma 20 2 4 5 2" xfId="10906" xr:uid="{68411EC5-E53E-49E3-8FBA-9F144DB8B3B2}"/>
    <cellStyle name="Comma 20 2 4 6" xfId="5934" xr:uid="{A4E3F5B0-BFE0-4B9B-ABC9-C210AE097B44}"/>
    <cellStyle name="Comma 20 2 4 6 2" xfId="11408" xr:uid="{0C16F4FA-0677-4C56-9929-16DBD994FC11}"/>
    <cellStyle name="Comma 20 2 4 7" xfId="2958" xr:uid="{B7A9372C-1F86-49F1-B7B0-026FA0E06A48}"/>
    <cellStyle name="Comma 20 2 4 8" xfId="6874" xr:uid="{F4DD1B88-4E04-4FE9-8CD3-066281179496}"/>
    <cellStyle name="Comma 20 2 4 9" xfId="8398" xr:uid="{BE1DA73C-8918-4518-B9DD-1705184F4812}"/>
    <cellStyle name="Comma 20 2 5" xfId="1486" xr:uid="{C8FAFEA5-BBDA-41F6-A41E-1CFF2E86436F}"/>
    <cellStyle name="Comma 20 2 5 2" xfId="4210" xr:uid="{F34F39F5-E70F-4D06-A23D-BC2441AEDE29}"/>
    <cellStyle name="Comma 20 2 5 2 2" xfId="9654" xr:uid="{085E76F0-F65B-4808-AA7E-A5D6A3F3A595}"/>
    <cellStyle name="Comma 20 2 5 3" xfId="3200" xr:uid="{BBF27FBD-853B-4B3B-98D3-C8466B44E854}"/>
    <cellStyle name="Comma 20 2 5 4" xfId="7132" xr:uid="{BBDC5727-5DE9-492A-9652-636B2F295FCC}"/>
    <cellStyle name="Comma 20 2 5 5" xfId="8646" xr:uid="{370DC4E4-F873-44E2-AD1D-3B06E595ED17}"/>
    <cellStyle name="Comma 20 2 5 6" xfId="12266" xr:uid="{7609C919-67FF-44EC-8845-36ABE895E4E4}"/>
    <cellStyle name="Comma 20 2 5 7" xfId="14011" xr:uid="{E5CB9DB0-F8E4-4BAA-B159-9F4CAA7C63B8}"/>
    <cellStyle name="Comma 20 2 6" xfId="1994" xr:uid="{C51885D8-C201-44EE-ABE3-24805129EA0C}"/>
    <cellStyle name="Comma 20 2 6 2" xfId="3714" xr:uid="{42A77637-661C-4FFB-96C5-03830D2B675F}"/>
    <cellStyle name="Comma 20 2 6 3" xfId="7640" xr:uid="{C45EACE7-60E1-4C64-9184-D98ACE8E5EB7}"/>
    <cellStyle name="Comma 20 2 6 4" xfId="9158" xr:uid="{D1A86D0B-5903-48CE-8E75-79A822B5F71D}"/>
    <cellStyle name="Comma 20 2 6 5" xfId="12772" xr:uid="{FB7AC0D6-4F23-4FB5-946D-C69C9C6A829A}"/>
    <cellStyle name="Comma 20 2 6 6" xfId="14517" xr:uid="{DA2553B0-ABC0-406F-AADA-F79EDC71823D}"/>
    <cellStyle name="Comma 20 2 7" xfId="4710" xr:uid="{A5101B8B-DC9D-4507-B1C8-37EDC4F7329C}"/>
    <cellStyle name="Comma 20 2 7 2" xfId="10156" xr:uid="{5E9E9A05-818E-4032-9F46-900F1DE51A39}"/>
    <cellStyle name="Comma 20 2 8" xfId="5186" xr:uid="{E9027B00-F8F9-4B1D-8206-F7A59F15F532}"/>
    <cellStyle name="Comma 20 2 8 2" xfId="10658" xr:uid="{49C96429-6649-4EED-971B-F274A9E52691}"/>
    <cellStyle name="Comma 20 2 9" xfId="5686" xr:uid="{D413A64C-5A66-4EBF-8FE3-421126FB9A92}"/>
    <cellStyle name="Comma 20 2 9 2" xfId="11160" xr:uid="{24A55A57-E8B9-4913-AE36-8D9870412F8F}"/>
    <cellStyle name="Comma 20 3" xfId="1000" xr:uid="{574EFB4D-5DE3-4E0C-8675-01929F2A8791}"/>
    <cellStyle name="Comma 20 3 10" xfId="2746" xr:uid="{F8AA7AB5-76EA-427D-820F-B9476F9E2A21}"/>
    <cellStyle name="Comma 20 3 11" xfId="6646" xr:uid="{1D69B8AB-1B08-4E49-9DA2-80E47CE9B310}"/>
    <cellStyle name="Comma 20 3 12" xfId="8170" xr:uid="{1BB6B928-46C0-4DF3-AB21-1397E08BAE67}"/>
    <cellStyle name="Comma 20 3 13" xfId="11780" xr:uid="{C29A0362-F2BD-46F4-A6E3-F52B16F8CB7B}"/>
    <cellStyle name="Comma 20 3 14" xfId="13525" xr:uid="{BDA73FF9-6FE8-4CB9-AE41-73B11E8C729F}"/>
    <cellStyle name="Comma 20 3 2" xfId="1024" xr:uid="{BED72A32-FC84-40B2-AF31-7CCDC48C6592}"/>
    <cellStyle name="Comma 20 3 2 10" xfId="6670" xr:uid="{0B08C6F5-585C-438D-9F80-4EC97DB5D070}"/>
    <cellStyle name="Comma 20 3 2 11" xfId="8194" xr:uid="{0CB8A959-20E4-4D94-9830-738C1AA59C9A}"/>
    <cellStyle name="Comma 20 3 2 12" xfId="11804" xr:uid="{38A50008-32CA-4202-9285-93CC3C61069B}"/>
    <cellStyle name="Comma 20 3 2 13" xfId="13549" xr:uid="{17A5365F-152F-4597-967D-0B6695378406}"/>
    <cellStyle name="Comma 20 3 2 2" xfId="1148" xr:uid="{82645E79-5C49-45D7-8A36-AFFF634761A9}"/>
    <cellStyle name="Comma 20 3 2 2 10" xfId="8318" xr:uid="{A170B890-2563-4B13-B687-B1B388985E71}"/>
    <cellStyle name="Comma 20 3 2 2 11" xfId="11928" xr:uid="{4BAF5169-9102-4014-83A9-BEE6AD04B355}"/>
    <cellStyle name="Comma 20 3 2 2 12" xfId="13673" xr:uid="{79810425-15EB-4736-99F7-2866DB1DF66B}"/>
    <cellStyle name="Comma 20 3 2 2 2" xfId="1396" xr:uid="{31657299-EB97-4E5B-A95D-495A4A66868D}"/>
    <cellStyle name="Comma 20 3 2 2 2 10" xfId="12176" xr:uid="{5A988587-972D-4C16-8E5F-ABC6DD10AFD3}"/>
    <cellStyle name="Comma 20 3 2 2 2 11" xfId="13921" xr:uid="{C57CFAAA-5F6D-49E2-949C-FF1E10424B95}"/>
    <cellStyle name="Comma 20 3 2 2 2 2" xfId="1902" xr:uid="{EAEB9644-540B-44F4-9E2E-565E3859314A}"/>
    <cellStyle name="Comma 20 3 2 2 2 2 2" xfId="4624" xr:uid="{51FC4848-1D1A-4BB7-9D38-01318C237418}"/>
    <cellStyle name="Comma 20 3 2 2 2 2 2 2" xfId="10070" xr:uid="{63403064-F205-4FC2-A5A9-22FCBEE37DD4}"/>
    <cellStyle name="Comma 20 3 2 2 2 2 3" xfId="3614" xr:uid="{56BE03DB-3E33-4A93-8609-6BCE9662351F}"/>
    <cellStyle name="Comma 20 3 2 2 2 2 4" xfId="7548" xr:uid="{207EC36E-87D3-446F-9F38-058440978DF7}"/>
    <cellStyle name="Comma 20 3 2 2 2 2 5" xfId="9062" xr:uid="{28F8B690-ADF4-4088-A26A-CA4EC83C97DE}"/>
    <cellStyle name="Comma 20 3 2 2 2 2 6" xfId="12682" xr:uid="{5852B333-76C7-48BD-9937-0C99FB297E5E}"/>
    <cellStyle name="Comma 20 3 2 2 2 2 7" xfId="14427" xr:uid="{B0443D6A-0D47-4C71-8470-C3F9D558B8BD}"/>
    <cellStyle name="Comma 20 3 2 2 2 3" xfId="2410" xr:uid="{7190C61C-B529-4F69-B27F-25C0A7614863}"/>
    <cellStyle name="Comma 20 3 2 2 2 3 2" xfId="4130" xr:uid="{C049C031-879F-4572-9979-046A1F100AA2}"/>
    <cellStyle name="Comma 20 3 2 2 2 3 3" xfId="8056" xr:uid="{19A5C90F-522A-4313-AE1B-AFD1219B392E}"/>
    <cellStyle name="Comma 20 3 2 2 2 3 4" xfId="9574" xr:uid="{D287C1E1-5DFA-445E-8A98-07EE07426B80}"/>
    <cellStyle name="Comma 20 3 2 2 2 3 5" xfId="13188" xr:uid="{79381A84-93AB-4939-9B47-37B0537F0204}"/>
    <cellStyle name="Comma 20 3 2 2 2 3 6" xfId="14933" xr:uid="{338C5175-35B4-4D42-ACF6-745E11D30B16}"/>
    <cellStyle name="Comma 20 3 2 2 2 4" xfId="5102" xr:uid="{EF1DF263-98E7-4044-858C-FC200BD9F553}"/>
    <cellStyle name="Comma 20 3 2 2 2 4 2" xfId="10572" xr:uid="{586F29F4-76EC-4519-AA3C-F0B189B6436C}"/>
    <cellStyle name="Comma 20 3 2 2 2 5" xfId="5600" xr:uid="{73C2C103-CA50-48A0-8B8B-F328FB5A87A9}"/>
    <cellStyle name="Comma 20 3 2 2 2 5 2" xfId="11074" xr:uid="{006FE5D0-BEC9-428D-9A8F-D3F89A9BB09C}"/>
    <cellStyle name="Comma 20 3 2 2 2 6" xfId="6102" xr:uid="{D785E33E-6BBA-4BC9-91C8-97047A37C6FA}"/>
    <cellStyle name="Comma 20 3 2 2 2 6 2" xfId="11576" xr:uid="{611BF7FA-30DD-4B52-933C-88839C970202}"/>
    <cellStyle name="Comma 20 3 2 2 2 7" xfId="3120" xr:uid="{499EC3A9-D5E8-4AAC-A27A-DFF9466D3998}"/>
    <cellStyle name="Comma 20 3 2 2 2 8" xfId="7042" xr:uid="{05F63D34-C04E-4941-8659-9BDE4E86DFDB}"/>
    <cellStyle name="Comma 20 3 2 2 2 9" xfId="8566" xr:uid="{85116A22-AB94-4FFD-88A8-D93851B00015}"/>
    <cellStyle name="Comma 20 3 2 2 3" xfId="1654" xr:uid="{795A1BC3-9648-4EB1-A5AE-D86AEA3FAEAC}"/>
    <cellStyle name="Comma 20 3 2 2 3 2" xfId="4376" xr:uid="{F2900469-BE56-40B1-9205-E539BB05A105}"/>
    <cellStyle name="Comma 20 3 2 2 3 2 2" xfId="9822" xr:uid="{63A8AA6E-FC06-4CF0-8617-FCFCA8D39A14}"/>
    <cellStyle name="Comma 20 3 2 2 3 3" xfId="3366" xr:uid="{6B21A816-CC1D-4B57-8594-9F029EE0C574}"/>
    <cellStyle name="Comma 20 3 2 2 3 4" xfId="7300" xr:uid="{7675182B-CFDC-4258-9C4D-D4F52CDF6722}"/>
    <cellStyle name="Comma 20 3 2 2 3 5" xfId="8814" xr:uid="{85CCA524-F0AF-49BD-977B-6082C398F5CF}"/>
    <cellStyle name="Comma 20 3 2 2 3 6" xfId="12434" xr:uid="{D8FE1843-1126-4EBC-A816-EC09FAF83404}"/>
    <cellStyle name="Comma 20 3 2 2 3 7" xfId="14179" xr:uid="{56E424DC-E562-4960-85BF-2BAC2B615944}"/>
    <cellStyle name="Comma 20 3 2 2 4" xfId="2162" xr:uid="{A4E3EE28-1A66-406F-AE41-16EED594CC85}"/>
    <cellStyle name="Comma 20 3 2 2 4 2" xfId="3882" xr:uid="{0F2DD56A-CAE2-404E-9729-558EA758B11A}"/>
    <cellStyle name="Comma 20 3 2 2 4 3" xfId="7808" xr:uid="{FBE49F94-EAEE-46E0-B790-7377DEB6A79B}"/>
    <cellStyle name="Comma 20 3 2 2 4 4" xfId="9326" xr:uid="{EE538F13-11F7-4E49-814A-A8933D7EEED3}"/>
    <cellStyle name="Comma 20 3 2 2 4 5" xfId="12940" xr:uid="{8ACF2106-C39E-4875-B198-BAC26BAFD80F}"/>
    <cellStyle name="Comma 20 3 2 2 4 6" xfId="14685" xr:uid="{BDD10656-AA8C-4C44-97B3-ED7F21199461}"/>
    <cellStyle name="Comma 20 3 2 2 5" xfId="4864" xr:uid="{71B4DB9C-CB3B-4F3D-A7D8-BF237CB2DE37}"/>
    <cellStyle name="Comma 20 3 2 2 5 2" xfId="10324" xr:uid="{EEAC126D-6F71-457A-9F66-8FFFCB1036F7}"/>
    <cellStyle name="Comma 20 3 2 2 6" xfId="5352" xr:uid="{0BE1BB63-0BE8-49CE-AC99-C8D48D9526E1}"/>
    <cellStyle name="Comma 20 3 2 2 6 2" xfId="10826" xr:uid="{FB8F4FC5-FCEB-4E99-89EC-9550D6D72E03}"/>
    <cellStyle name="Comma 20 3 2 2 7" xfId="5854" xr:uid="{2B107958-DFC8-4857-BD1B-9D95EA2B6B97}"/>
    <cellStyle name="Comma 20 3 2 2 7 2" xfId="11328" xr:uid="{CE14BCC8-890D-4A0D-A22F-31815F0FA477}"/>
    <cellStyle name="Comma 20 3 2 2 8" xfId="2880" xr:uid="{DB17EE83-98CC-4153-8AAB-5AD6765FA07F}"/>
    <cellStyle name="Comma 20 3 2 2 9" xfId="6794" xr:uid="{E4D002D8-1AFA-4F50-B55C-606402F56BE1}"/>
    <cellStyle name="Comma 20 3 2 3" xfId="1272" xr:uid="{5B2F9EF3-EFCF-40C6-8BCC-148CB0167C9F}"/>
    <cellStyle name="Comma 20 3 2 3 10" xfId="12052" xr:uid="{0BB0212E-5FC7-46F3-9DD4-92314B61DD74}"/>
    <cellStyle name="Comma 20 3 2 3 11" xfId="13797" xr:uid="{D99E274E-867C-4AB1-A5DC-4AF1B4BC7F73}"/>
    <cellStyle name="Comma 20 3 2 3 2" xfId="1778" xr:uid="{A5D7E218-4849-422A-B360-E7A2A1BCD048}"/>
    <cellStyle name="Comma 20 3 2 3 2 2" xfId="4500" xr:uid="{8B612F0E-E3A8-45FB-AA33-319FA8EF3190}"/>
    <cellStyle name="Comma 20 3 2 3 2 2 2" xfId="9946" xr:uid="{AF95FE96-9781-4E2F-B779-40F47D2D170F}"/>
    <cellStyle name="Comma 20 3 2 3 2 3" xfId="3490" xr:uid="{5B8A7D5B-7F1D-4F28-9027-6AFA46BC1341}"/>
    <cellStyle name="Comma 20 3 2 3 2 4" xfId="7424" xr:uid="{2E8AD0E0-DEA7-4F78-9AF3-674BE50127BB}"/>
    <cellStyle name="Comma 20 3 2 3 2 5" xfId="8938" xr:uid="{72080968-FD32-405E-906F-35D70C982E96}"/>
    <cellStyle name="Comma 20 3 2 3 2 6" xfId="12558" xr:uid="{C14C8E8C-E9EA-4CD0-94EA-E850361AE960}"/>
    <cellStyle name="Comma 20 3 2 3 2 7" xfId="14303" xr:uid="{27D05707-212B-4DBD-B1FE-F33CF335CBE0}"/>
    <cellStyle name="Comma 20 3 2 3 3" xfId="2286" xr:uid="{FB56AF72-6D81-4442-802B-692CB34596BF}"/>
    <cellStyle name="Comma 20 3 2 3 3 2" xfId="4006" xr:uid="{3C41032C-ED19-47EC-A1EE-F77B0B0F41F0}"/>
    <cellStyle name="Comma 20 3 2 3 3 3" xfId="7932" xr:uid="{3B125510-D7F8-41C2-93EA-66144F48D510}"/>
    <cellStyle name="Comma 20 3 2 3 3 4" xfId="9450" xr:uid="{3FCBA09F-F523-4545-891B-640ABC197C4E}"/>
    <cellStyle name="Comma 20 3 2 3 3 5" xfId="13064" xr:uid="{6F94E9E2-C7D8-40CF-8E87-AFCD7D37D096}"/>
    <cellStyle name="Comma 20 3 2 3 3 6" xfId="14809" xr:uid="{82BEE033-9DC4-405B-B9AF-082EE1D42054}"/>
    <cellStyle name="Comma 20 3 2 3 4" xfId="4980" xr:uid="{8A2AC6BB-1739-40E5-89DD-14919419B85E}"/>
    <cellStyle name="Comma 20 3 2 3 4 2" xfId="10448" xr:uid="{B9D78A0C-8BDB-45F4-B345-83BA50D64FEC}"/>
    <cellStyle name="Comma 20 3 2 3 5" xfId="5476" xr:uid="{6051C120-C785-4C8F-A221-4BA79D6066C1}"/>
    <cellStyle name="Comma 20 3 2 3 5 2" xfId="10950" xr:uid="{3EB2DDD9-5D2F-41B5-89C2-6F855672A73D}"/>
    <cellStyle name="Comma 20 3 2 3 6" xfId="5978" xr:uid="{9A6E3998-B6A2-40A0-833E-70615F70AEDB}"/>
    <cellStyle name="Comma 20 3 2 3 6 2" xfId="11452" xr:uid="{E24553E3-9E91-4902-B93E-A4E8A7ED7195}"/>
    <cellStyle name="Comma 20 3 2 3 7" xfId="2998" xr:uid="{B037BFED-C6BD-49B2-B1C8-E890181B369D}"/>
    <cellStyle name="Comma 20 3 2 3 8" xfId="6918" xr:uid="{1733F9B2-D536-4400-B7A3-7C84D65B48C3}"/>
    <cellStyle name="Comma 20 3 2 3 9" xfId="8442" xr:uid="{8CECC2A6-85F3-4134-AF44-75D1686A9C96}"/>
    <cellStyle name="Comma 20 3 2 4" xfId="1530" xr:uid="{236CDA72-23CC-47B6-9D4F-C26A84B0D70B}"/>
    <cellStyle name="Comma 20 3 2 4 2" xfId="4254" xr:uid="{D050EB7C-4C56-41D3-8DB1-F6915E88390A}"/>
    <cellStyle name="Comma 20 3 2 4 2 2" xfId="9698" xr:uid="{60A34DB6-137F-442A-949A-3B8958DC42BC}"/>
    <cellStyle name="Comma 20 3 2 4 3" xfId="3244" xr:uid="{C39EC6C6-0D0C-4566-BC22-DA175BD47B92}"/>
    <cellStyle name="Comma 20 3 2 4 4" xfId="7176" xr:uid="{3FB49A34-3F90-4FD0-9DC1-36E8540DD9EA}"/>
    <cellStyle name="Comma 20 3 2 4 5" xfId="8690" xr:uid="{3CA69D35-E46C-4DE6-AE45-386799F96C80}"/>
    <cellStyle name="Comma 20 3 2 4 6" xfId="12310" xr:uid="{E75484A8-72BF-498A-9321-F24FB4F0079F}"/>
    <cellStyle name="Comma 20 3 2 4 7" xfId="14055" xr:uid="{6CC4A42C-2C1F-431B-82D7-EE74AE1C25A0}"/>
    <cellStyle name="Comma 20 3 2 5" xfId="2038" xr:uid="{C9A719A0-25F1-4F04-84BC-CE4B4F8D5000}"/>
    <cellStyle name="Comma 20 3 2 5 2" xfId="3758" xr:uid="{2373E0F6-DF85-4F68-B49E-5174F41DDE8C}"/>
    <cellStyle name="Comma 20 3 2 5 3" xfId="7684" xr:uid="{45BAB8C5-03DE-4819-9587-038659B12FE4}"/>
    <cellStyle name="Comma 20 3 2 5 4" xfId="9202" xr:uid="{0245D364-4683-4F77-BD4C-ADF85E1F89AD}"/>
    <cellStyle name="Comma 20 3 2 5 5" xfId="12816" xr:uid="{C237C77C-DD7F-45F4-9998-C53CBD1EE7A5}"/>
    <cellStyle name="Comma 20 3 2 5 6" xfId="14561" xr:uid="{EDD6F518-A704-435F-BF79-D8A83CC86172}"/>
    <cellStyle name="Comma 20 3 2 6" xfId="4752" xr:uid="{C9C481CB-5CB4-4FA9-8240-0AB92261E9E0}"/>
    <cellStyle name="Comma 20 3 2 6 2" xfId="10200" xr:uid="{F006D8B7-C39F-4501-8521-7A017FDCC927}"/>
    <cellStyle name="Comma 20 3 2 7" xfId="5228" xr:uid="{DFCEDF88-1A48-4C82-B884-1853F7DB85CE}"/>
    <cellStyle name="Comma 20 3 2 7 2" xfId="10702" xr:uid="{6D9576EB-A823-4FCF-BDC8-B4E2D6F96BB7}"/>
    <cellStyle name="Comma 20 3 2 8" xfId="5730" xr:uid="{9CB75BF9-A2EE-42C3-A789-58ECE6B33089}"/>
    <cellStyle name="Comma 20 3 2 8 2" xfId="11204" xr:uid="{684AEF01-CE58-4347-9C0A-AB337DDE1A5C}"/>
    <cellStyle name="Comma 20 3 2 9" xfId="2768" xr:uid="{D79557EA-F1F8-4A5C-8CB3-8F991058674E}"/>
    <cellStyle name="Comma 20 3 3" xfId="1124" xr:uid="{66301303-7189-46F4-BD23-65024D2A529D}"/>
    <cellStyle name="Comma 20 3 3 10" xfId="8294" xr:uid="{54896598-EB0C-451A-B4EB-0454ACA92D52}"/>
    <cellStyle name="Comma 20 3 3 11" xfId="11904" xr:uid="{200C7C4B-41BA-4E75-AEB0-4C7173176DAA}"/>
    <cellStyle name="Comma 20 3 3 12" xfId="13649" xr:uid="{69D1DBBB-D4B7-4DA9-B2D7-E28018724433}"/>
    <cellStyle name="Comma 20 3 3 2" xfId="1372" xr:uid="{91B58B0D-5531-4A07-8883-2EE59190472D}"/>
    <cellStyle name="Comma 20 3 3 2 10" xfId="12152" xr:uid="{C56EC747-0E30-4203-BFCC-035E13C73760}"/>
    <cellStyle name="Comma 20 3 3 2 11" xfId="13897" xr:uid="{1A27AE9F-4BA0-42BA-9F52-8459712A63D3}"/>
    <cellStyle name="Comma 20 3 3 2 2" xfId="1878" xr:uid="{7E8CFB55-6623-40FA-9EA2-341389ED829F}"/>
    <cellStyle name="Comma 20 3 3 2 2 2" xfId="4600" xr:uid="{FFE04A6F-8A34-4793-8BB8-4B4F8168DE7A}"/>
    <cellStyle name="Comma 20 3 3 2 2 2 2" xfId="10046" xr:uid="{7D5B9AC6-20C1-46AA-817C-C84DC6BFD759}"/>
    <cellStyle name="Comma 20 3 3 2 2 3" xfId="3590" xr:uid="{C623ED1E-F3A9-4DEE-8306-D69C7B8D4765}"/>
    <cellStyle name="Comma 20 3 3 2 2 4" xfId="7524" xr:uid="{5D567F3C-6C75-4AF0-8FA8-B6A6B565EB0A}"/>
    <cellStyle name="Comma 20 3 3 2 2 5" xfId="9038" xr:uid="{5B75DFCC-507A-4B91-B95C-C618EEABCB6C}"/>
    <cellStyle name="Comma 20 3 3 2 2 6" xfId="12658" xr:uid="{98FCBB72-CAEF-4BDC-B05B-C495B4805CE7}"/>
    <cellStyle name="Comma 20 3 3 2 2 7" xfId="14403" xr:uid="{AC3446AD-2B6E-481A-B536-A7EA1CB05122}"/>
    <cellStyle name="Comma 20 3 3 2 3" xfId="2386" xr:uid="{43F64F61-2771-4729-A4B9-BD3DBD467962}"/>
    <cellStyle name="Comma 20 3 3 2 3 2" xfId="4106" xr:uid="{6833D317-9C70-49EA-86C2-C07FB26D4014}"/>
    <cellStyle name="Comma 20 3 3 2 3 3" xfId="8032" xr:uid="{08AE2299-8E77-4F81-A459-8BC207C2D4A6}"/>
    <cellStyle name="Comma 20 3 3 2 3 4" xfId="9550" xr:uid="{54617AB2-0242-43BF-9571-BE047EFA973D}"/>
    <cellStyle name="Comma 20 3 3 2 3 5" xfId="13164" xr:uid="{C313475D-DE10-40A5-AAE0-DA9F252C57A3}"/>
    <cellStyle name="Comma 20 3 3 2 3 6" xfId="14909" xr:uid="{8DD1CC17-F514-486E-AE24-076C81D7E8AE}"/>
    <cellStyle name="Comma 20 3 3 2 4" xfId="5078" xr:uid="{FF4AC283-03D8-4C52-8571-9650F373F96D}"/>
    <cellStyle name="Comma 20 3 3 2 4 2" xfId="10548" xr:uid="{3DED4F1B-EF20-438C-9A0D-64B4B6AB5B72}"/>
    <cellStyle name="Comma 20 3 3 2 5" xfId="5576" xr:uid="{B649E60B-7257-4CE8-AF82-D628BF39E1CD}"/>
    <cellStyle name="Comma 20 3 3 2 5 2" xfId="11050" xr:uid="{E9701B7E-0C5A-40E6-8F4A-35B4A7CA238A}"/>
    <cellStyle name="Comma 20 3 3 2 6" xfId="6078" xr:uid="{E7D68574-5177-46C5-839C-50182D31FC8D}"/>
    <cellStyle name="Comma 20 3 3 2 6 2" xfId="11552" xr:uid="{A5096993-AB87-489B-8439-1327A4AFC151}"/>
    <cellStyle name="Comma 20 3 3 2 7" xfId="3096" xr:uid="{1300F97F-7D9B-4BD4-97FF-7FF4E0BC3FFB}"/>
    <cellStyle name="Comma 20 3 3 2 8" xfId="7018" xr:uid="{1C5791BA-4723-46D5-8BCB-772B81A3E0EA}"/>
    <cellStyle name="Comma 20 3 3 2 9" xfId="8542" xr:uid="{8C4E1D22-35CB-471B-9AFE-16896A0E7A77}"/>
    <cellStyle name="Comma 20 3 3 3" xfId="1630" xr:uid="{D274F944-DE1E-47FB-9642-120235CA6793}"/>
    <cellStyle name="Comma 20 3 3 3 2" xfId="4352" xr:uid="{9AEEF093-8F9A-49F6-8CF1-B11E9D1965B5}"/>
    <cellStyle name="Comma 20 3 3 3 2 2" xfId="9798" xr:uid="{ED7227F0-F39F-4627-9C4E-35B2CA065C02}"/>
    <cellStyle name="Comma 20 3 3 3 3" xfId="3342" xr:uid="{4FDDDA5F-6D3D-479E-8DF8-1C15F6883662}"/>
    <cellStyle name="Comma 20 3 3 3 4" xfId="7276" xr:uid="{B6F48B24-7672-4A91-8030-0F10694CFFFE}"/>
    <cellStyle name="Comma 20 3 3 3 5" xfId="8790" xr:uid="{8E8EC02A-DD14-42E7-9EE0-A7F4C802C3D7}"/>
    <cellStyle name="Comma 20 3 3 3 6" xfId="12410" xr:uid="{113A6CF9-B27B-4749-9534-317ADC16BC44}"/>
    <cellStyle name="Comma 20 3 3 3 7" xfId="14155" xr:uid="{668BF0C1-39D6-4926-8F7D-700CA4D774B0}"/>
    <cellStyle name="Comma 20 3 3 4" xfId="2138" xr:uid="{3149C7EA-F2AD-4C8E-BB0D-41B8FEDED0FF}"/>
    <cellStyle name="Comma 20 3 3 4 2" xfId="3858" xr:uid="{33FB1734-7133-4385-A775-FBB041631E66}"/>
    <cellStyle name="Comma 20 3 3 4 3" xfId="7784" xr:uid="{DB7AEA29-C111-4E82-B68B-74ED035BB9B9}"/>
    <cellStyle name="Comma 20 3 3 4 4" xfId="9302" xr:uid="{074D28A7-3385-43BB-BEF8-D2FA75F641EA}"/>
    <cellStyle name="Comma 20 3 3 4 5" xfId="12916" xr:uid="{29158538-3109-48B5-BB29-7BF69B2FAD02}"/>
    <cellStyle name="Comma 20 3 3 4 6" xfId="14661" xr:uid="{7C6938D2-6D2B-427D-AC3B-441D46475AE3}"/>
    <cellStyle name="Comma 20 3 3 5" xfId="4842" xr:uid="{8722A9FE-79F3-46D5-AD16-229244241EED}"/>
    <cellStyle name="Comma 20 3 3 5 2" xfId="10300" xr:uid="{E771A230-9840-4EF4-87F8-860ACADCE3BC}"/>
    <cellStyle name="Comma 20 3 3 6" xfId="5328" xr:uid="{C49DEAD4-9F5B-4C34-A70E-59EE1771EBDF}"/>
    <cellStyle name="Comma 20 3 3 6 2" xfId="10802" xr:uid="{2FD23552-D2C5-4ACA-A6BD-E1DA9D9B5D73}"/>
    <cellStyle name="Comma 20 3 3 7" xfId="5830" xr:uid="{801A1DED-46B4-42CA-8E0D-CC0E477E73C2}"/>
    <cellStyle name="Comma 20 3 3 7 2" xfId="11304" xr:uid="{890F1724-4087-4046-821A-272951A7BDA0}"/>
    <cellStyle name="Comma 20 3 3 8" xfId="2858" xr:uid="{FFD7C9A1-C3AD-4D13-80DF-28659522B4B9}"/>
    <cellStyle name="Comma 20 3 3 9" xfId="6770" xr:uid="{23AE48D5-9935-4F39-93E8-B6B622381FAF}"/>
    <cellStyle name="Comma 20 3 4" xfId="1248" xr:uid="{12CDAE03-AD19-40DA-BA6B-C4F5D762B30D}"/>
    <cellStyle name="Comma 20 3 4 10" xfId="12028" xr:uid="{2C3B9190-BE7C-4CF9-89F1-D40F2F140B61}"/>
    <cellStyle name="Comma 20 3 4 11" xfId="13773" xr:uid="{91605D49-6149-4115-85D0-AEAD0328B696}"/>
    <cellStyle name="Comma 20 3 4 2" xfId="1754" xr:uid="{F9F2F966-3CB7-4567-BCC5-F96E4CE0E232}"/>
    <cellStyle name="Comma 20 3 4 2 2" xfId="4476" xr:uid="{37BDB77E-F9DD-44EA-B5EA-3F3F78CEF834}"/>
    <cellStyle name="Comma 20 3 4 2 2 2" xfId="9922" xr:uid="{E3CAD820-DEC1-43DB-BB41-2422D3B19C72}"/>
    <cellStyle name="Comma 20 3 4 2 3" xfId="3466" xr:uid="{A05487BA-6C0C-4EF4-83FC-3AF1626E47C8}"/>
    <cellStyle name="Comma 20 3 4 2 4" xfId="7400" xr:uid="{B58D620B-22AA-4644-B12A-A9D05A04DD04}"/>
    <cellStyle name="Comma 20 3 4 2 5" xfId="8914" xr:uid="{DD3C36F5-E3B8-48A2-9191-E148E92A8652}"/>
    <cellStyle name="Comma 20 3 4 2 6" xfId="12534" xr:uid="{227E09BD-2479-4986-9403-CFA59ACD0B27}"/>
    <cellStyle name="Comma 20 3 4 2 7" xfId="14279" xr:uid="{0931B62E-BE2A-4868-B7A2-B01F1D2D0CBD}"/>
    <cellStyle name="Comma 20 3 4 3" xfId="2262" xr:uid="{AE6E45AF-F386-4F31-8336-E3162DD02758}"/>
    <cellStyle name="Comma 20 3 4 3 2" xfId="3982" xr:uid="{E325FCC9-9B8A-478E-8EA6-6E5AF60764F3}"/>
    <cellStyle name="Comma 20 3 4 3 3" xfId="7908" xr:uid="{459C32E8-7247-47DF-9478-1172E01F91DA}"/>
    <cellStyle name="Comma 20 3 4 3 4" xfId="9426" xr:uid="{B4115A3F-71DA-46FA-A06E-0761124AC8EB}"/>
    <cellStyle name="Comma 20 3 4 3 5" xfId="13040" xr:uid="{30AA763E-E47B-4928-907E-2F9534DD91CD}"/>
    <cellStyle name="Comma 20 3 4 3 6" xfId="14785" xr:uid="{39B9DE3F-E19E-4A8B-B781-0860BE37C892}"/>
    <cellStyle name="Comma 20 3 4 4" xfId="4958" xr:uid="{AC218F22-2512-4556-9649-4F09A132C167}"/>
    <cellStyle name="Comma 20 3 4 4 2" xfId="10424" xr:uid="{BC731A88-9F26-4F28-8F13-6E6554DD65D5}"/>
    <cellStyle name="Comma 20 3 4 5" xfId="5452" xr:uid="{BF2FC92E-43FA-41A6-83C3-2789D31BB8A4}"/>
    <cellStyle name="Comma 20 3 4 5 2" xfId="10926" xr:uid="{528D4F17-5DEC-4B04-B0C9-43C7421E70A5}"/>
    <cellStyle name="Comma 20 3 4 6" xfId="5954" xr:uid="{470B3FCD-0D05-40BE-A2E7-8EB6732A25EE}"/>
    <cellStyle name="Comma 20 3 4 6 2" xfId="11428" xr:uid="{96525C6B-F743-463B-8D83-24B674EAE21F}"/>
    <cellStyle name="Comma 20 3 4 7" xfId="2976" xr:uid="{C51DFC80-ACDE-49E7-B8C2-1D950B9E9236}"/>
    <cellStyle name="Comma 20 3 4 8" xfId="6894" xr:uid="{77EE0D67-89A0-4935-A6FE-493B897A658A}"/>
    <cellStyle name="Comma 20 3 4 9" xfId="8418" xr:uid="{462A0767-93A3-43F8-8FFC-289D08A62DA5}"/>
    <cellStyle name="Comma 20 3 5" xfId="1506" xr:uid="{1A3FD9A3-B106-4EB3-9F9C-7DE8393D2D20}"/>
    <cellStyle name="Comma 20 3 5 2" xfId="4230" xr:uid="{A20F5A25-6A45-4F18-BDFB-3F8D201D4A5D}"/>
    <cellStyle name="Comma 20 3 5 2 2" xfId="9674" xr:uid="{B5ADE5C3-F9C5-48F0-8AC5-31113E0BA55C}"/>
    <cellStyle name="Comma 20 3 5 3" xfId="3220" xr:uid="{FF8B6FCB-B309-4718-8A50-97BA934D92E9}"/>
    <cellStyle name="Comma 20 3 5 4" xfId="7152" xr:uid="{69081D85-ACCA-4F75-B704-E992B4CAA232}"/>
    <cellStyle name="Comma 20 3 5 5" xfId="8666" xr:uid="{5C1D95E2-C74B-445B-AFB0-885FD28BA71E}"/>
    <cellStyle name="Comma 20 3 5 6" xfId="12286" xr:uid="{272707F8-E91A-47C7-A8BF-9B58CAB70FB3}"/>
    <cellStyle name="Comma 20 3 5 7" xfId="14031" xr:uid="{1F9E4D75-9681-48D4-A526-124EC7352297}"/>
    <cellStyle name="Comma 20 3 6" xfId="2014" xr:uid="{17CFEA20-4AC3-42AF-AC79-61F50B958FD1}"/>
    <cellStyle name="Comma 20 3 6 2" xfId="3734" xr:uid="{3B35EAD9-E767-49F2-AEE6-9C1727D2963B}"/>
    <cellStyle name="Comma 20 3 6 3" xfId="7660" xr:uid="{9342E830-FC66-4B8A-BF3F-6D058960AEAE}"/>
    <cellStyle name="Comma 20 3 6 4" xfId="9178" xr:uid="{BF5D6EE7-1923-4EEA-9DFB-14C15CED4912}"/>
    <cellStyle name="Comma 20 3 6 5" xfId="12792" xr:uid="{90BED9E0-C1B4-44C8-A1CD-894518861190}"/>
    <cellStyle name="Comma 20 3 6 6" xfId="14537" xr:uid="{F7A35068-2F29-4DD3-A00D-2C2F5F0525EF}"/>
    <cellStyle name="Comma 20 3 7" xfId="4730" xr:uid="{52234262-99E6-4C8B-8865-F49FAA8727A0}"/>
    <cellStyle name="Comma 20 3 7 2" xfId="10176" xr:uid="{F52C2145-E036-432B-8A9D-C28232E74767}"/>
    <cellStyle name="Comma 20 3 8" xfId="5204" xr:uid="{39FEDD5C-897F-4F14-A804-68AC3569EADB}"/>
    <cellStyle name="Comma 20 3 8 2" xfId="10678" xr:uid="{EF2868CA-0868-486D-A45A-A66084B4DAC1}"/>
    <cellStyle name="Comma 20 3 9" xfId="5706" xr:uid="{334156F9-3599-4513-94B3-1CD5FFDBFE1A}"/>
    <cellStyle name="Comma 20 3 9 2" xfId="11180" xr:uid="{7C01FAB0-DFDE-4A9D-9DF7-EDD724AF29BA}"/>
    <cellStyle name="Comma 20 4" xfId="1022" xr:uid="{DC3C3E3D-A10C-4D12-8703-5292DD4DABB5}"/>
    <cellStyle name="Comma 20 4 10" xfId="6668" xr:uid="{8127FC71-A476-43CA-9FC3-DDE9DB96051C}"/>
    <cellStyle name="Comma 20 4 11" xfId="8192" xr:uid="{069154A9-A31E-4318-BCDA-84AD2083DA01}"/>
    <cellStyle name="Comma 20 4 12" xfId="11802" xr:uid="{54D36DEC-AAF5-4878-B51B-09A5F4C8E56E}"/>
    <cellStyle name="Comma 20 4 13" xfId="13547" xr:uid="{5D93A506-D142-4C7A-AB60-B159628E75F5}"/>
    <cellStyle name="Comma 20 4 2" xfId="1146" xr:uid="{016A068E-4E95-431E-B6AB-B0DC29E54F4B}"/>
    <cellStyle name="Comma 20 4 2 10" xfId="8316" xr:uid="{9F128787-1E19-483B-8814-1978F6B09216}"/>
    <cellStyle name="Comma 20 4 2 11" xfId="11926" xr:uid="{E3F18776-CE3A-4684-B1A0-D62871320847}"/>
    <cellStyle name="Comma 20 4 2 12" xfId="13671" xr:uid="{EA8BB303-AA4F-4931-B26F-05EE37B3CB62}"/>
    <cellStyle name="Comma 20 4 2 2" xfId="1394" xr:uid="{F68D437F-B510-4881-AA74-A5501D77859D}"/>
    <cellStyle name="Comma 20 4 2 2 10" xfId="12174" xr:uid="{B11517D3-D7D0-4CBE-94D6-A3F66A247FC5}"/>
    <cellStyle name="Comma 20 4 2 2 11" xfId="13919" xr:uid="{5447C452-3ED5-49FF-845F-38DB89B54B41}"/>
    <cellStyle name="Comma 20 4 2 2 2" xfId="1900" xr:uid="{E92382B0-6123-4893-9AFE-934BC9EFCFAF}"/>
    <cellStyle name="Comma 20 4 2 2 2 2" xfId="4622" xr:uid="{2855EF75-7E79-46C6-BB50-A21B16A1A5B1}"/>
    <cellStyle name="Comma 20 4 2 2 2 2 2" xfId="10068" xr:uid="{69351A95-4B7D-4B08-91F1-200371DCA75D}"/>
    <cellStyle name="Comma 20 4 2 2 2 3" xfId="3612" xr:uid="{497490DD-6F3A-4750-966B-C38526DED5F5}"/>
    <cellStyle name="Comma 20 4 2 2 2 4" xfId="7546" xr:uid="{4065C46F-492F-4BB6-B06C-2BFB5E688C01}"/>
    <cellStyle name="Comma 20 4 2 2 2 5" xfId="9060" xr:uid="{31AE393D-20AB-45F8-B501-CFEB6147EA4E}"/>
    <cellStyle name="Comma 20 4 2 2 2 6" xfId="12680" xr:uid="{0FF83A86-5CBB-4131-A59B-AE00D0A61A92}"/>
    <cellStyle name="Comma 20 4 2 2 2 7" xfId="14425" xr:uid="{38053599-A3A9-45FF-8495-3D6A67D53993}"/>
    <cellStyle name="Comma 20 4 2 2 3" xfId="2408" xr:uid="{A415C8B6-2E36-4E69-A324-8B15CA61DAF2}"/>
    <cellStyle name="Comma 20 4 2 2 3 2" xfId="4128" xr:uid="{60538A91-2F9D-4704-BC1B-3A38077C1966}"/>
    <cellStyle name="Comma 20 4 2 2 3 3" xfId="8054" xr:uid="{B2A69D8B-D6B3-4856-90F1-87BEA824A46A}"/>
    <cellStyle name="Comma 20 4 2 2 3 4" xfId="9572" xr:uid="{9A7D2014-3367-4C15-9E9D-3A0E5962AF3B}"/>
    <cellStyle name="Comma 20 4 2 2 3 5" xfId="13186" xr:uid="{E817B5D6-B7F4-451F-9E9B-62E27CBE29E2}"/>
    <cellStyle name="Comma 20 4 2 2 3 6" xfId="14931" xr:uid="{FAADD7F8-7FCF-48D1-BE13-E63C3D5B0214}"/>
    <cellStyle name="Comma 20 4 2 2 4" xfId="5100" xr:uid="{4CAC70EB-CE89-418C-B411-A270F14FC27D}"/>
    <cellStyle name="Comma 20 4 2 2 4 2" xfId="10570" xr:uid="{B54071BC-4E6C-4C62-AC36-FDC9D3F1D123}"/>
    <cellStyle name="Comma 20 4 2 2 5" xfId="5598" xr:uid="{447361A8-A8F2-4713-8DF9-3D89E9E4A2C7}"/>
    <cellStyle name="Comma 20 4 2 2 5 2" xfId="11072" xr:uid="{BABF3077-B231-4A2B-AB99-26144C0F57C7}"/>
    <cellStyle name="Comma 20 4 2 2 6" xfId="6100" xr:uid="{68CFFAC5-A871-4766-A006-A7DCA497201E}"/>
    <cellStyle name="Comma 20 4 2 2 6 2" xfId="11574" xr:uid="{C750663E-DA2D-4F0F-A090-0182940E507A}"/>
    <cellStyle name="Comma 20 4 2 2 7" xfId="3118" xr:uid="{D60DE4A6-393D-4F1F-B2C2-1EDED1E6AB5E}"/>
    <cellStyle name="Comma 20 4 2 2 8" xfId="7040" xr:uid="{666CC778-C9ED-425F-987E-2DE11E9F980A}"/>
    <cellStyle name="Comma 20 4 2 2 9" xfId="8564" xr:uid="{D45AB742-52F3-4422-8263-C0430553E082}"/>
    <cellStyle name="Comma 20 4 2 3" xfId="1652" xr:uid="{153AA931-F7B3-4F7A-95BE-EEE5A2C33CC4}"/>
    <cellStyle name="Comma 20 4 2 3 2" xfId="4374" xr:uid="{D67EFE70-28BD-404C-8B02-D20968FF8F71}"/>
    <cellStyle name="Comma 20 4 2 3 2 2" xfId="9820" xr:uid="{BF310F2D-9485-409F-9001-353275B7E743}"/>
    <cellStyle name="Comma 20 4 2 3 3" xfId="3364" xr:uid="{D8BB4987-01FA-4CC6-8ECD-593B9340A83E}"/>
    <cellStyle name="Comma 20 4 2 3 4" xfId="7298" xr:uid="{B3234B22-4F42-41EC-AAE2-4A35D9F192A4}"/>
    <cellStyle name="Comma 20 4 2 3 5" xfId="8812" xr:uid="{10BD92DF-A34B-44D1-A992-B100EE322C5E}"/>
    <cellStyle name="Comma 20 4 2 3 6" xfId="12432" xr:uid="{E6F38435-BE00-47C7-B526-3BE92D8AD6C3}"/>
    <cellStyle name="Comma 20 4 2 3 7" xfId="14177" xr:uid="{C030FE3C-4137-4C8F-8714-7A3BD81004D8}"/>
    <cellStyle name="Comma 20 4 2 4" xfId="2160" xr:uid="{BE4BE351-DBF8-499F-93E5-EDA46245B13B}"/>
    <cellStyle name="Comma 20 4 2 4 2" xfId="3880" xr:uid="{8DF6416C-928F-4BCB-B145-2F68D367DED4}"/>
    <cellStyle name="Comma 20 4 2 4 3" xfId="7806" xr:uid="{98A20325-E5D6-4C83-B5ED-A2C13F55F5F2}"/>
    <cellStyle name="Comma 20 4 2 4 4" xfId="9324" xr:uid="{118C34EC-ABBF-402F-AC47-22374CC87935}"/>
    <cellStyle name="Comma 20 4 2 4 5" xfId="12938" xr:uid="{C828EE6F-A04E-4369-971D-EE52C03DA7CC}"/>
    <cellStyle name="Comma 20 4 2 4 6" xfId="14683" xr:uid="{8BB2743B-B2C8-40B8-83FA-A5404AC63A18}"/>
    <cellStyle name="Comma 20 4 2 5" xfId="4862" xr:uid="{0A60CE04-DCF8-4E1D-995C-6449A0BEED07}"/>
    <cellStyle name="Comma 20 4 2 5 2" xfId="10322" xr:uid="{51D3416C-79C0-4751-84AB-88D91F9F2207}"/>
    <cellStyle name="Comma 20 4 2 6" xfId="5350" xr:uid="{099552D4-E57C-47DE-924B-C9C4F0228B26}"/>
    <cellStyle name="Comma 20 4 2 6 2" xfId="10824" xr:uid="{7D55D25C-5C97-4FA1-8B9B-7ED1A032F5E0}"/>
    <cellStyle name="Comma 20 4 2 7" xfId="5852" xr:uid="{CE6845F8-E1F8-40CC-B954-13A52B6F85C7}"/>
    <cellStyle name="Comma 20 4 2 7 2" xfId="11326" xr:uid="{178492EF-5A66-4B45-A54C-6DF310EE1F7C}"/>
    <cellStyle name="Comma 20 4 2 8" xfId="2878" xr:uid="{6D9CCDD3-1A24-4E9C-A368-6D18B2BCD74B}"/>
    <cellStyle name="Comma 20 4 2 9" xfId="6792" xr:uid="{2EE93CDC-8AA7-4B26-8C9A-9643A131F0FF}"/>
    <cellStyle name="Comma 20 4 3" xfId="1270" xr:uid="{EB8835B9-FDBB-4112-87C1-6D8804AC800F}"/>
    <cellStyle name="Comma 20 4 3 10" xfId="12050" xr:uid="{3ECE151F-1EEE-46FA-9385-86FABE705478}"/>
    <cellStyle name="Comma 20 4 3 11" xfId="13795" xr:uid="{5EE905AA-C12E-4A1C-A8BD-FA8063AB4A16}"/>
    <cellStyle name="Comma 20 4 3 2" xfId="1776" xr:uid="{E1E3CE63-BEA6-4269-951B-269B7C2E60DD}"/>
    <cellStyle name="Comma 20 4 3 2 2" xfId="4498" xr:uid="{7779A1FA-9B29-422B-A55E-43457AEED2C5}"/>
    <cellStyle name="Comma 20 4 3 2 2 2" xfId="9944" xr:uid="{774C1A84-E83C-4516-8A86-52D75A898698}"/>
    <cellStyle name="Comma 20 4 3 2 3" xfId="3488" xr:uid="{866A4E26-E6D1-4B8E-868B-786C7A8791F0}"/>
    <cellStyle name="Comma 20 4 3 2 4" xfId="7422" xr:uid="{786D4DC4-0C34-41F9-B7E6-D819B4375446}"/>
    <cellStyle name="Comma 20 4 3 2 5" xfId="8936" xr:uid="{918A628A-07DA-49FF-9813-3ABC0F0C2966}"/>
    <cellStyle name="Comma 20 4 3 2 6" xfId="12556" xr:uid="{97563EF9-4FE6-43EB-ADEF-7A4571C42EB1}"/>
    <cellStyle name="Comma 20 4 3 2 7" xfId="14301" xr:uid="{664AAC8C-6E26-4CF9-9F72-850BCA55D527}"/>
    <cellStyle name="Comma 20 4 3 3" xfId="2284" xr:uid="{5905CB5F-25A1-4C8B-9D92-86BB2E51C076}"/>
    <cellStyle name="Comma 20 4 3 3 2" xfId="4004" xr:uid="{809B1569-19E9-443F-B08D-A3B113A97FCD}"/>
    <cellStyle name="Comma 20 4 3 3 3" xfId="7930" xr:uid="{60B1B298-FCE7-446D-85B8-7A472D0054AB}"/>
    <cellStyle name="Comma 20 4 3 3 4" xfId="9448" xr:uid="{240AEB1E-B115-491B-969C-C92FFAA8C723}"/>
    <cellStyle name="Comma 20 4 3 3 5" xfId="13062" xr:uid="{1D8C04AE-DA04-4246-B3BF-33797D4855EB}"/>
    <cellStyle name="Comma 20 4 3 3 6" xfId="14807" xr:uid="{A554EC79-A749-47C1-85B2-E14CA2207DFA}"/>
    <cellStyle name="Comma 20 4 3 4" xfId="4978" xr:uid="{BA7E6A55-FEB7-4A0D-A588-7490142AED69}"/>
    <cellStyle name="Comma 20 4 3 4 2" xfId="10446" xr:uid="{FFFF39A7-2866-460A-A9C1-3583088D60C7}"/>
    <cellStyle name="Comma 20 4 3 5" xfId="5474" xr:uid="{912E0CB0-BF52-4AA4-95AF-B724A3BAA18A}"/>
    <cellStyle name="Comma 20 4 3 5 2" xfId="10948" xr:uid="{681713CB-BF14-44A2-855A-6361374C2AA8}"/>
    <cellStyle name="Comma 20 4 3 6" xfId="5976" xr:uid="{3B4983F5-EC1F-48AF-B428-3F9CB4CAFA25}"/>
    <cellStyle name="Comma 20 4 3 6 2" xfId="11450" xr:uid="{A0BAEB11-ADA6-4775-90BC-D40571B0D6FB}"/>
    <cellStyle name="Comma 20 4 3 7" xfId="2996" xr:uid="{DC6416EB-47A7-4CCA-A1BE-DAF4091350A8}"/>
    <cellStyle name="Comma 20 4 3 8" xfId="6916" xr:uid="{9032C2CA-FB00-4B41-A615-E028D60EE81E}"/>
    <cellStyle name="Comma 20 4 3 9" xfId="8440" xr:uid="{0F92D57A-80E3-4C8C-81B0-522A9F4BA283}"/>
    <cellStyle name="Comma 20 4 4" xfId="1528" xr:uid="{3833DA77-0E53-4FD0-BCE6-1737E4CAFBAA}"/>
    <cellStyle name="Comma 20 4 4 2" xfId="4252" xr:uid="{FB6B86FB-40A9-42DB-9DC7-DB2BB32CC881}"/>
    <cellStyle name="Comma 20 4 4 2 2" xfId="9696" xr:uid="{035291FF-5ED5-4341-855C-9CA29B2540E9}"/>
    <cellStyle name="Comma 20 4 4 3" xfId="3242" xr:uid="{3D4798EB-A35B-4448-B39A-F2EAFE250B55}"/>
    <cellStyle name="Comma 20 4 4 4" xfId="7174" xr:uid="{0A7CBE86-4C3C-419B-B533-016F55D76BDF}"/>
    <cellStyle name="Comma 20 4 4 5" xfId="8688" xr:uid="{2E27B054-8532-4D45-8F24-3B85BD78ECC2}"/>
    <cellStyle name="Comma 20 4 4 6" xfId="12308" xr:uid="{4BF84E8D-2222-47F7-8FB7-469D2ABEF6A4}"/>
    <cellStyle name="Comma 20 4 4 7" xfId="14053" xr:uid="{F6991B7C-0F83-4E6C-A96F-462E341548CD}"/>
    <cellStyle name="Comma 20 4 5" xfId="2036" xr:uid="{4FA3735C-664D-4B95-B1DB-D15FA22876ED}"/>
    <cellStyle name="Comma 20 4 5 2" xfId="3756" xr:uid="{A4DDC445-C6B5-4CFF-8F54-F3969D45C752}"/>
    <cellStyle name="Comma 20 4 5 3" xfId="7682" xr:uid="{C2DD3BDA-DB85-443D-B506-4DC86C698D10}"/>
    <cellStyle name="Comma 20 4 5 4" xfId="9200" xr:uid="{9C063CC4-BE7F-4F5C-B227-FB93D4EACC39}"/>
    <cellStyle name="Comma 20 4 5 5" xfId="12814" xr:uid="{F52F6DAA-2447-4B06-AE84-7F9924D1D924}"/>
    <cellStyle name="Comma 20 4 5 6" xfId="14559" xr:uid="{194A4BD8-049D-4690-A368-23B1282BBDB6}"/>
    <cellStyle name="Comma 20 4 6" xfId="4750" xr:uid="{30CEE1C1-EB47-4EB3-B2E4-1B2DA8530508}"/>
    <cellStyle name="Comma 20 4 6 2" xfId="10198" xr:uid="{BA329736-52BC-4C5D-9430-2C5FA2ECC078}"/>
    <cellStyle name="Comma 20 4 7" xfId="5226" xr:uid="{B2906ADF-C3F2-45CA-A049-AE3B67B0D633}"/>
    <cellStyle name="Comma 20 4 7 2" xfId="10700" xr:uid="{E23AEA4D-5107-47E8-8118-A5776C24828F}"/>
    <cellStyle name="Comma 20 4 8" xfId="5728" xr:uid="{DD7855F1-C0D5-4D98-991E-61E64F58005A}"/>
    <cellStyle name="Comma 20 4 8 2" xfId="11202" xr:uid="{DA1052CC-AB0D-42C4-BC93-9B716587B5DD}"/>
    <cellStyle name="Comma 20 4 9" xfId="2766" xr:uid="{4DF09140-44B7-46C0-8863-1397532248E4}"/>
    <cellStyle name="Comma 20 5" xfId="1082" xr:uid="{DB70BF20-587D-4873-8603-B38DB5C0082F}"/>
    <cellStyle name="Comma 20 5 10" xfId="8252" xr:uid="{FF4A3E62-7F49-4720-9B01-D8085F506D8B}"/>
    <cellStyle name="Comma 20 5 11" xfId="11862" xr:uid="{86D25C28-40CE-4029-BA4B-62A129DF90F9}"/>
    <cellStyle name="Comma 20 5 12" xfId="13607" xr:uid="{1D313BD3-9B57-4BA7-89E4-62F6516B56F8}"/>
    <cellStyle name="Comma 20 5 2" xfId="1330" xr:uid="{9DEF2E9A-48DA-4FFB-AC7A-606A109F69AF}"/>
    <cellStyle name="Comma 20 5 2 10" xfId="12110" xr:uid="{E921BF56-112D-4247-B599-FBCB415486CE}"/>
    <cellStyle name="Comma 20 5 2 11" xfId="13855" xr:uid="{29D902C5-AF45-481F-B87E-99386FB57552}"/>
    <cellStyle name="Comma 20 5 2 2" xfId="1836" xr:uid="{3334D82A-14C0-4260-A7F1-CB6FD60BBE1F}"/>
    <cellStyle name="Comma 20 5 2 2 2" xfId="4558" xr:uid="{DBBC811F-65F8-436A-B4A5-A9C458EE5CDB}"/>
    <cellStyle name="Comma 20 5 2 2 2 2" xfId="10004" xr:uid="{6AD4DB44-6ECD-443D-9C52-36F74C01EBEE}"/>
    <cellStyle name="Comma 20 5 2 2 3" xfId="3548" xr:uid="{9835FE1E-E6F9-4582-BC74-BFE5FE5980AB}"/>
    <cellStyle name="Comma 20 5 2 2 4" xfId="7482" xr:uid="{DF1192A4-EC5D-439F-A38D-EB6DEBDCF68A}"/>
    <cellStyle name="Comma 20 5 2 2 5" xfId="8996" xr:uid="{49AD320E-CCFE-4174-9069-E2B41A9FAF9B}"/>
    <cellStyle name="Comma 20 5 2 2 6" xfId="12616" xr:uid="{14B251CB-0379-480C-8D42-1E1E062AA919}"/>
    <cellStyle name="Comma 20 5 2 2 7" xfId="14361" xr:uid="{3BF5B527-C156-4D9C-8188-9CBB36B7FD8E}"/>
    <cellStyle name="Comma 20 5 2 3" xfId="2344" xr:uid="{A515F9A1-D667-48D5-97B6-9F110A46C687}"/>
    <cellStyle name="Comma 20 5 2 3 2" xfId="4064" xr:uid="{1FD85A7C-4F42-41FE-A703-FBBCAB00D774}"/>
    <cellStyle name="Comma 20 5 2 3 3" xfId="7990" xr:uid="{68030359-5351-48A4-9F15-7CBC2C02F7CF}"/>
    <cellStyle name="Comma 20 5 2 3 4" xfId="9508" xr:uid="{60139F9D-DD62-4A2E-ACBB-C4B1B49B42FB}"/>
    <cellStyle name="Comma 20 5 2 3 5" xfId="13122" xr:uid="{DA589BD8-09B3-439C-B501-371310B48D5D}"/>
    <cellStyle name="Comma 20 5 2 3 6" xfId="14867" xr:uid="{8DF5F21B-25AE-4094-9036-15B61A595F75}"/>
    <cellStyle name="Comma 20 5 2 4" xfId="5036" xr:uid="{150E1B8E-BB44-49E0-9276-4F302FE5420E}"/>
    <cellStyle name="Comma 20 5 2 4 2" xfId="10506" xr:uid="{B4E7B810-6474-473C-B062-2D683C9D6298}"/>
    <cellStyle name="Comma 20 5 2 5" xfId="5534" xr:uid="{04047752-8A84-4330-B807-A423A0F3B3FB}"/>
    <cellStyle name="Comma 20 5 2 5 2" xfId="11008" xr:uid="{659EA672-76E5-47D7-86A4-9B97F9514D0B}"/>
    <cellStyle name="Comma 20 5 2 6" xfId="6036" xr:uid="{719B9182-BB3E-46AB-B0E6-43EECAAD71F5}"/>
    <cellStyle name="Comma 20 5 2 6 2" xfId="11510" xr:uid="{3BD3F3BC-CF35-4723-A86D-A7F791D3EC0C}"/>
    <cellStyle name="Comma 20 5 2 7" xfId="3054" xr:uid="{AC25ACD5-195A-4068-8EC1-13FDE1EE9F9D}"/>
    <cellStyle name="Comma 20 5 2 8" xfId="6976" xr:uid="{E5AC4345-926B-40A0-85C2-31D5E32FFF02}"/>
    <cellStyle name="Comma 20 5 2 9" xfId="8500" xr:uid="{7BB24EA7-2BD3-40BE-8093-8F7D1B18F7E5}"/>
    <cellStyle name="Comma 20 5 3" xfId="1588" xr:uid="{E0EB63A5-FF92-4C9F-A64C-B7D3ADF9E329}"/>
    <cellStyle name="Comma 20 5 3 2" xfId="4310" xr:uid="{90874EDD-A3E5-4AC4-AC24-038B906E76D9}"/>
    <cellStyle name="Comma 20 5 3 2 2" xfId="9756" xr:uid="{24B261AC-7657-4FE4-A6F3-A26684AC26AB}"/>
    <cellStyle name="Comma 20 5 3 3" xfId="3300" xr:uid="{10DBB098-E02E-43F2-9CCB-1641CA6FB2A2}"/>
    <cellStyle name="Comma 20 5 3 4" xfId="7234" xr:uid="{FE07364D-6857-4867-81D1-F067D0469BDE}"/>
    <cellStyle name="Comma 20 5 3 5" xfId="8748" xr:uid="{3889F44E-F98A-4826-A2E0-8447B8286ACC}"/>
    <cellStyle name="Comma 20 5 3 6" xfId="12368" xr:uid="{C40927D3-08A7-4C03-B837-35009DFECE08}"/>
    <cellStyle name="Comma 20 5 3 7" xfId="14113" xr:uid="{C1782F07-95BF-4932-8431-E8975384E6D0}"/>
    <cellStyle name="Comma 20 5 4" xfId="2096" xr:uid="{25F7DEF7-1556-4CB6-A2A8-C8DAE07ABB44}"/>
    <cellStyle name="Comma 20 5 4 2" xfId="3816" xr:uid="{EE6917F1-B3D5-4158-86B0-FDCD878B0140}"/>
    <cellStyle name="Comma 20 5 4 3" xfId="7742" xr:uid="{146F9736-7066-4B7D-ADB9-62C0C140642A}"/>
    <cellStyle name="Comma 20 5 4 4" xfId="9260" xr:uid="{EB546358-8914-45C4-AB72-81371A293F59}"/>
    <cellStyle name="Comma 20 5 4 5" xfId="12874" xr:uid="{69EE1C60-F463-42EB-8874-36D3D101729C}"/>
    <cellStyle name="Comma 20 5 4 6" xfId="14619" xr:uid="{0012CAEE-DFFC-4710-882A-874FA759ACF2}"/>
    <cellStyle name="Comma 20 5 5" xfId="4804" xr:uid="{6893D14B-C85A-434D-9DCA-5093689BE3CA}"/>
    <cellStyle name="Comma 20 5 5 2" xfId="10258" xr:uid="{4B2606DB-7F58-48C2-B6A1-82818DA530CE}"/>
    <cellStyle name="Comma 20 5 6" xfId="5286" xr:uid="{4DFBB916-86E4-4357-89F5-7DD65BDB6BA7}"/>
    <cellStyle name="Comma 20 5 6 2" xfId="10760" xr:uid="{08DA13BC-2A32-467C-9CF5-5AD6AA9BBECD}"/>
    <cellStyle name="Comma 20 5 7" xfId="5788" xr:uid="{BBF9A0F4-3D6E-415E-9DAD-0FE8851DFB71}"/>
    <cellStyle name="Comma 20 5 7 2" xfId="11262" xr:uid="{D2F89965-82CA-4788-8B5B-67C6BEF61309}"/>
    <cellStyle name="Comma 20 5 8" xfId="2820" xr:uid="{5F9B0C34-1CA5-445D-8CF4-73D84A9972F2}"/>
    <cellStyle name="Comma 20 5 9" xfId="6728" xr:uid="{521BBE73-9D0C-4F71-96ED-F873130B6527}"/>
    <cellStyle name="Comma 20 6" xfId="1206" xr:uid="{B268E490-5405-40C1-BCEC-EDF23BD59A12}"/>
    <cellStyle name="Comma 20 6 10" xfId="11986" xr:uid="{7EBB7619-A43E-404F-9C33-2ACA89B1FEF1}"/>
    <cellStyle name="Comma 20 6 11" xfId="13731" xr:uid="{867042FB-B5A1-47D0-82CF-17832E71EBCF}"/>
    <cellStyle name="Comma 20 6 2" xfId="1712" xr:uid="{94CB4933-291E-447B-90CA-AD93AAA4B88B}"/>
    <cellStyle name="Comma 20 6 2 2" xfId="4434" xr:uid="{4CFC642C-F88B-4126-8C59-909EB0782A80}"/>
    <cellStyle name="Comma 20 6 2 2 2" xfId="9880" xr:uid="{D726E0A4-3441-49B6-87F6-608431CAC0F2}"/>
    <cellStyle name="Comma 20 6 2 3" xfId="3424" xr:uid="{46BDFE80-4572-4E08-837A-3463374B2D62}"/>
    <cellStyle name="Comma 20 6 2 4" xfId="7358" xr:uid="{56ED1DDF-9CA9-4C50-82DD-3FDC16257D73}"/>
    <cellStyle name="Comma 20 6 2 5" xfId="8872" xr:uid="{AA86B99B-78CB-4F17-BC18-2C246FBEDD59}"/>
    <cellStyle name="Comma 20 6 2 6" xfId="12492" xr:uid="{A7B8CDB6-B2E4-44C4-9BAB-804D0698CB29}"/>
    <cellStyle name="Comma 20 6 2 7" xfId="14237" xr:uid="{4D5E8BCF-9925-4513-A240-4A0B1EE9369C}"/>
    <cellStyle name="Comma 20 6 3" xfId="2220" xr:uid="{412D7E7B-D25F-4095-8554-D94D2CF8825A}"/>
    <cellStyle name="Comma 20 6 3 2" xfId="3940" xr:uid="{D0E06738-93AB-4E2A-A41D-7987A4365F0F}"/>
    <cellStyle name="Comma 20 6 3 3" xfId="7866" xr:uid="{89D79C64-46F2-41EB-B240-8CBEF657EC1C}"/>
    <cellStyle name="Comma 20 6 3 4" xfId="9384" xr:uid="{E45DA3CB-673E-4D17-A2A1-85F10127D6AC}"/>
    <cellStyle name="Comma 20 6 3 5" xfId="12998" xr:uid="{8E31A239-3906-4FDF-94D3-DE2189BB6994}"/>
    <cellStyle name="Comma 20 6 3 6" xfId="14743" xr:uid="{493739B5-8870-49BD-A709-A6BD8276EC34}"/>
    <cellStyle name="Comma 20 6 4" xfId="4920" xr:uid="{548F2A76-D673-4D3E-A463-EE5F3D357ACE}"/>
    <cellStyle name="Comma 20 6 4 2" xfId="10382" xr:uid="{B4AE5F7F-6905-45C0-96CF-28529E98FEB9}"/>
    <cellStyle name="Comma 20 6 5" xfId="5410" xr:uid="{F9CF36C6-E6C1-44DC-9AA6-6F93C9490B8B}"/>
    <cellStyle name="Comma 20 6 5 2" xfId="10884" xr:uid="{9D8D7E06-DB22-42C2-9FE2-7E7997597F2B}"/>
    <cellStyle name="Comma 20 6 6" xfId="5912" xr:uid="{7B30376A-D014-43CA-A864-6FD6089EBCAD}"/>
    <cellStyle name="Comma 20 6 6 2" xfId="11386" xr:uid="{C5716666-FE22-48DE-9CB8-DE70CE6714F7}"/>
    <cellStyle name="Comma 20 6 7" xfId="2936" xr:uid="{C7242484-3749-4521-BEDC-23F7D402947A}"/>
    <cellStyle name="Comma 20 6 8" xfId="6852" xr:uid="{F14200C3-7D28-4DC4-8832-0C1088D36A26}"/>
    <cellStyle name="Comma 20 6 9" xfId="8376" xr:uid="{DB71E978-4EFC-4799-93D9-74AF58D2A57C}"/>
    <cellStyle name="Comma 20 7" xfId="1464" xr:uid="{80751F07-9013-4AE7-AB55-F76119DD3551}"/>
    <cellStyle name="Comma 20 7 2" xfId="4188" xr:uid="{482833CA-7EDF-45B8-9C12-9D717DA78404}"/>
    <cellStyle name="Comma 20 7 2 2" xfId="9632" xr:uid="{CB3B41B6-14D2-4670-A1B5-646AA32E7864}"/>
    <cellStyle name="Comma 20 7 3" xfId="3178" xr:uid="{F218DC4D-9024-4B0B-A0B2-72FDDB82A78D}"/>
    <cellStyle name="Comma 20 7 4" xfId="7110" xr:uid="{EB4FB3B7-8742-4640-A1E0-37F99A9CF4EE}"/>
    <cellStyle name="Comma 20 7 5" xfId="8624" xr:uid="{07CCB4F4-A416-4BCE-AE52-174160700B71}"/>
    <cellStyle name="Comma 20 7 6" xfId="12244" xr:uid="{75FCCF4E-384F-47A2-88E9-12825013391B}"/>
    <cellStyle name="Comma 20 7 7" xfId="13989" xr:uid="{D42628EB-C48E-4637-AF7F-14ACB0F0FBA8}"/>
    <cellStyle name="Comma 20 8" xfId="1971" xr:uid="{118AB6D1-1E12-4A73-95EE-602B09BEA808}"/>
    <cellStyle name="Comma 20 8 2" xfId="3692" xr:uid="{24546EA2-1D35-4C2F-8F04-D9D5031D75C6}"/>
    <cellStyle name="Comma 20 8 3" xfId="7617" xr:uid="{EE758C5C-97F0-4FC4-930C-1F6DEFB7620B}"/>
    <cellStyle name="Comma 20 8 4" xfId="9136" xr:uid="{4801D47F-FD7E-459F-885F-075D644FE8B5}"/>
    <cellStyle name="Comma 20 8 5" xfId="12750" xr:uid="{BFADBFEA-0A95-4D84-8777-F16410B27EBA}"/>
    <cellStyle name="Comma 20 8 6" xfId="14495" xr:uid="{1CC80E87-54C9-4C91-98D7-1A8506605230}"/>
    <cellStyle name="Comma 20 9" xfId="4688" xr:uid="{29D26723-1902-4ED9-B498-44BCFE95D4EB}"/>
    <cellStyle name="Comma 20 9 2" xfId="10134" xr:uid="{70218A96-B9B6-463C-84C0-931E94FBE34F}"/>
    <cellStyle name="Comma 21" xfId="6166" xr:uid="{40323819-4804-4A9D-BBDB-D9C7C1C1638A}"/>
    <cellStyle name="Comma 21 2" xfId="11640" xr:uid="{8E5BD9BA-5E60-4957-B500-423E79C6232B}"/>
    <cellStyle name="Comma 22" xfId="6244" xr:uid="{FC1873C9-E099-4710-81A2-C97989DAC2D6}"/>
    <cellStyle name="Comma 22 2" xfId="11667" xr:uid="{7BDB43A7-6BEB-453D-B573-67623F2531CD}"/>
    <cellStyle name="Comma 23" xfId="6242" xr:uid="{DA0F239E-6732-43A1-AD7F-B057668DDFBE}"/>
    <cellStyle name="Comma 23 2" xfId="11666" xr:uid="{9BC9BE20-ED1B-4344-9C8A-9CE4CBF02707}"/>
    <cellStyle name="Comma 24" xfId="6260" xr:uid="{9EC28DAC-1BCF-4573-84D3-EE80C6D94075}"/>
    <cellStyle name="Comma 24 2" xfId="11704" xr:uid="{4E359029-D635-4253-8D43-8D3519FD65D5}"/>
    <cellStyle name="Comma 25" xfId="6234" xr:uid="{CAFD715C-D84B-404D-8724-9980F127319C}"/>
    <cellStyle name="Comma 25 2" xfId="11656" xr:uid="{7EAC6B0E-DD4A-4D8A-8572-E8CF9A12A567}"/>
    <cellStyle name="Comma 26" xfId="6259" xr:uid="{5B628EC9-090D-49C8-97D0-CE997B873FA2}"/>
    <cellStyle name="Comma 26 2" xfId="11703" xr:uid="{77327F41-9F95-4453-8A7E-99944D6E3335}"/>
    <cellStyle name="Comma 27" xfId="6216" xr:uid="{FC3EF350-E83C-4D8B-899A-65231F40F694}"/>
    <cellStyle name="Comma 27 2" xfId="11653" xr:uid="{A22DD6DB-F629-48BF-97E0-B8C6662348AB}"/>
    <cellStyle name="Comma 28" xfId="6225" xr:uid="{85F4AB95-E57D-4681-91CE-BE3403A7A27E}"/>
    <cellStyle name="Comma 28 2" xfId="11654" xr:uid="{BF1AA560-0DB8-4F5D-8385-8CCD58883AB7}"/>
    <cellStyle name="Comma 29" xfId="6263" xr:uid="{8C482170-08E2-4188-B31D-2E4055B06851}"/>
    <cellStyle name="Comma 29 2" xfId="11707" xr:uid="{FDB650EC-7904-4EC7-9C16-F6E29F8CE591}"/>
    <cellStyle name="Comma 3" xfId="43" xr:uid="{00000000-0005-0000-0000-0000B7000000}"/>
    <cellStyle name="Comma 3 10" xfId="967" xr:uid="{140CAF9E-A1AB-48B2-BA24-46DFA519B608}"/>
    <cellStyle name="Comma 3 10 10" xfId="5181" xr:uid="{6DE386BB-8511-4F52-B78A-E20E8ACCF5F6}"/>
    <cellStyle name="Comma 3 10 10 2" xfId="10653" xr:uid="{AEE22B9B-29C0-4302-8702-AE1F5812E2DC}"/>
    <cellStyle name="Comma 3 10 11" xfId="5681" xr:uid="{5C49BDCB-3C56-4E4E-A88C-0AE828F92BAC}"/>
    <cellStyle name="Comma 3 10 11 2" xfId="11155" xr:uid="{ACB389B2-2CE2-47F3-81B3-E202AD21F8DC}"/>
    <cellStyle name="Comma 3 10 12" xfId="2723" xr:uid="{204CF4FD-1523-46B2-A93D-947CD4C08B94}"/>
    <cellStyle name="Comma 3 10 13" xfId="6618" xr:uid="{17F3E2AA-E53B-41F5-B37B-9AD6950F25EB}"/>
    <cellStyle name="Comma 3 10 14" xfId="8145" xr:uid="{EA8CDB39-FA23-43D9-8DF0-F6707C194066}"/>
    <cellStyle name="Comma 3 10 15" xfId="11755" xr:uid="{9BDE7F73-F6CC-43D5-890D-82B81ACCDADE}"/>
    <cellStyle name="Comma 3 10 16" xfId="13500" xr:uid="{23FDC690-091A-4E0C-A2F6-A094A9F5D37C}"/>
    <cellStyle name="Comma 3 10 2" xfId="997" xr:uid="{AC813302-828A-447B-BFAA-7CB7553BB866}"/>
    <cellStyle name="Comma 3 10 2 10" xfId="2743" xr:uid="{75E95D09-5B9A-4EEF-9C07-4E0084ED53CC}"/>
    <cellStyle name="Comma 3 10 2 11" xfId="6643" xr:uid="{FB3CFAD9-BDA9-4AF7-8591-F05AFB0E4A4B}"/>
    <cellStyle name="Comma 3 10 2 12" xfId="8167" xr:uid="{ECEA2DB4-FDD2-4510-AA99-BDEAF7FD55D6}"/>
    <cellStyle name="Comma 3 10 2 13" xfId="11777" xr:uid="{D1EE65A9-E3DC-423C-BF5A-DAEFB7794FAF}"/>
    <cellStyle name="Comma 3 10 2 14" xfId="13522" xr:uid="{9F12B480-5905-43BC-A3A3-5F2730671DF3}"/>
    <cellStyle name="Comma 3 10 2 2" xfId="1026" xr:uid="{C5CB4CD5-B49A-44CF-A2F6-06B77DFB2E63}"/>
    <cellStyle name="Comma 3 10 2 2 10" xfId="6672" xr:uid="{C6901E8F-15ED-40AE-92DD-8787CCB0ECBE}"/>
    <cellStyle name="Comma 3 10 2 2 11" xfId="8196" xr:uid="{68EECFF3-FD96-4E5F-BED4-84F01493FC6C}"/>
    <cellStyle name="Comma 3 10 2 2 12" xfId="11806" xr:uid="{2C58B417-DC62-4A66-9843-23623DDD11BF}"/>
    <cellStyle name="Comma 3 10 2 2 13" xfId="13551" xr:uid="{C9D280FA-76EC-49C4-BCD6-C6199BD3826E}"/>
    <cellStyle name="Comma 3 10 2 2 2" xfId="1150" xr:uid="{D244BDA6-972B-4B6A-8D82-F1F12B78CF8E}"/>
    <cellStyle name="Comma 3 10 2 2 2 10" xfId="8320" xr:uid="{9DC1A504-732E-4C66-B57F-D130CD28B80F}"/>
    <cellStyle name="Comma 3 10 2 2 2 11" xfId="11930" xr:uid="{A19B7209-6998-434D-BAE0-899FCF7F0342}"/>
    <cellStyle name="Comma 3 10 2 2 2 12" xfId="13675" xr:uid="{EB69CEA1-201B-4F3C-A0EE-8D83B0409498}"/>
    <cellStyle name="Comma 3 10 2 2 2 2" xfId="1398" xr:uid="{F2C5AAA1-8DB1-4E94-91C7-09A45AA25797}"/>
    <cellStyle name="Comma 3 10 2 2 2 2 10" xfId="12178" xr:uid="{3AD9DA48-0C48-4314-BAF2-EE1F96BD94BE}"/>
    <cellStyle name="Comma 3 10 2 2 2 2 11" xfId="13923" xr:uid="{A6F90E30-7287-40A7-BA03-14F4F69D2FDF}"/>
    <cellStyle name="Comma 3 10 2 2 2 2 2" xfId="1904" xr:uid="{FA5FB21C-F910-4A55-9485-DAFD8A781244}"/>
    <cellStyle name="Comma 3 10 2 2 2 2 2 2" xfId="4626" xr:uid="{EEA0FF41-C11B-4748-9854-8072FF7C6A11}"/>
    <cellStyle name="Comma 3 10 2 2 2 2 2 2 2" xfId="10072" xr:uid="{94E39110-781D-483A-9842-B9F288B679E1}"/>
    <cellStyle name="Comma 3 10 2 2 2 2 2 3" xfId="3616" xr:uid="{EA6D128D-09D2-43CA-BE5E-A41D1BCEC5F8}"/>
    <cellStyle name="Comma 3 10 2 2 2 2 2 4" xfId="7550" xr:uid="{458AFEF0-1D3D-4DCF-87F0-7EC01204BCA7}"/>
    <cellStyle name="Comma 3 10 2 2 2 2 2 5" xfId="9064" xr:uid="{D3AC5243-20DE-4393-A1AA-1730AAC832A2}"/>
    <cellStyle name="Comma 3 10 2 2 2 2 2 6" xfId="12684" xr:uid="{815784AF-7726-43A0-8A1C-18A6DEC33370}"/>
    <cellStyle name="Comma 3 10 2 2 2 2 2 7" xfId="14429" xr:uid="{C2F56A26-336A-4311-B8B9-D3762AB9456B}"/>
    <cellStyle name="Comma 3 10 2 2 2 2 3" xfId="2412" xr:uid="{99F5317D-615F-4A11-A7B3-0E938ED1BED4}"/>
    <cellStyle name="Comma 3 10 2 2 2 2 3 2" xfId="4132" xr:uid="{9BEC6F9C-8679-4C4D-BCE6-1447EC6F548D}"/>
    <cellStyle name="Comma 3 10 2 2 2 2 3 3" xfId="8058" xr:uid="{05CA7F69-2257-4208-9CD7-7256445B62CC}"/>
    <cellStyle name="Comma 3 10 2 2 2 2 3 4" xfId="9576" xr:uid="{69DFB2F5-6D8D-4555-8BA9-714CCC7D3A1F}"/>
    <cellStyle name="Comma 3 10 2 2 2 2 3 5" xfId="13190" xr:uid="{6C3146A9-4A58-4466-815B-BD34C2495850}"/>
    <cellStyle name="Comma 3 10 2 2 2 2 3 6" xfId="14935" xr:uid="{396EDB14-3091-406F-8F1C-3457B32436FB}"/>
    <cellStyle name="Comma 3 10 2 2 2 2 4" xfId="5104" xr:uid="{0C2C6F0D-CF56-490E-B810-E4547F668852}"/>
    <cellStyle name="Comma 3 10 2 2 2 2 4 2" xfId="10574" xr:uid="{F2B9F4B6-A07B-47C8-9EFF-7F0E557CB409}"/>
    <cellStyle name="Comma 3 10 2 2 2 2 5" xfId="5602" xr:uid="{686AE34D-FE9F-4637-9AF0-B1457F82F585}"/>
    <cellStyle name="Comma 3 10 2 2 2 2 5 2" xfId="11076" xr:uid="{A41AEEBA-D348-4D0C-A4E7-4B1F7A4FC19E}"/>
    <cellStyle name="Comma 3 10 2 2 2 2 6" xfId="6104" xr:uid="{AC71B278-3EA3-4F60-BB20-2D4FE447EBF9}"/>
    <cellStyle name="Comma 3 10 2 2 2 2 6 2" xfId="11578" xr:uid="{8BCDF996-F620-40AE-B97C-CEBD441BD70C}"/>
    <cellStyle name="Comma 3 10 2 2 2 2 7" xfId="3122" xr:uid="{663EE948-E1FC-491A-B09C-A73F97A74CE0}"/>
    <cellStyle name="Comma 3 10 2 2 2 2 8" xfId="7044" xr:uid="{C69895C3-D08F-4781-8C48-D3E9CFE4B0C1}"/>
    <cellStyle name="Comma 3 10 2 2 2 2 9" xfId="8568" xr:uid="{43E0AE3B-3695-43C4-A234-D66F130BA31C}"/>
    <cellStyle name="Comma 3 10 2 2 2 3" xfId="1656" xr:uid="{F6D5FDC9-8709-4915-BC64-01BBED259C37}"/>
    <cellStyle name="Comma 3 10 2 2 2 3 2" xfId="4378" xr:uid="{BF2AA297-1EAA-473C-9E3F-B07C943F89F7}"/>
    <cellStyle name="Comma 3 10 2 2 2 3 2 2" xfId="9824" xr:uid="{E001B98A-0B05-49F9-A58C-93409E4CAB40}"/>
    <cellStyle name="Comma 3 10 2 2 2 3 3" xfId="3368" xr:uid="{C9468897-29F0-4F43-802F-6B28306984E6}"/>
    <cellStyle name="Comma 3 10 2 2 2 3 4" xfId="7302" xr:uid="{66F3671F-A6D7-4788-B7DF-34BFEBBBA9E8}"/>
    <cellStyle name="Comma 3 10 2 2 2 3 5" xfId="8816" xr:uid="{C3CEE8B6-4879-4C03-BEDC-2B20D93DF91E}"/>
    <cellStyle name="Comma 3 10 2 2 2 3 6" xfId="12436" xr:uid="{F5E18659-DECA-4405-986A-A21528235FF2}"/>
    <cellStyle name="Comma 3 10 2 2 2 3 7" xfId="14181" xr:uid="{EEDE589C-4B56-4DD5-83F6-CD04683DD6C2}"/>
    <cellStyle name="Comma 3 10 2 2 2 4" xfId="2164" xr:uid="{2F87851C-25B1-4BC1-8F5E-C4B0548037E2}"/>
    <cellStyle name="Comma 3 10 2 2 2 4 2" xfId="3884" xr:uid="{B8B5E48E-8C69-4191-93B6-E567D60DEB91}"/>
    <cellStyle name="Comma 3 10 2 2 2 4 3" xfId="7810" xr:uid="{B10F98AE-3550-4FDA-AE1D-E00F13CC2DF2}"/>
    <cellStyle name="Comma 3 10 2 2 2 4 4" xfId="9328" xr:uid="{2FBF9EF3-F8F4-48B8-AF26-49788D403958}"/>
    <cellStyle name="Comma 3 10 2 2 2 4 5" xfId="12942" xr:uid="{964B2494-BA63-4AA6-8EFC-63E6A1B2A74B}"/>
    <cellStyle name="Comma 3 10 2 2 2 4 6" xfId="14687" xr:uid="{4C88A6DC-F486-4F29-B40E-B6D92875A3DE}"/>
    <cellStyle name="Comma 3 10 2 2 2 5" xfId="4866" xr:uid="{3D044D2F-7A93-4DE5-A4AC-CDA1EF3D3B7B}"/>
    <cellStyle name="Comma 3 10 2 2 2 5 2" xfId="10326" xr:uid="{CC0552D8-BE40-4A51-ADBC-AF40F3086595}"/>
    <cellStyle name="Comma 3 10 2 2 2 6" xfId="5354" xr:uid="{A91638E7-6502-458C-91BD-6D18FDFB87C4}"/>
    <cellStyle name="Comma 3 10 2 2 2 6 2" xfId="10828" xr:uid="{C417E996-23D6-4033-987E-7ED03A427ADF}"/>
    <cellStyle name="Comma 3 10 2 2 2 7" xfId="5856" xr:uid="{CD9CC9B4-08C5-4A01-AF05-6F6B25715C4B}"/>
    <cellStyle name="Comma 3 10 2 2 2 7 2" xfId="11330" xr:uid="{1083E9D2-DAB2-42AB-8ED4-A8BF9CF2E6D3}"/>
    <cellStyle name="Comma 3 10 2 2 2 8" xfId="2882" xr:uid="{65DE15EE-6A89-4EFA-9FA5-2CD525A424CC}"/>
    <cellStyle name="Comma 3 10 2 2 2 9" xfId="6796" xr:uid="{975B34DD-3581-4B1A-91FC-855D00A0F279}"/>
    <cellStyle name="Comma 3 10 2 2 3" xfId="1274" xr:uid="{20DFC640-05CD-492D-9974-384CDDB215FF}"/>
    <cellStyle name="Comma 3 10 2 2 3 10" xfId="12054" xr:uid="{3CE7E4CD-29D9-4F0B-8251-E14CA344D0CE}"/>
    <cellStyle name="Comma 3 10 2 2 3 11" xfId="13799" xr:uid="{74FFB3CE-9360-44D6-82D7-D936D9C28CF4}"/>
    <cellStyle name="Comma 3 10 2 2 3 2" xfId="1780" xr:uid="{157DA217-1E45-4FEA-B348-6FB6105CF4E2}"/>
    <cellStyle name="Comma 3 10 2 2 3 2 2" xfId="4502" xr:uid="{4657F07D-8A0F-4E63-8EDC-68928642E9F5}"/>
    <cellStyle name="Comma 3 10 2 2 3 2 2 2" xfId="9948" xr:uid="{F9ED7F66-B308-46C6-B9AE-BE86DC9CD469}"/>
    <cellStyle name="Comma 3 10 2 2 3 2 3" xfId="3492" xr:uid="{CE9B20E5-590E-4115-A33E-7E247EA26E19}"/>
    <cellStyle name="Comma 3 10 2 2 3 2 4" xfId="7426" xr:uid="{F268723B-B13C-43BB-83C9-F3F3AC735188}"/>
    <cellStyle name="Comma 3 10 2 2 3 2 5" xfId="8940" xr:uid="{A92E913F-28F9-4F0A-A832-BFEBBA8E9CFB}"/>
    <cellStyle name="Comma 3 10 2 2 3 2 6" xfId="12560" xr:uid="{8FE955BA-70EC-408E-9988-B3AD70230F26}"/>
    <cellStyle name="Comma 3 10 2 2 3 2 7" xfId="14305" xr:uid="{77736158-0D87-4CB3-A9A7-C4E56379DC80}"/>
    <cellStyle name="Comma 3 10 2 2 3 3" xfId="2288" xr:uid="{9BABEA73-5B31-4DAE-96BD-C40A9AFFB383}"/>
    <cellStyle name="Comma 3 10 2 2 3 3 2" xfId="4008" xr:uid="{8363FC03-1FAF-4D23-8BEE-DF48F930E63E}"/>
    <cellStyle name="Comma 3 10 2 2 3 3 3" xfId="7934" xr:uid="{A701B7EC-FF1E-42E0-86A0-27080F33FBA4}"/>
    <cellStyle name="Comma 3 10 2 2 3 3 4" xfId="9452" xr:uid="{FC8CF4C0-D0B1-4D8B-845F-73A0E401E89E}"/>
    <cellStyle name="Comma 3 10 2 2 3 3 5" xfId="13066" xr:uid="{244B514B-B4A9-4E30-BD96-46A988D6EBA3}"/>
    <cellStyle name="Comma 3 10 2 2 3 3 6" xfId="14811" xr:uid="{B5878CA7-AA84-478F-AEE5-622DD0CD963C}"/>
    <cellStyle name="Comma 3 10 2 2 3 4" xfId="4982" xr:uid="{3499E5CF-180A-4FD9-858F-D5DEB0FB7428}"/>
    <cellStyle name="Comma 3 10 2 2 3 4 2" xfId="10450" xr:uid="{FB58B025-0C9E-4080-8848-CA862125D655}"/>
    <cellStyle name="Comma 3 10 2 2 3 5" xfId="5478" xr:uid="{F976A29A-E75D-400E-B2D9-0F8754B8AE17}"/>
    <cellStyle name="Comma 3 10 2 2 3 5 2" xfId="10952" xr:uid="{8C0F40FD-7986-4148-9D25-3914EE80E30F}"/>
    <cellStyle name="Comma 3 10 2 2 3 6" xfId="5980" xr:uid="{59812D7B-DF6D-44D2-9519-209BCF780E11}"/>
    <cellStyle name="Comma 3 10 2 2 3 6 2" xfId="11454" xr:uid="{AE2E366F-FE9F-41C8-BA24-5EB2A52FF521}"/>
    <cellStyle name="Comma 3 10 2 2 3 7" xfId="3000" xr:uid="{B8B97EE9-B0C8-4D8E-8626-0668BAF2BF36}"/>
    <cellStyle name="Comma 3 10 2 2 3 8" xfId="6920" xr:uid="{A21522B9-5985-4A74-951A-8511BD44777A}"/>
    <cellStyle name="Comma 3 10 2 2 3 9" xfId="8444" xr:uid="{5C56DB2D-C383-489D-A5E9-3A48EBF4DEAC}"/>
    <cellStyle name="Comma 3 10 2 2 4" xfId="1532" xr:uid="{EA7694AF-738E-473B-9618-20CC80F546A1}"/>
    <cellStyle name="Comma 3 10 2 2 4 2" xfId="4256" xr:uid="{4CF93A2C-E146-497D-A520-5673AD13DF50}"/>
    <cellStyle name="Comma 3 10 2 2 4 2 2" xfId="9700" xr:uid="{3D60E4CD-8D38-451E-8111-C72D58DFFBAF}"/>
    <cellStyle name="Comma 3 10 2 2 4 3" xfId="3246" xr:uid="{33E76CB2-8811-4343-A376-C24F21D0AE23}"/>
    <cellStyle name="Comma 3 10 2 2 4 4" xfId="7178" xr:uid="{79E3C761-3D61-4D68-A343-DA89F204B061}"/>
    <cellStyle name="Comma 3 10 2 2 4 5" xfId="8692" xr:uid="{BA3B7FD1-2FB3-4AC3-8AA8-FF422EBED6B4}"/>
    <cellStyle name="Comma 3 10 2 2 4 6" xfId="12312" xr:uid="{E1AB47FA-4630-4144-9176-D06F81AE8B3C}"/>
    <cellStyle name="Comma 3 10 2 2 4 7" xfId="14057" xr:uid="{247F452C-8A46-45A3-B802-94BF07E395C4}"/>
    <cellStyle name="Comma 3 10 2 2 5" xfId="2040" xr:uid="{A9855ADB-213F-47DC-AC78-6366C3CD35DA}"/>
    <cellStyle name="Comma 3 10 2 2 5 2" xfId="3760" xr:uid="{B4130E6B-C7A3-4F9C-9328-57549134728E}"/>
    <cellStyle name="Comma 3 10 2 2 5 3" xfId="7686" xr:uid="{316BEB79-D8E3-4C05-9AF7-927B15309BF6}"/>
    <cellStyle name="Comma 3 10 2 2 5 4" xfId="9204" xr:uid="{0C776687-86F2-4695-8C5C-561A27F2D9CD}"/>
    <cellStyle name="Comma 3 10 2 2 5 5" xfId="12818" xr:uid="{6BC7CC5E-927F-445A-BB40-01253DD77F00}"/>
    <cellStyle name="Comma 3 10 2 2 5 6" xfId="14563" xr:uid="{A38A6690-DCCF-40F8-8530-5D4ED00B0BBB}"/>
    <cellStyle name="Comma 3 10 2 2 6" xfId="4754" xr:uid="{4ADF6AE9-DD39-4377-A41B-9FE349CBBCFD}"/>
    <cellStyle name="Comma 3 10 2 2 6 2" xfId="10202" xr:uid="{86EBA984-8A91-4F9B-9CAF-360C520978A2}"/>
    <cellStyle name="Comma 3 10 2 2 7" xfId="5230" xr:uid="{E2447A39-C7CF-44FF-B47C-AC814A0D009F}"/>
    <cellStyle name="Comma 3 10 2 2 7 2" xfId="10704" xr:uid="{6B91F541-0790-49C1-8E62-E7849DC5F3EB}"/>
    <cellStyle name="Comma 3 10 2 2 8" xfId="5732" xr:uid="{AB9F623B-F491-4F3F-9137-E93911E46FD7}"/>
    <cellStyle name="Comma 3 10 2 2 8 2" xfId="11206" xr:uid="{145FE02D-B82E-4080-A7C9-E74595AAE54F}"/>
    <cellStyle name="Comma 3 10 2 2 9" xfId="2770" xr:uid="{A259D766-7EAD-4961-9010-EAC8A387634A}"/>
    <cellStyle name="Comma 3 10 2 3" xfId="1121" xr:uid="{13CC1EAE-4373-442F-8FE5-8029B9D8F8AE}"/>
    <cellStyle name="Comma 3 10 2 3 10" xfId="8291" xr:uid="{F2825673-43A7-4BB4-BC4C-AD35A2102E58}"/>
    <cellStyle name="Comma 3 10 2 3 11" xfId="11901" xr:uid="{86AE0550-1513-41EB-91D5-3358528D728A}"/>
    <cellStyle name="Comma 3 10 2 3 12" xfId="13646" xr:uid="{B29CE18B-76B5-4B1A-9D03-229902882F20}"/>
    <cellStyle name="Comma 3 10 2 3 2" xfId="1369" xr:uid="{BB8742C3-B4D2-44E2-9CE4-E6EE59B2514F}"/>
    <cellStyle name="Comma 3 10 2 3 2 10" xfId="12149" xr:uid="{600F8D7E-1DD3-4E3C-BF19-D58257EB6577}"/>
    <cellStyle name="Comma 3 10 2 3 2 11" xfId="13894" xr:uid="{A64BD869-1363-4AEA-A348-FFA734469886}"/>
    <cellStyle name="Comma 3 10 2 3 2 2" xfId="1875" xr:uid="{717D8C46-14E2-40E5-B520-1B44F7FE57FC}"/>
    <cellStyle name="Comma 3 10 2 3 2 2 2" xfId="4597" xr:uid="{46EC2C98-D941-4FDD-851C-7AFCCB4D394C}"/>
    <cellStyle name="Comma 3 10 2 3 2 2 2 2" xfId="10043" xr:uid="{78532BB3-58BA-4ABD-BA01-7391CC96BCB0}"/>
    <cellStyle name="Comma 3 10 2 3 2 2 3" xfId="3587" xr:uid="{E4D6976D-58FD-4615-A1B8-780787679556}"/>
    <cellStyle name="Comma 3 10 2 3 2 2 4" xfId="7521" xr:uid="{FED92788-8A9E-4A58-BAC1-DE6F7ECB37B9}"/>
    <cellStyle name="Comma 3 10 2 3 2 2 5" xfId="9035" xr:uid="{7C89A09B-F905-4754-97D5-F6ED56A1069A}"/>
    <cellStyle name="Comma 3 10 2 3 2 2 6" xfId="12655" xr:uid="{C84693B1-2241-4EF2-B93F-B8806989FAD7}"/>
    <cellStyle name="Comma 3 10 2 3 2 2 7" xfId="14400" xr:uid="{158A4AB8-0CF2-4D72-90FA-850B83069F1B}"/>
    <cellStyle name="Comma 3 10 2 3 2 3" xfId="2383" xr:uid="{75E0F78F-0134-455B-B0C5-6E837E3E7F83}"/>
    <cellStyle name="Comma 3 10 2 3 2 3 2" xfId="4103" xr:uid="{82E1A4AB-AD60-44E8-A45E-5CD37F5768DA}"/>
    <cellStyle name="Comma 3 10 2 3 2 3 3" xfId="8029" xr:uid="{5ABF4D6D-AD19-483F-B7E6-EA1F5AC0F942}"/>
    <cellStyle name="Comma 3 10 2 3 2 3 4" xfId="9547" xr:uid="{61B8D997-1B2E-48DB-8ABE-8854498C4522}"/>
    <cellStyle name="Comma 3 10 2 3 2 3 5" xfId="13161" xr:uid="{EFD46F76-E996-4F8C-BFD8-6D356B17103E}"/>
    <cellStyle name="Comma 3 10 2 3 2 3 6" xfId="14906" xr:uid="{176F6894-F73B-43FC-AC1E-935232455F01}"/>
    <cellStyle name="Comma 3 10 2 3 2 4" xfId="5075" xr:uid="{D311F7AD-44E3-4E90-ADDE-2E7024BF63C6}"/>
    <cellStyle name="Comma 3 10 2 3 2 4 2" xfId="10545" xr:uid="{3FA0573A-A236-4396-BCA6-3D6C596CFA6F}"/>
    <cellStyle name="Comma 3 10 2 3 2 5" xfId="5573" xr:uid="{02C3ACA5-BA45-403C-B7E1-33339B5F86E8}"/>
    <cellStyle name="Comma 3 10 2 3 2 5 2" xfId="11047" xr:uid="{E7DF8457-DDEA-4A94-9298-5A269A8D2621}"/>
    <cellStyle name="Comma 3 10 2 3 2 6" xfId="6075" xr:uid="{003A7C14-65D9-4C4F-8E13-4685D98211A5}"/>
    <cellStyle name="Comma 3 10 2 3 2 6 2" xfId="11549" xr:uid="{16AAC7DB-595E-4C45-834D-F6CAEE9D4B5E}"/>
    <cellStyle name="Comma 3 10 2 3 2 7" xfId="3093" xr:uid="{AAC08EAF-362D-4193-B8A2-3BEE3BDA37DA}"/>
    <cellStyle name="Comma 3 10 2 3 2 8" xfId="7015" xr:uid="{FEFDE79A-3CB0-4442-9C03-5B7976CC395E}"/>
    <cellStyle name="Comma 3 10 2 3 2 9" xfId="8539" xr:uid="{FE6D4E95-E025-43D6-B14F-4F37129FD7BB}"/>
    <cellStyle name="Comma 3 10 2 3 3" xfId="1627" xr:uid="{675642E8-5F21-41CB-8A31-305B192CFDBE}"/>
    <cellStyle name="Comma 3 10 2 3 3 2" xfId="4349" xr:uid="{9F0B3999-697F-4352-B789-1B2D775AAF08}"/>
    <cellStyle name="Comma 3 10 2 3 3 2 2" xfId="9795" xr:uid="{FB0F08E0-A51A-4475-9A47-6FEFDDF2ECC5}"/>
    <cellStyle name="Comma 3 10 2 3 3 3" xfId="3339" xr:uid="{7A72E210-9204-41BD-ADDC-8B901ABFBF4E}"/>
    <cellStyle name="Comma 3 10 2 3 3 4" xfId="7273" xr:uid="{3CB5E8F2-21B0-4F90-A74E-0D204BF5AE01}"/>
    <cellStyle name="Comma 3 10 2 3 3 5" xfId="8787" xr:uid="{9B209BC1-D5C8-4BA4-AEC7-BB9E7E0713D6}"/>
    <cellStyle name="Comma 3 10 2 3 3 6" xfId="12407" xr:uid="{13F76E35-9E59-4EB9-AE90-6F176061D46F}"/>
    <cellStyle name="Comma 3 10 2 3 3 7" xfId="14152" xr:uid="{0485F0FB-F896-4D7C-8E39-BD886B0542C3}"/>
    <cellStyle name="Comma 3 10 2 3 4" xfId="2135" xr:uid="{DE349AF1-A32C-482F-8938-89A5E5BF775F}"/>
    <cellStyle name="Comma 3 10 2 3 4 2" xfId="3855" xr:uid="{44962E7A-D20A-4698-86DF-B48A0ACAE8F4}"/>
    <cellStyle name="Comma 3 10 2 3 4 3" xfId="7781" xr:uid="{747A877D-793D-45EE-8DEA-00769B2A9E65}"/>
    <cellStyle name="Comma 3 10 2 3 4 4" xfId="9299" xr:uid="{2274E703-D0F1-4993-9FE9-1357F2AD42D6}"/>
    <cellStyle name="Comma 3 10 2 3 4 5" xfId="12913" xr:uid="{D4D923E4-37C4-43C0-AD91-FF3F37694BFD}"/>
    <cellStyle name="Comma 3 10 2 3 4 6" xfId="14658" xr:uid="{0AE51A42-716E-4C5F-B763-08EB5A8B36E3}"/>
    <cellStyle name="Comma 3 10 2 3 5" xfId="4839" xr:uid="{62FB7813-ED9A-46EF-B9C6-1692FD137675}"/>
    <cellStyle name="Comma 3 10 2 3 5 2" xfId="10297" xr:uid="{D1362087-8DDC-41EB-98A5-EB0220D00189}"/>
    <cellStyle name="Comma 3 10 2 3 6" xfId="5325" xr:uid="{A68FF74E-1EF4-4BF9-B83F-0C29E26DA42A}"/>
    <cellStyle name="Comma 3 10 2 3 6 2" xfId="10799" xr:uid="{99516603-01CA-4488-BA7A-38506CBEFCE2}"/>
    <cellStyle name="Comma 3 10 2 3 7" xfId="5827" xr:uid="{0D25885A-7348-4179-81B7-0000105C9010}"/>
    <cellStyle name="Comma 3 10 2 3 7 2" xfId="11301" xr:uid="{D4306577-41E3-40A8-ACF3-54F4DE4BC413}"/>
    <cellStyle name="Comma 3 10 2 3 8" xfId="2855" xr:uid="{1B059508-5943-43D1-892F-05E7C5436CCA}"/>
    <cellStyle name="Comma 3 10 2 3 9" xfId="6767" xr:uid="{94E25F60-947A-42B8-ABF6-C7443F76D151}"/>
    <cellStyle name="Comma 3 10 2 4" xfId="1245" xr:uid="{5BDAEA5C-604A-4A29-8385-87AEBEB70CF4}"/>
    <cellStyle name="Comma 3 10 2 4 10" xfId="12025" xr:uid="{2E6349F4-DD49-48F9-802F-6CB1B3DFB740}"/>
    <cellStyle name="Comma 3 10 2 4 11" xfId="13770" xr:uid="{28AA4F64-931F-42FA-978C-3EC5C45AB598}"/>
    <cellStyle name="Comma 3 10 2 4 2" xfId="1751" xr:uid="{B7531F63-6FDE-4A67-8414-8463D98D1599}"/>
    <cellStyle name="Comma 3 10 2 4 2 2" xfId="4473" xr:uid="{56437B97-4EB2-4F15-B4C4-B773BB24061A}"/>
    <cellStyle name="Comma 3 10 2 4 2 2 2" xfId="9919" xr:uid="{3FF82787-CAC9-42BB-BE40-B70F7EEF7CF4}"/>
    <cellStyle name="Comma 3 10 2 4 2 3" xfId="3463" xr:uid="{7FD3739C-160F-4F65-878B-8FE83E8009DE}"/>
    <cellStyle name="Comma 3 10 2 4 2 4" xfId="7397" xr:uid="{0EF3918F-C77E-4D7D-9E39-49ADD9108D67}"/>
    <cellStyle name="Comma 3 10 2 4 2 5" xfId="8911" xr:uid="{626BE831-A989-4D2C-AC93-40F359158F11}"/>
    <cellStyle name="Comma 3 10 2 4 2 6" xfId="12531" xr:uid="{4AF966E6-663B-4546-87DC-F24C575E83D1}"/>
    <cellStyle name="Comma 3 10 2 4 2 7" xfId="14276" xr:uid="{C9313EED-3FE8-4C0C-AFBB-4F58FCC1C899}"/>
    <cellStyle name="Comma 3 10 2 4 3" xfId="2259" xr:uid="{E0B452A2-E1B9-4E08-A9B6-F6500912F0CF}"/>
    <cellStyle name="Comma 3 10 2 4 3 2" xfId="3979" xr:uid="{64382B58-FDA5-46FB-83D9-53FD0CCA7BBB}"/>
    <cellStyle name="Comma 3 10 2 4 3 3" xfId="7905" xr:uid="{602D48C8-7BFB-4F12-87D2-8E8521DCD2CB}"/>
    <cellStyle name="Comma 3 10 2 4 3 4" xfId="9423" xr:uid="{6D299325-6007-459A-B159-6617BDA4E67E}"/>
    <cellStyle name="Comma 3 10 2 4 3 5" xfId="13037" xr:uid="{D1159046-2644-4DB6-AF11-FB106BC82D71}"/>
    <cellStyle name="Comma 3 10 2 4 3 6" xfId="14782" xr:uid="{A78A409D-C73C-4169-ADF3-2F85E7108801}"/>
    <cellStyle name="Comma 3 10 2 4 4" xfId="4955" xr:uid="{00B36FDA-488D-41B3-854A-AA50AF9931E3}"/>
    <cellStyle name="Comma 3 10 2 4 4 2" xfId="10421" xr:uid="{2F99F8F3-746B-45EF-A0EA-FC5BD56A3D03}"/>
    <cellStyle name="Comma 3 10 2 4 5" xfId="5449" xr:uid="{EB39C013-99D1-4E62-AAD7-B08D260FA5F7}"/>
    <cellStyle name="Comma 3 10 2 4 5 2" xfId="10923" xr:uid="{A195C05E-BE24-4EF5-9F09-A7F8C0D221D5}"/>
    <cellStyle name="Comma 3 10 2 4 6" xfId="5951" xr:uid="{4811251C-C7A2-4FDF-ADD1-73199CB58C75}"/>
    <cellStyle name="Comma 3 10 2 4 6 2" xfId="11425" xr:uid="{5733C1A1-F30C-4482-88E7-D73EA5F2F64D}"/>
    <cellStyle name="Comma 3 10 2 4 7" xfId="2973" xr:uid="{464C4AD9-43BF-4F78-AAAF-A3F8AB5E3FCF}"/>
    <cellStyle name="Comma 3 10 2 4 8" xfId="6891" xr:uid="{C147FE8B-BED9-49F9-8ED5-34E6F3B88AAB}"/>
    <cellStyle name="Comma 3 10 2 4 9" xfId="8415" xr:uid="{AC7DAC9C-55C0-4D92-B339-347F0CD085CF}"/>
    <cellStyle name="Comma 3 10 2 5" xfId="1503" xr:uid="{C071B81E-89A0-4BEA-8480-82853FAFB679}"/>
    <cellStyle name="Comma 3 10 2 5 2" xfId="4227" xr:uid="{6D18B132-56AF-441C-B0D5-FC6969B72116}"/>
    <cellStyle name="Comma 3 10 2 5 2 2" xfId="9671" xr:uid="{D68A10CC-988E-48EE-BB77-DE0C8855A4A0}"/>
    <cellStyle name="Comma 3 10 2 5 3" xfId="3217" xr:uid="{42933B58-8F71-4A0D-84DC-D5C872E27542}"/>
    <cellStyle name="Comma 3 10 2 5 4" xfId="7149" xr:uid="{CD81171A-AE38-4F19-9EF2-644184AFC89E}"/>
    <cellStyle name="Comma 3 10 2 5 5" xfId="8663" xr:uid="{3940FA1C-F46D-49EA-BC52-834810642241}"/>
    <cellStyle name="Comma 3 10 2 5 6" xfId="12283" xr:uid="{F942201E-BEAD-4AD5-BF0C-66127DFDE515}"/>
    <cellStyle name="Comma 3 10 2 5 7" xfId="14028" xr:uid="{85E01E23-9654-4985-83C1-DF0F0A97F03A}"/>
    <cellStyle name="Comma 3 10 2 6" xfId="2011" xr:uid="{705D41AC-2372-409B-97F1-B32A3857010A}"/>
    <cellStyle name="Comma 3 10 2 6 2" xfId="3731" xr:uid="{D7B7B5A9-9626-4CDB-AB0E-003C3376CFD9}"/>
    <cellStyle name="Comma 3 10 2 6 3" xfId="7657" xr:uid="{F09CBBFE-C3AA-4376-A9B5-8786278E0676}"/>
    <cellStyle name="Comma 3 10 2 6 4" xfId="9175" xr:uid="{3F43040D-4302-4C0F-B461-8CEAC4F56042}"/>
    <cellStyle name="Comma 3 10 2 6 5" xfId="12789" xr:uid="{92E298C9-6E37-40A1-98B4-315E0F224542}"/>
    <cellStyle name="Comma 3 10 2 6 6" xfId="14534" xr:uid="{CCFD9F88-F6F8-4EB4-ADBD-171555B8B86D}"/>
    <cellStyle name="Comma 3 10 2 7" xfId="4727" xr:uid="{672CE794-26EB-4266-A348-DAB03E2B7953}"/>
    <cellStyle name="Comma 3 10 2 7 2" xfId="10173" xr:uid="{ABD9350C-ED7C-414A-8535-CBD947E53883}"/>
    <cellStyle name="Comma 3 10 2 8" xfId="5201" xr:uid="{85C741AA-83A7-4AC8-AB80-6CDB43AABA91}"/>
    <cellStyle name="Comma 3 10 2 8 2" xfId="10675" xr:uid="{334A6705-54AD-4FE9-B4B5-715C0670967F}"/>
    <cellStyle name="Comma 3 10 2 9" xfId="5703" xr:uid="{1106B866-A85E-47BB-9824-E5D614DB2107}"/>
    <cellStyle name="Comma 3 10 2 9 2" xfId="11177" xr:uid="{CEBBF60F-630F-4143-92BA-25FA4B0A517D}"/>
    <cellStyle name="Comma 3 10 3" xfId="1017" xr:uid="{7465D284-84A5-4955-85EC-51562C25F414}"/>
    <cellStyle name="Comma 3 10 3 10" xfId="2761" xr:uid="{EC5B9B86-552B-46FF-9898-D3C1F366D440}"/>
    <cellStyle name="Comma 3 10 3 11" xfId="6663" xr:uid="{C5E00A29-262A-43B8-9363-7526D743D68C}"/>
    <cellStyle name="Comma 3 10 3 12" xfId="8187" xr:uid="{CFCE499F-F49C-4834-98CD-ACC868673709}"/>
    <cellStyle name="Comma 3 10 3 13" xfId="11797" xr:uid="{DF8DB30B-F4AB-42C9-A708-B66F33DE2B70}"/>
    <cellStyle name="Comma 3 10 3 14" xfId="13542" xr:uid="{1FFEDD37-6DA2-42E1-BCF8-98C18B786F6E}"/>
    <cellStyle name="Comma 3 10 3 2" xfId="1027" xr:uid="{AFA64FB1-1B7F-487D-8FAE-FD6850C75EC0}"/>
    <cellStyle name="Comma 3 10 3 2 10" xfId="6673" xr:uid="{F2D26690-01E4-4BFE-86EC-1C924BE23B97}"/>
    <cellStyle name="Comma 3 10 3 2 11" xfId="8197" xr:uid="{B09B3D8B-6A39-4D92-B060-A464A3B55163}"/>
    <cellStyle name="Comma 3 10 3 2 12" xfId="11807" xr:uid="{53A97A25-1C00-4001-B434-11137CA01C24}"/>
    <cellStyle name="Comma 3 10 3 2 13" xfId="13552" xr:uid="{0B36983D-56E7-47D4-AF9D-F3705CBDDAEE}"/>
    <cellStyle name="Comma 3 10 3 2 2" xfId="1151" xr:uid="{027B1C1C-86E2-4EB4-B441-D8A4C794362D}"/>
    <cellStyle name="Comma 3 10 3 2 2 10" xfId="8321" xr:uid="{39BBCB50-17A0-47C1-A235-3DC7EA20BD53}"/>
    <cellStyle name="Comma 3 10 3 2 2 11" xfId="11931" xr:uid="{B265F476-765F-4C3F-9BE6-6BE7C2C527F4}"/>
    <cellStyle name="Comma 3 10 3 2 2 12" xfId="13676" xr:uid="{28432977-6A2C-4979-BDA3-53249F3EF76F}"/>
    <cellStyle name="Comma 3 10 3 2 2 2" xfId="1399" xr:uid="{9E0D2ECF-2D10-48DF-AAD7-FDC79B4CA378}"/>
    <cellStyle name="Comma 3 10 3 2 2 2 10" xfId="12179" xr:uid="{A5EB7436-1464-4BC7-89DE-C1E736342A24}"/>
    <cellStyle name="Comma 3 10 3 2 2 2 11" xfId="13924" xr:uid="{3415071B-9C29-4FEE-B18A-627447AEDE59}"/>
    <cellStyle name="Comma 3 10 3 2 2 2 2" xfId="1905" xr:uid="{CB149075-C7F5-4413-8763-B3C2AF845093}"/>
    <cellStyle name="Comma 3 10 3 2 2 2 2 2" xfId="4627" xr:uid="{E5E8E245-4721-49DE-A47C-76C5CA7D9FC2}"/>
    <cellStyle name="Comma 3 10 3 2 2 2 2 2 2" xfId="10073" xr:uid="{BFF289C2-BDFA-447D-B70A-2970DB7D7186}"/>
    <cellStyle name="Comma 3 10 3 2 2 2 2 3" xfId="3617" xr:uid="{C9845A3A-ADAB-4046-B424-A50D6D23E569}"/>
    <cellStyle name="Comma 3 10 3 2 2 2 2 4" xfId="7551" xr:uid="{702381EC-03EF-443B-9EBB-65BCE01F3A1D}"/>
    <cellStyle name="Comma 3 10 3 2 2 2 2 5" xfId="9065" xr:uid="{37B2D879-16AB-4D4F-9CEA-C2CC0883D639}"/>
    <cellStyle name="Comma 3 10 3 2 2 2 2 6" xfId="12685" xr:uid="{7C342F56-4FD4-408E-96B6-C335770BB11C}"/>
    <cellStyle name="Comma 3 10 3 2 2 2 2 7" xfId="14430" xr:uid="{31CC48B9-8786-41F4-8A9F-CC0AA66BE51A}"/>
    <cellStyle name="Comma 3 10 3 2 2 2 3" xfId="2413" xr:uid="{8AF86D16-FC8C-4C3F-8063-36A9A15A5BE2}"/>
    <cellStyle name="Comma 3 10 3 2 2 2 3 2" xfId="4133" xr:uid="{E2B20948-67F1-42D2-A057-805296B3241E}"/>
    <cellStyle name="Comma 3 10 3 2 2 2 3 3" xfId="8059" xr:uid="{0B75047F-7871-4FAC-A9AB-B0166C117513}"/>
    <cellStyle name="Comma 3 10 3 2 2 2 3 4" xfId="9577" xr:uid="{14AB43F9-B32E-4B41-AACC-6C897B7C5E66}"/>
    <cellStyle name="Comma 3 10 3 2 2 2 3 5" xfId="13191" xr:uid="{CF4061C6-06B7-4698-BE69-FFF36B550C1F}"/>
    <cellStyle name="Comma 3 10 3 2 2 2 3 6" xfId="14936" xr:uid="{CF7CF5EF-C7C5-4394-BA84-96B8A37002D9}"/>
    <cellStyle name="Comma 3 10 3 2 2 2 4" xfId="5105" xr:uid="{5D3BEB00-5B1C-4B4F-9571-C28F04DFB2D7}"/>
    <cellStyle name="Comma 3 10 3 2 2 2 4 2" xfId="10575" xr:uid="{F8879F71-CC32-45A4-BF70-65911EC22320}"/>
    <cellStyle name="Comma 3 10 3 2 2 2 5" xfId="5603" xr:uid="{4F4DCD4A-5AEB-4CC5-8620-41FEAD8D7616}"/>
    <cellStyle name="Comma 3 10 3 2 2 2 5 2" xfId="11077" xr:uid="{D76F4DA7-ED42-49C1-9069-81C30A7B435F}"/>
    <cellStyle name="Comma 3 10 3 2 2 2 6" xfId="6105" xr:uid="{EAA17815-2F5B-4173-92E8-397F98E58272}"/>
    <cellStyle name="Comma 3 10 3 2 2 2 6 2" xfId="11579" xr:uid="{F81ACC5C-5EED-419F-A130-BC44B787EDC5}"/>
    <cellStyle name="Comma 3 10 3 2 2 2 7" xfId="3123" xr:uid="{139409CF-F4C0-42E8-886B-3BB32FF83346}"/>
    <cellStyle name="Comma 3 10 3 2 2 2 8" xfId="7045" xr:uid="{FB2209F8-15C9-47AC-8A9C-79526AA1296F}"/>
    <cellStyle name="Comma 3 10 3 2 2 2 9" xfId="8569" xr:uid="{24C9A9C4-A364-4C14-881E-82F03248064B}"/>
    <cellStyle name="Comma 3 10 3 2 2 3" xfId="1657" xr:uid="{7D6B9F0C-990F-4774-A6BF-631CEF57DA7D}"/>
    <cellStyle name="Comma 3 10 3 2 2 3 2" xfId="4379" xr:uid="{FEB06A09-FA71-495F-BC32-60A5009A44F8}"/>
    <cellStyle name="Comma 3 10 3 2 2 3 2 2" xfId="9825" xr:uid="{A14131BF-9A29-43DB-B6CF-A9BFCC5CB2D2}"/>
    <cellStyle name="Comma 3 10 3 2 2 3 3" xfId="3369" xr:uid="{52B5AE40-0A22-4C92-81DA-367F65353274}"/>
    <cellStyle name="Comma 3 10 3 2 2 3 4" xfId="7303" xr:uid="{9D9DAF86-446E-498F-B8DC-B0050B43F551}"/>
    <cellStyle name="Comma 3 10 3 2 2 3 5" xfId="8817" xr:uid="{D9AA4995-E898-48D9-80D5-73EA7380916C}"/>
    <cellStyle name="Comma 3 10 3 2 2 3 6" xfId="12437" xr:uid="{4C3C5BAA-E382-4870-9049-8BC284337392}"/>
    <cellStyle name="Comma 3 10 3 2 2 3 7" xfId="14182" xr:uid="{2C1105FB-B4D8-4ADD-B181-8D8F560558DB}"/>
    <cellStyle name="Comma 3 10 3 2 2 4" xfId="2165" xr:uid="{2CD4E796-BB8F-409F-A612-5B85427B0A86}"/>
    <cellStyle name="Comma 3 10 3 2 2 4 2" xfId="3885" xr:uid="{D01DB4C5-5A57-495F-82A3-BF5C0B0EB87E}"/>
    <cellStyle name="Comma 3 10 3 2 2 4 3" xfId="7811" xr:uid="{42A61E1D-C430-4A8B-B96B-9E3502AD7438}"/>
    <cellStyle name="Comma 3 10 3 2 2 4 4" xfId="9329" xr:uid="{58E7FA0E-E6B4-4A6D-AF59-8BAB29D8B3E3}"/>
    <cellStyle name="Comma 3 10 3 2 2 4 5" xfId="12943" xr:uid="{9BA7F040-D279-4894-808C-AAD008B5FFC5}"/>
    <cellStyle name="Comma 3 10 3 2 2 4 6" xfId="14688" xr:uid="{82F77740-664F-47EA-85FC-E755E154E279}"/>
    <cellStyle name="Comma 3 10 3 2 2 5" xfId="4867" xr:uid="{60179608-0EA9-492D-9960-08EB522E88A5}"/>
    <cellStyle name="Comma 3 10 3 2 2 5 2" xfId="10327" xr:uid="{29C5DEFC-6074-4744-9993-14D9282D35E1}"/>
    <cellStyle name="Comma 3 10 3 2 2 6" xfId="5355" xr:uid="{D6940244-C86B-474F-B659-42C5E5E1D998}"/>
    <cellStyle name="Comma 3 10 3 2 2 6 2" xfId="10829" xr:uid="{DA763245-295D-47C5-82A5-13067364B62D}"/>
    <cellStyle name="Comma 3 10 3 2 2 7" xfId="5857" xr:uid="{43A02116-E756-4EE5-A00F-8731B50DF1FE}"/>
    <cellStyle name="Comma 3 10 3 2 2 7 2" xfId="11331" xr:uid="{0A11DA23-0CDF-4395-B63E-C54499270BCA}"/>
    <cellStyle name="Comma 3 10 3 2 2 8" xfId="2883" xr:uid="{F401FD07-3B22-4261-B0FE-E15CFB931E61}"/>
    <cellStyle name="Comma 3 10 3 2 2 9" xfId="6797" xr:uid="{D3FEDA5A-3199-4919-9ABC-61902F22FA46}"/>
    <cellStyle name="Comma 3 10 3 2 3" xfId="1275" xr:uid="{41B5A1AB-3365-4D5E-8368-00464E2DF8EF}"/>
    <cellStyle name="Comma 3 10 3 2 3 10" xfId="12055" xr:uid="{AD85620C-52F5-437D-91B7-67FA3903322A}"/>
    <cellStyle name="Comma 3 10 3 2 3 11" xfId="13800" xr:uid="{7DDB6368-FDB5-489F-ABD4-D3DF08CF23BE}"/>
    <cellStyle name="Comma 3 10 3 2 3 2" xfId="1781" xr:uid="{852340C0-00F9-4119-B59E-CA44B161E9A2}"/>
    <cellStyle name="Comma 3 10 3 2 3 2 2" xfId="4503" xr:uid="{05B656DF-5E64-4743-9146-4B6AFCDC31AA}"/>
    <cellStyle name="Comma 3 10 3 2 3 2 2 2" xfId="9949" xr:uid="{B72B6D97-5068-442D-88F6-B6926C9DE354}"/>
    <cellStyle name="Comma 3 10 3 2 3 2 3" xfId="3493" xr:uid="{8D239044-C9F1-41CB-B466-5236D40ABD68}"/>
    <cellStyle name="Comma 3 10 3 2 3 2 4" xfId="7427" xr:uid="{46FFE3FA-8249-4E00-A10B-07150999F82B}"/>
    <cellStyle name="Comma 3 10 3 2 3 2 5" xfId="8941" xr:uid="{ED840FA8-A41F-4472-8B50-8B4526BEAF5D}"/>
    <cellStyle name="Comma 3 10 3 2 3 2 6" xfId="12561" xr:uid="{3CB2E5D6-0A45-48CD-A507-949FC327BC4C}"/>
    <cellStyle name="Comma 3 10 3 2 3 2 7" xfId="14306" xr:uid="{64ED8784-4835-4C99-A5C9-E41A77C29BDB}"/>
    <cellStyle name="Comma 3 10 3 2 3 3" xfId="2289" xr:uid="{59C49CC3-5189-4C7E-AF26-6AEC48C08C39}"/>
    <cellStyle name="Comma 3 10 3 2 3 3 2" xfId="4009" xr:uid="{51401F10-CD3A-4B5D-B24E-240560BADE45}"/>
    <cellStyle name="Comma 3 10 3 2 3 3 3" xfId="7935" xr:uid="{FAAF182C-9488-4997-B186-DB68B8D66D30}"/>
    <cellStyle name="Comma 3 10 3 2 3 3 4" xfId="9453" xr:uid="{109F84E7-CB09-4652-94FF-57E278917890}"/>
    <cellStyle name="Comma 3 10 3 2 3 3 5" xfId="13067" xr:uid="{64D374F3-8FE3-4738-93C8-62DDC166ECB8}"/>
    <cellStyle name="Comma 3 10 3 2 3 3 6" xfId="14812" xr:uid="{458E66C9-317F-414D-B14D-D16F2C4FD783}"/>
    <cellStyle name="Comma 3 10 3 2 3 4" xfId="4983" xr:uid="{444057D3-B365-453F-A3F0-553C0D6AC45A}"/>
    <cellStyle name="Comma 3 10 3 2 3 4 2" xfId="10451" xr:uid="{7670C7BB-CF52-4CB0-87AD-8F3DFF11DA6A}"/>
    <cellStyle name="Comma 3 10 3 2 3 5" xfId="5479" xr:uid="{81A99503-8571-4849-9B21-86F7C78F5C5B}"/>
    <cellStyle name="Comma 3 10 3 2 3 5 2" xfId="10953" xr:uid="{9010306D-250E-4046-82FA-5D90E43B082D}"/>
    <cellStyle name="Comma 3 10 3 2 3 6" xfId="5981" xr:uid="{D11639B7-EBE9-4CCC-B79B-8C8B939BB80A}"/>
    <cellStyle name="Comma 3 10 3 2 3 6 2" xfId="11455" xr:uid="{68C9A228-5401-4E31-A4FF-150C4C8C45F2}"/>
    <cellStyle name="Comma 3 10 3 2 3 7" xfId="3001" xr:uid="{94BDE5D3-58F3-4FED-8165-5DCA3DD1962C}"/>
    <cellStyle name="Comma 3 10 3 2 3 8" xfId="6921" xr:uid="{E744DB30-331B-443B-989E-5ABA865D9DF1}"/>
    <cellStyle name="Comma 3 10 3 2 3 9" xfId="8445" xr:uid="{09ECDA5A-55B9-4FE6-B448-46768ED85E74}"/>
    <cellStyle name="Comma 3 10 3 2 4" xfId="1533" xr:uid="{7425C7B1-0D5E-4890-97B2-B53BDDD573C8}"/>
    <cellStyle name="Comma 3 10 3 2 4 2" xfId="4257" xr:uid="{D67007E3-96BC-4902-91F8-3874DC5B2090}"/>
    <cellStyle name="Comma 3 10 3 2 4 2 2" xfId="9701" xr:uid="{B96F2ADD-D83A-42C7-8FED-E3CD83B4D2DF}"/>
    <cellStyle name="Comma 3 10 3 2 4 3" xfId="3247" xr:uid="{66A5F64A-0B74-4A46-A79D-04360BE204CD}"/>
    <cellStyle name="Comma 3 10 3 2 4 4" xfId="7179" xr:uid="{6571B953-AB5A-44E5-84C5-21050A72EF4F}"/>
    <cellStyle name="Comma 3 10 3 2 4 5" xfId="8693" xr:uid="{997A365D-E82A-4C8F-B1F5-B2778FFD7C33}"/>
    <cellStyle name="Comma 3 10 3 2 4 6" xfId="12313" xr:uid="{50E4EEB7-D941-4B95-B81D-B13730C38E3B}"/>
    <cellStyle name="Comma 3 10 3 2 4 7" xfId="14058" xr:uid="{33831BB1-E4FF-470F-8F19-D17A867B1DB6}"/>
    <cellStyle name="Comma 3 10 3 2 5" xfId="2041" xr:uid="{A96FC673-ED44-4849-93D8-C5FC6CFA0254}"/>
    <cellStyle name="Comma 3 10 3 2 5 2" xfId="3761" xr:uid="{160AC8B2-A055-4391-995C-0C506E4B645F}"/>
    <cellStyle name="Comma 3 10 3 2 5 3" xfId="7687" xr:uid="{CAF0E10F-73B7-4DA6-A5B0-8AC9E015D8BE}"/>
    <cellStyle name="Comma 3 10 3 2 5 4" xfId="9205" xr:uid="{AEEF048E-7BAB-4B18-946B-C37A5DDC4B37}"/>
    <cellStyle name="Comma 3 10 3 2 5 5" xfId="12819" xr:uid="{69D9693B-0FA3-4B9A-94AB-E4E19A12546E}"/>
    <cellStyle name="Comma 3 10 3 2 5 6" xfId="14564" xr:uid="{7C9F14F0-CBAF-4C8E-A4A4-F3379FD73766}"/>
    <cellStyle name="Comma 3 10 3 2 6" xfId="4755" xr:uid="{2D4A58A8-42D3-4BF5-BAE6-C926662CCE6D}"/>
    <cellStyle name="Comma 3 10 3 2 6 2" xfId="10203" xr:uid="{F0FB62A5-47CB-41B3-B942-310E17CC22FF}"/>
    <cellStyle name="Comma 3 10 3 2 7" xfId="5231" xr:uid="{4141A2B0-7A49-4EC3-AB10-E4042B0AB594}"/>
    <cellStyle name="Comma 3 10 3 2 7 2" xfId="10705" xr:uid="{F8A92338-90F6-4110-9E84-8BA31B824C07}"/>
    <cellStyle name="Comma 3 10 3 2 8" xfId="5733" xr:uid="{CE29475F-1502-41CE-B823-8D8C656849A2}"/>
    <cellStyle name="Comma 3 10 3 2 8 2" xfId="11207" xr:uid="{19143C84-0851-4E69-A9EA-61D6D8B983D5}"/>
    <cellStyle name="Comma 3 10 3 2 9" xfId="2771" xr:uid="{6C7D883A-CA4A-4D45-AF29-139F985A2779}"/>
    <cellStyle name="Comma 3 10 3 3" xfId="1141" xr:uid="{132D2234-6D9B-4836-B05F-52716925B875}"/>
    <cellStyle name="Comma 3 10 3 3 10" xfId="8311" xr:uid="{DC75CB16-A3B8-47EB-A226-A8B87254E936}"/>
    <cellStyle name="Comma 3 10 3 3 11" xfId="11921" xr:uid="{2A5473E0-7627-45AE-BE77-C287B36A369F}"/>
    <cellStyle name="Comma 3 10 3 3 12" xfId="13666" xr:uid="{D1D07E96-7585-4FDF-9ACC-D10116330781}"/>
    <cellStyle name="Comma 3 10 3 3 2" xfId="1389" xr:uid="{333C4DD8-C71F-4A7A-BF03-E98761E00E35}"/>
    <cellStyle name="Comma 3 10 3 3 2 10" xfId="12169" xr:uid="{08E95C74-B5B5-420E-8A99-4F5790DEF337}"/>
    <cellStyle name="Comma 3 10 3 3 2 11" xfId="13914" xr:uid="{E46871F2-BD06-4EED-9437-745E5EA83B00}"/>
    <cellStyle name="Comma 3 10 3 3 2 2" xfId="1895" xr:uid="{F9C1080A-F3FB-4A93-AF29-22A3401D28F3}"/>
    <cellStyle name="Comma 3 10 3 3 2 2 2" xfId="4617" xr:uid="{EADE957B-0A2D-47F8-858C-50FA7ACDFCC9}"/>
    <cellStyle name="Comma 3 10 3 3 2 2 2 2" xfId="10063" xr:uid="{B102133B-C9EA-4D78-B62C-4ACB0073E83C}"/>
    <cellStyle name="Comma 3 10 3 3 2 2 3" xfId="3607" xr:uid="{9EF7C30E-49B5-43D1-BF72-64CEB5DBF2EB}"/>
    <cellStyle name="Comma 3 10 3 3 2 2 4" xfId="7541" xr:uid="{AA1A3C54-5DD2-405D-B91B-B145D0B37696}"/>
    <cellStyle name="Comma 3 10 3 3 2 2 5" xfId="9055" xr:uid="{A8CD705E-193D-4ABD-B2A0-E54D4B39D2F1}"/>
    <cellStyle name="Comma 3 10 3 3 2 2 6" xfId="12675" xr:uid="{DF46E6EB-27DB-4737-AAE2-42FDBDFA7AAD}"/>
    <cellStyle name="Comma 3 10 3 3 2 2 7" xfId="14420" xr:uid="{DF20BDA8-10AF-4106-82D8-D89B71CA847E}"/>
    <cellStyle name="Comma 3 10 3 3 2 3" xfId="2403" xr:uid="{8E1BC016-8321-4BDB-95CF-D63A2B9B08AF}"/>
    <cellStyle name="Comma 3 10 3 3 2 3 2" xfId="4123" xr:uid="{4A296F18-EB16-4D62-A444-7C028E968B6B}"/>
    <cellStyle name="Comma 3 10 3 3 2 3 3" xfId="8049" xr:uid="{544C4D10-0AC9-477F-ADBE-5771B16DCFB4}"/>
    <cellStyle name="Comma 3 10 3 3 2 3 4" xfId="9567" xr:uid="{1558E476-8438-4131-A5C9-D665F69DB670}"/>
    <cellStyle name="Comma 3 10 3 3 2 3 5" xfId="13181" xr:uid="{B0B823F6-6E83-4DFE-BBB6-8B3BE4529325}"/>
    <cellStyle name="Comma 3 10 3 3 2 3 6" xfId="14926" xr:uid="{D6912AA8-1D66-4B06-962A-670D0B8FB20F}"/>
    <cellStyle name="Comma 3 10 3 3 2 4" xfId="5095" xr:uid="{1187B545-3960-4547-B9EE-BE6BE286E78A}"/>
    <cellStyle name="Comma 3 10 3 3 2 4 2" xfId="10565" xr:uid="{0AFB1363-AC84-4C33-9E63-B9AC5DF3AD46}"/>
    <cellStyle name="Comma 3 10 3 3 2 5" xfId="5593" xr:uid="{E1E3D876-1E92-4B26-9747-D2D0D1A444C5}"/>
    <cellStyle name="Comma 3 10 3 3 2 5 2" xfId="11067" xr:uid="{1FECBF7D-49F4-4668-944A-CC3C3560DB35}"/>
    <cellStyle name="Comma 3 10 3 3 2 6" xfId="6095" xr:uid="{947D1EDB-151A-45BE-A8F0-6F2DF915D05E}"/>
    <cellStyle name="Comma 3 10 3 3 2 6 2" xfId="11569" xr:uid="{C4CA4EAD-F9C9-4E24-9768-34D118AEAC83}"/>
    <cellStyle name="Comma 3 10 3 3 2 7" xfId="3113" xr:uid="{8E374697-7EDE-44E4-9BDD-55BAEC3EAA74}"/>
    <cellStyle name="Comma 3 10 3 3 2 8" xfId="7035" xr:uid="{79EA2DAF-9563-40EE-B8C2-61128630CA6C}"/>
    <cellStyle name="Comma 3 10 3 3 2 9" xfId="8559" xr:uid="{79897A95-8EF1-4287-998C-A834DB854498}"/>
    <cellStyle name="Comma 3 10 3 3 3" xfId="1647" xr:uid="{46247A80-21E8-4738-BB09-BC225F542496}"/>
    <cellStyle name="Comma 3 10 3 3 3 2" xfId="4369" xr:uid="{4D689BC4-070D-4B8E-9318-98F67247DFBE}"/>
    <cellStyle name="Comma 3 10 3 3 3 2 2" xfId="9815" xr:uid="{9EEFC3A0-2A2F-425C-B0D7-B4FBCAB2F08E}"/>
    <cellStyle name="Comma 3 10 3 3 3 3" xfId="3359" xr:uid="{8CC1EE93-6CEA-4385-BFAA-26F5DB67CA99}"/>
    <cellStyle name="Comma 3 10 3 3 3 4" xfId="7293" xr:uid="{E430CA4E-BE57-400E-95A1-A7A3A4B69F7A}"/>
    <cellStyle name="Comma 3 10 3 3 3 5" xfId="8807" xr:uid="{3854A5CC-3607-4E19-887F-227C5B93F06E}"/>
    <cellStyle name="Comma 3 10 3 3 3 6" xfId="12427" xr:uid="{870B787E-6015-45F9-9727-3D462A139E5C}"/>
    <cellStyle name="Comma 3 10 3 3 3 7" xfId="14172" xr:uid="{FB22BC50-3C7B-4392-9267-AE15015DD0A7}"/>
    <cellStyle name="Comma 3 10 3 3 4" xfId="2155" xr:uid="{1A26C3A7-4474-4753-A60A-68B81111C7D5}"/>
    <cellStyle name="Comma 3 10 3 3 4 2" xfId="3875" xr:uid="{ACF40D4C-FD52-4041-9F43-A9C448DD82E6}"/>
    <cellStyle name="Comma 3 10 3 3 4 3" xfId="7801" xr:uid="{EA40630B-A73C-49BA-B8B0-F9A4D70E0C62}"/>
    <cellStyle name="Comma 3 10 3 3 4 4" xfId="9319" xr:uid="{CDE5ECB1-DB83-4B4B-BAA9-0D5C279E0957}"/>
    <cellStyle name="Comma 3 10 3 3 4 5" xfId="12933" xr:uid="{75F8242E-E8D7-463C-9530-8E8FC9542A7C}"/>
    <cellStyle name="Comma 3 10 3 3 4 6" xfId="14678" xr:uid="{3AFFFFBE-C610-4542-B2FF-45F29511887B}"/>
    <cellStyle name="Comma 3 10 3 3 5" xfId="4857" xr:uid="{BF111A6F-2D10-40E8-802F-C800CFB66399}"/>
    <cellStyle name="Comma 3 10 3 3 5 2" xfId="10317" xr:uid="{A522BE73-F6A9-49E0-8A28-5DE3D92CAF19}"/>
    <cellStyle name="Comma 3 10 3 3 6" xfId="5345" xr:uid="{C0D879F4-B186-4B14-8E2B-E6259B2C9B30}"/>
    <cellStyle name="Comma 3 10 3 3 6 2" xfId="10819" xr:uid="{F760B410-40B7-4FD4-9F4A-0C78AD61B29C}"/>
    <cellStyle name="Comma 3 10 3 3 7" xfId="5847" xr:uid="{9286181A-0256-440F-A671-445745D51CC1}"/>
    <cellStyle name="Comma 3 10 3 3 7 2" xfId="11321" xr:uid="{C8C97A84-31E5-4B70-96EE-DF9063E96ED1}"/>
    <cellStyle name="Comma 3 10 3 3 8" xfId="2873" xr:uid="{25FD2609-5CCF-4B35-9D99-EF2DA4B56598}"/>
    <cellStyle name="Comma 3 10 3 3 9" xfId="6787" xr:uid="{F680D64B-4087-43F6-BF32-76E22A2A6B36}"/>
    <cellStyle name="Comma 3 10 3 4" xfId="1265" xr:uid="{1201D2F7-E030-4FDB-985B-F7F8BAF51F4E}"/>
    <cellStyle name="Comma 3 10 3 4 10" xfId="12045" xr:uid="{D3B733C4-4271-4156-A848-E959E677B344}"/>
    <cellStyle name="Comma 3 10 3 4 11" xfId="13790" xr:uid="{0E93D68A-7F01-48D4-A974-81B32E9B9E6E}"/>
    <cellStyle name="Comma 3 10 3 4 2" xfId="1771" xr:uid="{36474D8A-3779-4693-A84B-8B5E58948965}"/>
    <cellStyle name="Comma 3 10 3 4 2 2" xfId="4493" xr:uid="{E497A1AF-90BE-4E64-8603-A6206C5996EF}"/>
    <cellStyle name="Comma 3 10 3 4 2 2 2" xfId="9939" xr:uid="{39B188A8-9C08-45A0-BE58-33FC6E429585}"/>
    <cellStyle name="Comma 3 10 3 4 2 3" xfId="3483" xr:uid="{9E802F0B-D89B-42C5-80D2-F6815EEA19C4}"/>
    <cellStyle name="Comma 3 10 3 4 2 4" xfId="7417" xr:uid="{821734DE-0236-435A-BEC9-DDB712656BE9}"/>
    <cellStyle name="Comma 3 10 3 4 2 5" xfId="8931" xr:uid="{45473BCE-E899-448F-850F-D67B88B2B415}"/>
    <cellStyle name="Comma 3 10 3 4 2 6" xfId="12551" xr:uid="{6DE25FCB-A790-4CDD-93F1-42AD33619A24}"/>
    <cellStyle name="Comma 3 10 3 4 2 7" xfId="14296" xr:uid="{A6C33B29-124B-472B-A731-DF4271482FD4}"/>
    <cellStyle name="Comma 3 10 3 4 3" xfId="2279" xr:uid="{4A6B57DC-2697-4A26-87FB-913A70323CA1}"/>
    <cellStyle name="Comma 3 10 3 4 3 2" xfId="3999" xr:uid="{1845775F-ADCE-4122-9AF1-6B8496F7D1CE}"/>
    <cellStyle name="Comma 3 10 3 4 3 3" xfId="7925" xr:uid="{49F185FA-76B7-4B66-BC1E-13C84CFD8966}"/>
    <cellStyle name="Comma 3 10 3 4 3 4" xfId="9443" xr:uid="{2FBCBD98-F057-4AE7-B0DF-920DEA682336}"/>
    <cellStyle name="Comma 3 10 3 4 3 5" xfId="13057" xr:uid="{64316AE1-7138-4FCC-AB4D-DD8D0DEDEF3C}"/>
    <cellStyle name="Comma 3 10 3 4 3 6" xfId="14802" xr:uid="{1B529C68-ACDC-424B-A48A-90116ACEA16D}"/>
    <cellStyle name="Comma 3 10 3 4 4" xfId="4973" xr:uid="{3F32EA9F-A770-41EF-916D-0417CDF77E5E}"/>
    <cellStyle name="Comma 3 10 3 4 4 2" xfId="10441" xr:uid="{F712CC8E-7E18-43C0-A0C8-3AA6179F8B89}"/>
    <cellStyle name="Comma 3 10 3 4 5" xfId="5469" xr:uid="{CA090F4F-DF59-4AB4-B616-5965A690D844}"/>
    <cellStyle name="Comma 3 10 3 4 5 2" xfId="10943" xr:uid="{C0E74BA1-A1A8-4164-B4F2-9982AF448E0A}"/>
    <cellStyle name="Comma 3 10 3 4 6" xfId="5971" xr:uid="{A1344991-D931-4048-A700-CE89951A4DC9}"/>
    <cellStyle name="Comma 3 10 3 4 6 2" xfId="11445" xr:uid="{EF82ECC3-4215-49FB-B69C-B9F75AB0E04C}"/>
    <cellStyle name="Comma 3 10 3 4 7" xfId="2991" xr:uid="{FA02281E-7AC8-4832-9CBC-E6A4FCB454ED}"/>
    <cellStyle name="Comma 3 10 3 4 8" xfId="6911" xr:uid="{4E95611E-487D-4D7D-A4F3-C705F96078E1}"/>
    <cellStyle name="Comma 3 10 3 4 9" xfId="8435" xr:uid="{A82DF33D-FBB2-45C0-885B-646C8B2BF2CB}"/>
    <cellStyle name="Comma 3 10 3 5" xfId="1523" xr:uid="{9833107E-3ED3-4421-822A-F5B725C3A234}"/>
    <cellStyle name="Comma 3 10 3 5 2" xfId="4247" xr:uid="{7F54D611-811D-4851-B1E6-42BF4DCB5FD8}"/>
    <cellStyle name="Comma 3 10 3 5 2 2" xfId="9691" xr:uid="{FA7CA384-9465-40C0-A52D-2DD889AF4F9A}"/>
    <cellStyle name="Comma 3 10 3 5 3" xfId="3237" xr:uid="{1B19C150-1CC7-4FE8-9CB7-1A629E254E22}"/>
    <cellStyle name="Comma 3 10 3 5 4" xfId="7169" xr:uid="{7931E561-3EF8-4B4D-8E4D-1050F7833B62}"/>
    <cellStyle name="Comma 3 10 3 5 5" xfId="8683" xr:uid="{D15C2777-7822-45A7-B831-4C36D176FEC3}"/>
    <cellStyle name="Comma 3 10 3 5 6" xfId="12303" xr:uid="{472FD43A-9DC5-4A8B-BFAF-062F8E5E51AC}"/>
    <cellStyle name="Comma 3 10 3 5 7" xfId="14048" xr:uid="{962CFC99-82AB-441B-9332-3953C9F342EE}"/>
    <cellStyle name="Comma 3 10 3 6" xfId="2031" xr:uid="{81BA9554-C4F8-4E0D-8F7D-E00B02FD1C56}"/>
    <cellStyle name="Comma 3 10 3 6 2" xfId="3751" xr:uid="{CC4A52D3-B485-42A5-BE42-653E35D492C2}"/>
    <cellStyle name="Comma 3 10 3 6 3" xfId="7677" xr:uid="{744E301F-39D9-41E5-A926-AFCBA3B2BDD3}"/>
    <cellStyle name="Comma 3 10 3 6 4" xfId="9195" xr:uid="{E1C61078-AD44-4DE7-A83C-B6FE6A9B2612}"/>
    <cellStyle name="Comma 3 10 3 6 5" xfId="12809" xr:uid="{8DDF6D4A-18E8-4302-BF41-E2149A1FCD23}"/>
    <cellStyle name="Comma 3 10 3 6 6" xfId="14554" xr:uid="{2B545B28-AF61-4001-8A69-F17C4F9994F1}"/>
    <cellStyle name="Comma 3 10 3 7" xfId="4745" xr:uid="{611B92EB-C722-4DE8-984A-B2E0BA43F79C}"/>
    <cellStyle name="Comma 3 10 3 7 2" xfId="10193" xr:uid="{CC739968-5E59-4620-8648-F9FDCEF8550C}"/>
    <cellStyle name="Comma 3 10 3 8" xfId="5221" xr:uid="{821A15FF-35BD-4B83-BD77-6AB866BF423F}"/>
    <cellStyle name="Comma 3 10 3 8 2" xfId="10695" xr:uid="{322105BE-6521-44E1-8C2C-68DC7E9DE9D1}"/>
    <cellStyle name="Comma 3 10 3 9" xfId="5723" xr:uid="{3E6452A0-7699-4EE8-ACAA-2921F6E67F2D}"/>
    <cellStyle name="Comma 3 10 3 9 2" xfId="11197" xr:uid="{D23F33A6-038A-4125-B29C-E57D00B8162B}"/>
    <cellStyle name="Comma 3 10 4" xfId="1025" xr:uid="{C5695D9B-AFEB-4377-BD37-58F0E4E6C747}"/>
    <cellStyle name="Comma 3 10 4 10" xfId="6671" xr:uid="{AC38D420-5117-490D-964C-5C057CE8A4DB}"/>
    <cellStyle name="Comma 3 10 4 11" xfId="8195" xr:uid="{862EE3DE-1539-46C0-B3AA-4300D6AA50A7}"/>
    <cellStyle name="Comma 3 10 4 12" xfId="11805" xr:uid="{897DE014-575A-4C4B-B260-014CF4424E8E}"/>
    <cellStyle name="Comma 3 10 4 13" xfId="13550" xr:uid="{4D300809-0C47-46EF-ACB3-272DE41BAF84}"/>
    <cellStyle name="Comma 3 10 4 2" xfId="1149" xr:uid="{8FFF580E-AE78-4451-B588-B006550C3429}"/>
    <cellStyle name="Comma 3 10 4 2 10" xfId="8319" xr:uid="{5C175274-9BE9-48CF-818D-63A0FEE323C6}"/>
    <cellStyle name="Comma 3 10 4 2 11" xfId="11929" xr:uid="{08AD5789-8A96-4C56-871A-249C2A4C1BD2}"/>
    <cellStyle name="Comma 3 10 4 2 12" xfId="13674" xr:uid="{2AF42ECC-0414-4888-A562-09CA907329F4}"/>
    <cellStyle name="Comma 3 10 4 2 2" xfId="1397" xr:uid="{9FFAAD76-C3BA-4A47-9245-B6CD6CF1CFEC}"/>
    <cellStyle name="Comma 3 10 4 2 2 10" xfId="12177" xr:uid="{F56D35EE-6C0E-4703-BFDD-9D8229006CE0}"/>
    <cellStyle name="Comma 3 10 4 2 2 11" xfId="13922" xr:uid="{9731B2FB-94E9-4D63-BA70-5DC47B5F9C35}"/>
    <cellStyle name="Comma 3 10 4 2 2 2" xfId="1903" xr:uid="{E7621366-C2A8-4870-8AAF-058337158A9B}"/>
    <cellStyle name="Comma 3 10 4 2 2 2 2" xfId="4625" xr:uid="{78DEDBAC-6D8B-4E71-B30E-74DA87B6A75D}"/>
    <cellStyle name="Comma 3 10 4 2 2 2 2 2" xfId="10071" xr:uid="{F2661621-D9AF-4A45-9272-8397F4E96737}"/>
    <cellStyle name="Comma 3 10 4 2 2 2 3" xfId="3615" xr:uid="{C78C5022-AD4C-4A58-948B-68B5CD141DE4}"/>
    <cellStyle name="Comma 3 10 4 2 2 2 4" xfId="7549" xr:uid="{24A626B7-5355-4079-8093-91B533ED0766}"/>
    <cellStyle name="Comma 3 10 4 2 2 2 5" xfId="9063" xr:uid="{8E10F4C0-5CF5-49BC-94D0-F84EB2F1FBC3}"/>
    <cellStyle name="Comma 3 10 4 2 2 2 6" xfId="12683" xr:uid="{0F708562-5714-4C72-A63F-A1A8934540AC}"/>
    <cellStyle name="Comma 3 10 4 2 2 2 7" xfId="14428" xr:uid="{7074DA82-CC95-4183-A986-59C9A4A8BF1C}"/>
    <cellStyle name="Comma 3 10 4 2 2 3" xfId="2411" xr:uid="{0DC11A81-C2D3-4CB6-8A11-9F35452A0AF6}"/>
    <cellStyle name="Comma 3 10 4 2 2 3 2" xfId="4131" xr:uid="{E5CAE5E2-6DF1-4C83-8231-258ABD754576}"/>
    <cellStyle name="Comma 3 10 4 2 2 3 3" xfId="8057" xr:uid="{657BEBE7-5A55-4FAB-8821-6AEBC9FE84D8}"/>
    <cellStyle name="Comma 3 10 4 2 2 3 4" xfId="9575" xr:uid="{51550600-EAF3-4C91-9BF3-6894BBA34C25}"/>
    <cellStyle name="Comma 3 10 4 2 2 3 5" xfId="13189" xr:uid="{71C820CD-B554-4FEC-82E6-DE3F1636B705}"/>
    <cellStyle name="Comma 3 10 4 2 2 3 6" xfId="14934" xr:uid="{D3AC5319-BFF3-49E3-B4B8-4240815057C5}"/>
    <cellStyle name="Comma 3 10 4 2 2 4" xfId="5103" xr:uid="{23B63D72-D564-400F-B114-A42D829D8597}"/>
    <cellStyle name="Comma 3 10 4 2 2 4 2" xfId="10573" xr:uid="{74A3F38A-8089-4ED6-BC24-C6142289E30A}"/>
    <cellStyle name="Comma 3 10 4 2 2 5" xfId="5601" xr:uid="{ACEBDB61-51D0-4212-9F1D-2E70574D6130}"/>
    <cellStyle name="Comma 3 10 4 2 2 5 2" xfId="11075" xr:uid="{857D9B32-9894-4D68-B290-4DA19FD03995}"/>
    <cellStyle name="Comma 3 10 4 2 2 6" xfId="6103" xr:uid="{0A340058-18EF-47AF-9AA5-903C301B1247}"/>
    <cellStyle name="Comma 3 10 4 2 2 6 2" xfId="11577" xr:uid="{9FCB3CF8-E0F7-49C6-B50D-8D665B526DA2}"/>
    <cellStyle name="Comma 3 10 4 2 2 7" xfId="3121" xr:uid="{4D66E084-4CDB-405D-B0C4-9C19763DCD03}"/>
    <cellStyle name="Comma 3 10 4 2 2 8" xfId="7043" xr:uid="{D325568B-6EEC-4E5D-AA63-1D9E30AABC84}"/>
    <cellStyle name="Comma 3 10 4 2 2 9" xfId="8567" xr:uid="{ECAC126A-2618-44EF-B9D5-6CCEE8C152BF}"/>
    <cellStyle name="Comma 3 10 4 2 3" xfId="1655" xr:uid="{78B8F0DC-597B-496B-9CCC-86875EBDF5FE}"/>
    <cellStyle name="Comma 3 10 4 2 3 2" xfId="4377" xr:uid="{40E00FCB-C6A0-41B1-BE11-6DA3FCD6F509}"/>
    <cellStyle name="Comma 3 10 4 2 3 2 2" xfId="9823" xr:uid="{7842AAD8-A387-4A52-976A-825A28E54A16}"/>
    <cellStyle name="Comma 3 10 4 2 3 3" xfId="3367" xr:uid="{63978300-C774-462C-9C4A-10BD7FD81081}"/>
    <cellStyle name="Comma 3 10 4 2 3 4" xfId="7301" xr:uid="{79097850-9DA0-48DF-9861-5C278874F412}"/>
    <cellStyle name="Comma 3 10 4 2 3 5" xfId="8815" xr:uid="{7875B0D8-F02E-4B42-9EA4-1BCCBD29B1DE}"/>
    <cellStyle name="Comma 3 10 4 2 3 6" xfId="12435" xr:uid="{411E2716-1D79-4D94-B913-E6894424C55F}"/>
    <cellStyle name="Comma 3 10 4 2 3 7" xfId="14180" xr:uid="{3F374256-10CB-47F4-8FB1-4855DFEDC021}"/>
    <cellStyle name="Comma 3 10 4 2 4" xfId="2163" xr:uid="{7BA05E61-E855-4D16-B031-FFD18D93B8DE}"/>
    <cellStyle name="Comma 3 10 4 2 4 2" xfId="3883" xr:uid="{6B8E7FE0-D0ED-460F-8ACB-75653A6E534D}"/>
    <cellStyle name="Comma 3 10 4 2 4 3" xfId="7809" xr:uid="{90658D81-2E34-4958-BD45-21F117B55728}"/>
    <cellStyle name="Comma 3 10 4 2 4 4" xfId="9327" xr:uid="{F0949761-82E9-4552-ACE9-3003D2855522}"/>
    <cellStyle name="Comma 3 10 4 2 4 5" xfId="12941" xr:uid="{6EBD866C-F230-4C54-BCC8-DA84BB24F71C}"/>
    <cellStyle name="Comma 3 10 4 2 4 6" xfId="14686" xr:uid="{22F97E7F-69F3-48C6-9FC2-3877F145B981}"/>
    <cellStyle name="Comma 3 10 4 2 5" xfId="4865" xr:uid="{7A3803BC-ADF7-4759-B12C-8A85D0FA7AF5}"/>
    <cellStyle name="Comma 3 10 4 2 5 2" xfId="10325" xr:uid="{B4CCCEF5-5513-4C5A-A0BA-3A4D1EE996D9}"/>
    <cellStyle name="Comma 3 10 4 2 6" xfId="5353" xr:uid="{2C2A6AE6-4789-4898-846E-7D13C98A9DFE}"/>
    <cellStyle name="Comma 3 10 4 2 6 2" xfId="10827" xr:uid="{9CB7FE68-CA09-437C-9A26-AE07D37C91DC}"/>
    <cellStyle name="Comma 3 10 4 2 7" xfId="5855" xr:uid="{15FAD28A-BB32-4F32-85AF-FD3899E84B18}"/>
    <cellStyle name="Comma 3 10 4 2 7 2" xfId="11329" xr:uid="{C98CC221-6EE8-4AE5-90DC-2B245C05255E}"/>
    <cellStyle name="Comma 3 10 4 2 8" xfId="2881" xr:uid="{9BF0A55D-EA0A-4430-B6C1-ABD074475E2C}"/>
    <cellStyle name="Comma 3 10 4 2 9" xfId="6795" xr:uid="{C5F9A21B-84A8-4D94-9B98-3F6913CEB5CE}"/>
    <cellStyle name="Comma 3 10 4 3" xfId="1273" xr:uid="{2DF9492E-6DA5-46C9-91F7-D5A86E4BEA04}"/>
    <cellStyle name="Comma 3 10 4 3 10" xfId="12053" xr:uid="{110884AF-3E92-4AB7-8808-F461E7A9B47D}"/>
    <cellStyle name="Comma 3 10 4 3 11" xfId="13798" xr:uid="{4C07B21B-4659-481D-8063-8D4FD2E15387}"/>
    <cellStyle name="Comma 3 10 4 3 2" xfId="1779" xr:uid="{6B823179-0700-47FC-8177-668648620D0B}"/>
    <cellStyle name="Comma 3 10 4 3 2 2" xfId="4501" xr:uid="{B01D3DEB-981C-4536-8A72-74F1793E21D1}"/>
    <cellStyle name="Comma 3 10 4 3 2 2 2" xfId="9947" xr:uid="{D806AE0A-63C1-4EFA-AA51-107ED7388A86}"/>
    <cellStyle name="Comma 3 10 4 3 2 3" xfId="3491" xr:uid="{64A52938-8087-4238-BA64-80504CAA5B1B}"/>
    <cellStyle name="Comma 3 10 4 3 2 4" xfId="7425" xr:uid="{93BCCC3A-9345-42E6-9A15-43447A04D3E0}"/>
    <cellStyle name="Comma 3 10 4 3 2 5" xfId="8939" xr:uid="{E065A7D1-0FC9-4D6B-B924-D6521DEA9B7B}"/>
    <cellStyle name="Comma 3 10 4 3 2 6" xfId="12559" xr:uid="{CD9A25CD-7045-40AB-8D22-4CFC5555433F}"/>
    <cellStyle name="Comma 3 10 4 3 2 7" xfId="14304" xr:uid="{D475A5EF-8CFD-4667-97A5-349FB4FD9B39}"/>
    <cellStyle name="Comma 3 10 4 3 3" xfId="2287" xr:uid="{10D9E38F-73BE-4E93-A86F-BC8C7279D642}"/>
    <cellStyle name="Comma 3 10 4 3 3 2" xfId="4007" xr:uid="{070E9741-33D4-41E0-B39C-26777A7423A6}"/>
    <cellStyle name="Comma 3 10 4 3 3 3" xfId="7933" xr:uid="{502AB18D-C687-453E-A82B-E0B151A7D323}"/>
    <cellStyle name="Comma 3 10 4 3 3 4" xfId="9451" xr:uid="{0469F67A-F4C0-4160-AFA7-9B307B51927C}"/>
    <cellStyle name="Comma 3 10 4 3 3 5" xfId="13065" xr:uid="{D4C76F5B-F4E9-4FD5-84AF-0B4BF8367B89}"/>
    <cellStyle name="Comma 3 10 4 3 3 6" xfId="14810" xr:uid="{0305262E-C19B-47C8-ADC3-19B654B13636}"/>
    <cellStyle name="Comma 3 10 4 3 4" xfId="4981" xr:uid="{2933053F-7B56-4DC8-9E1C-6425BF902E97}"/>
    <cellStyle name="Comma 3 10 4 3 4 2" xfId="10449" xr:uid="{75D6481B-3A87-4D62-BA3C-A27DA6DFB717}"/>
    <cellStyle name="Comma 3 10 4 3 5" xfId="5477" xr:uid="{766177E1-78A0-4294-B13A-ACDFA16C9F28}"/>
    <cellStyle name="Comma 3 10 4 3 5 2" xfId="10951" xr:uid="{1D010F06-27EC-4BD8-A557-8CF2874EEEE8}"/>
    <cellStyle name="Comma 3 10 4 3 6" xfId="5979" xr:uid="{1914FB15-5600-457A-B63A-A646A50B1351}"/>
    <cellStyle name="Comma 3 10 4 3 6 2" xfId="11453" xr:uid="{AA63BA89-A209-41F2-A160-4D362A25B61C}"/>
    <cellStyle name="Comma 3 10 4 3 7" xfId="2999" xr:uid="{F84079EC-2D56-42F0-8BFC-5DA9FD0CB32B}"/>
    <cellStyle name="Comma 3 10 4 3 8" xfId="6919" xr:uid="{8FA20D0D-2891-4228-A193-DC463AC744F2}"/>
    <cellStyle name="Comma 3 10 4 3 9" xfId="8443" xr:uid="{9509B5AC-B474-407A-9D3C-199F74AA30FE}"/>
    <cellStyle name="Comma 3 10 4 4" xfId="1531" xr:uid="{C15C3BC6-6A78-4C4B-B078-04188AEA59B4}"/>
    <cellStyle name="Comma 3 10 4 4 2" xfId="4255" xr:uid="{75C2B8DA-66DB-4B81-BAB4-55CB8B6BB614}"/>
    <cellStyle name="Comma 3 10 4 4 2 2" xfId="9699" xr:uid="{61ED412E-C18F-4DB8-9E64-00013956351F}"/>
    <cellStyle name="Comma 3 10 4 4 3" xfId="3245" xr:uid="{4926852F-9930-4A25-92B3-86CE54B6918E}"/>
    <cellStyle name="Comma 3 10 4 4 4" xfId="7177" xr:uid="{C29CD3D3-B5F3-4D17-AFC3-063E380AF81D}"/>
    <cellStyle name="Comma 3 10 4 4 5" xfId="8691" xr:uid="{A695A94C-F6A7-4083-ACF9-BB100CBEA72F}"/>
    <cellStyle name="Comma 3 10 4 4 6" xfId="12311" xr:uid="{A1E79339-DC37-4EBE-BC55-3E7A2D6694F0}"/>
    <cellStyle name="Comma 3 10 4 4 7" xfId="14056" xr:uid="{BAA0BC2B-1A75-457F-9690-5C3ACF434C06}"/>
    <cellStyle name="Comma 3 10 4 5" xfId="2039" xr:uid="{08CFFD88-E8CA-4DB9-AD20-0BA666DEA81F}"/>
    <cellStyle name="Comma 3 10 4 5 2" xfId="3759" xr:uid="{AF24902C-6CE9-468D-ACF5-4C8E363A4ABA}"/>
    <cellStyle name="Comma 3 10 4 5 3" xfId="7685" xr:uid="{EDC85413-ECB7-4D0A-A300-D60BB127455F}"/>
    <cellStyle name="Comma 3 10 4 5 4" xfId="9203" xr:uid="{EB91483B-193E-4B35-A3EE-14B6375E1E3D}"/>
    <cellStyle name="Comma 3 10 4 5 5" xfId="12817" xr:uid="{7BD9A5D1-4246-4A3B-A6D2-931670810817}"/>
    <cellStyle name="Comma 3 10 4 5 6" xfId="14562" xr:uid="{FA7D9BB4-21DE-48F6-9C30-0771052F5ECA}"/>
    <cellStyle name="Comma 3 10 4 6" xfId="4753" xr:uid="{FBE1CAD1-1C5D-4EFA-BEA7-437D15F27860}"/>
    <cellStyle name="Comma 3 10 4 6 2" xfId="10201" xr:uid="{C853E550-CDCA-46FD-A898-66CBDE6BAB48}"/>
    <cellStyle name="Comma 3 10 4 7" xfId="5229" xr:uid="{81E15A11-F1E9-4D9F-AC12-13E7A8640250}"/>
    <cellStyle name="Comma 3 10 4 7 2" xfId="10703" xr:uid="{D5E779AB-C39B-4CB9-ADF5-02C55A6EF0AF}"/>
    <cellStyle name="Comma 3 10 4 8" xfId="5731" xr:uid="{72E4DC48-C8E7-43FD-A103-341D6533361D}"/>
    <cellStyle name="Comma 3 10 4 8 2" xfId="11205" xr:uid="{57F14DFC-E9C8-4B0F-A5EC-38589736CDEF}"/>
    <cellStyle name="Comma 3 10 4 9" xfId="2769" xr:uid="{F7ACD4C0-9CE9-461A-BAC9-B9DD3F6CBB0B}"/>
    <cellStyle name="Comma 3 10 5" xfId="1099" xr:uid="{B3DAB9A7-2ABF-48CF-B44D-71DD6DBA2715}"/>
    <cellStyle name="Comma 3 10 5 10" xfId="8269" xr:uid="{F207975A-AB40-47E4-913E-C5DC9729B123}"/>
    <cellStyle name="Comma 3 10 5 11" xfId="11879" xr:uid="{E32A0080-F9CF-4192-992E-E5270BE0C231}"/>
    <cellStyle name="Comma 3 10 5 12" xfId="13624" xr:uid="{3D3AB53B-59D8-405E-97C3-F7648A22C0CD}"/>
    <cellStyle name="Comma 3 10 5 2" xfId="1347" xr:uid="{981BC610-70C8-4A39-B8AF-A4E15D72F65D}"/>
    <cellStyle name="Comma 3 10 5 2 10" xfId="12127" xr:uid="{EC5139EB-2156-48DA-B0FE-7A8B4F1DD661}"/>
    <cellStyle name="Comma 3 10 5 2 11" xfId="13872" xr:uid="{B56EC6B4-75AA-4D6B-9319-56C2D69E3575}"/>
    <cellStyle name="Comma 3 10 5 2 2" xfId="1853" xr:uid="{FD0C27E7-201C-41B3-91E9-4C28ACF8BB0D}"/>
    <cellStyle name="Comma 3 10 5 2 2 2" xfId="4575" xr:uid="{4B40C39C-FB63-4A6B-BC9D-5B51A982EA61}"/>
    <cellStyle name="Comma 3 10 5 2 2 2 2" xfId="10021" xr:uid="{2AA6BBB7-811D-491A-BF69-62DA48C81573}"/>
    <cellStyle name="Comma 3 10 5 2 2 3" xfId="3565" xr:uid="{F73D2B7C-3C43-4EB0-9B8A-8A12C8B10526}"/>
    <cellStyle name="Comma 3 10 5 2 2 4" xfId="7499" xr:uid="{101E01BD-93AF-4FC4-A3DE-8994774811B3}"/>
    <cellStyle name="Comma 3 10 5 2 2 5" xfId="9013" xr:uid="{D9EEBB3A-EC47-437F-9311-0AA1888AD5B4}"/>
    <cellStyle name="Comma 3 10 5 2 2 6" xfId="12633" xr:uid="{365C7FB2-31DE-4657-A992-AC305B7FC429}"/>
    <cellStyle name="Comma 3 10 5 2 2 7" xfId="14378" xr:uid="{D260FAC7-1797-4104-A54A-CF1A55EC8E88}"/>
    <cellStyle name="Comma 3 10 5 2 3" xfId="2361" xr:uid="{A1F4831D-9932-4CB8-A25C-A01D0C538628}"/>
    <cellStyle name="Comma 3 10 5 2 3 2" xfId="4081" xr:uid="{C7416B3B-59F2-4534-B509-35C8252D90C7}"/>
    <cellStyle name="Comma 3 10 5 2 3 3" xfId="8007" xr:uid="{881C0C0C-51A8-47DD-A974-117AE4A17397}"/>
    <cellStyle name="Comma 3 10 5 2 3 4" xfId="9525" xr:uid="{11F0989E-D52D-4B1F-BCFC-1B67E7ACF6B2}"/>
    <cellStyle name="Comma 3 10 5 2 3 5" xfId="13139" xr:uid="{3CB57186-4B1C-48C0-9D53-5DD9E3006019}"/>
    <cellStyle name="Comma 3 10 5 2 3 6" xfId="14884" xr:uid="{B1AB4BBA-0676-43D6-94A2-445429A71D1A}"/>
    <cellStyle name="Comma 3 10 5 2 4" xfId="5053" xr:uid="{AF321822-D0D7-4503-B1C8-45C6ACEBA62B}"/>
    <cellStyle name="Comma 3 10 5 2 4 2" xfId="10523" xr:uid="{FF6F9D00-0A9D-486C-A1C8-695F9AA3AA86}"/>
    <cellStyle name="Comma 3 10 5 2 5" xfId="5551" xr:uid="{0A83E74E-6A45-4491-BA0A-6574AA4DF366}"/>
    <cellStyle name="Comma 3 10 5 2 5 2" xfId="11025" xr:uid="{217588E1-B442-41D2-9D9D-E657B56826D9}"/>
    <cellStyle name="Comma 3 10 5 2 6" xfId="6053" xr:uid="{D8D49168-1CED-4B72-A396-733D5AE597AC}"/>
    <cellStyle name="Comma 3 10 5 2 6 2" xfId="11527" xr:uid="{6CF7D587-B075-4178-8756-A672384E014F}"/>
    <cellStyle name="Comma 3 10 5 2 7" xfId="3071" xr:uid="{ADBCEA71-D894-4027-9B79-E390794EBBD4}"/>
    <cellStyle name="Comma 3 10 5 2 8" xfId="6993" xr:uid="{028F8F46-18C0-492E-8920-FD8EA2693A8E}"/>
    <cellStyle name="Comma 3 10 5 2 9" xfId="8517" xr:uid="{7247B95C-4FB0-4181-B294-C82DE469C37C}"/>
    <cellStyle name="Comma 3 10 5 3" xfId="1605" xr:uid="{406BE367-6C10-4E02-AD47-125FB7C0B762}"/>
    <cellStyle name="Comma 3 10 5 3 2" xfId="4327" xr:uid="{4103B596-CBA4-405D-8CE9-6903A74EAC46}"/>
    <cellStyle name="Comma 3 10 5 3 2 2" xfId="9773" xr:uid="{5D88ECA2-1417-4B62-9CBB-AD0310AAA287}"/>
    <cellStyle name="Comma 3 10 5 3 3" xfId="3317" xr:uid="{EEA83DEE-4EFD-40DE-980B-9DBE13D14A42}"/>
    <cellStyle name="Comma 3 10 5 3 4" xfId="7251" xr:uid="{9E7DAF75-AEC1-4A37-99B0-B4A64EA4F24B}"/>
    <cellStyle name="Comma 3 10 5 3 5" xfId="8765" xr:uid="{FEBFB8B2-8978-4A2E-B8FC-56D7AA11DA0B}"/>
    <cellStyle name="Comma 3 10 5 3 6" xfId="12385" xr:uid="{D88C59B3-720A-460B-9D6D-2242E55B06B1}"/>
    <cellStyle name="Comma 3 10 5 3 7" xfId="14130" xr:uid="{E4A36278-7A86-4057-B2B1-3A3C2A6AB367}"/>
    <cellStyle name="Comma 3 10 5 4" xfId="2113" xr:uid="{D2769C93-7E2D-4B6D-A35A-59F6E0CE90FC}"/>
    <cellStyle name="Comma 3 10 5 4 2" xfId="3833" xr:uid="{6BDF6EA1-1899-40A7-A258-FA93B2873929}"/>
    <cellStyle name="Comma 3 10 5 4 3" xfId="7759" xr:uid="{331DAA13-CD71-4635-BC49-CE1F68B2E5CC}"/>
    <cellStyle name="Comma 3 10 5 4 4" xfId="9277" xr:uid="{5DD1BAC9-9B6C-437E-B159-8E29D06A2645}"/>
    <cellStyle name="Comma 3 10 5 4 5" xfId="12891" xr:uid="{F2DF71BD-DB01-4E01-88AA-80356805C978}"/>
    <cellStyle name="Comma 3 10 5 4 6" xfId="14636" xr:uid="{B885C9F6-67F1-4628-9CA5-0E5B4358188F}"/>
    <cellStyle name="Comma 3 10 5 5" xfId="4819" xr:uid="{32408245-333E-4818-B9A1-1358FDB3C30D}"/>
    <cellStyle name="Comma 3 10 5 5 2" xfId="10275" xr:uid="{5EF7F9E4-7B04-4AD2-A741-1387B4A61B39}"/>
    <cellStyle name="Comma 3 10 5 6" xfId="5303" xr:uid="{90D269FF-1821-4A5E-BBF6-4D74B442C9CE}"/>
    <cellStyle name="Comma 3 10 5 6 2" xfId="10777" xr:uid="{CD05F7A8-C2E9-4F96-A7FD-B401516D3A47}"/>
    <cellStyle name="Comma 3 10 5 7" xfId="5805" xr:uid="{26A01423-3F2D-480D-AAC2-D8D965E9847F}"/>
    <cellStyle name="Comma 3 10 5 7 2" xfId="11279" xr:uid="{A8848BA1-0BD5-472C-8F84-E729C2614C91}"/>
    <cellStyle name="Comma 3 10 5 8" xfId="2835" xr:uid="{C953D059-387D-4771-8404-B5D5C109DAE0}"/>
    <cellStyle name="Comma 3 10 5 9" xfId="6745" xr:uid="{571AEC06-F697-49E0-BF11-6580B8C4E4A4}"/>
    <cellStyle name="Comma 3 10 6" xfId="1223" xr:uid="{166706F4-8A0B-43F0-9350-B5EA599BA888}"/>
    <cellStyle name="Comma 3 10 6 10" xfId="12003" xr:uid="{7ADCF1BD-B3C6-4BBF-9C36-D7CD72C505DF}"/>
    <cellStyle name="Comma 3 10 6 11" xfId="13748" xr:uid="{8F4FD414-46CB-4539-AD8A-14DB52D6FAD5}"/>
    <cellStyle name="Comma 3 10 6 2" xfId="1729" xr:uid="{9FBCC5C1-E831-45F3-8C50-7AEB0B75AEBA}"/>
    <cellStyle name="Comma 3 10 6 2 2" xfId="4451" xr:uid="{8B1A73B1-867F-408A-BCB6-21E4BCB75F89}"/>
    <cellStyle name="Comma 3 10 6 2 2 2" xfId="9897" xr:uid="{71B96960-BB45-4460-B7AD-8C39F06DBFCF}"/>
    <cellStyle name="Comma 3 10 6 2 3" xfId="3441" xr:uid="{7FCD609D-61B6-4101-BC10-057BD942024E}"/>
    <cellStyle name="Comma 3 10 6 2 4" xfId="7375" xr:uid="{9719E054-4E6C-4D39-BB13-2A135DCFF880}"/>
    <cellStyle name="Comma 3 10 6 2 5" xfId="8889" xr:uid="{EEF3223B-99BB-4FC0-8279-058DA09C3F90}"/>
    <cellStyle name="Comma 3 10 6 2 6" xfId="12509" xr:uid="{4BA75FF6-CE27-4763-B661-2CD5FCA81681}"/>
    <cellStyle name="Comma 3 10 6 2 7" xfId="14254" xr:uid="{5A86A6FD-417F-4944-87C1-BB0134343567}"/>
    <cellStyle name="Comma 3 10 6 3" xfId="2237" xr:uid="{C6A72DEF-EB3C-4D08-8AB7-F7561C3EBDD1}"/>
    <cellStyle name="Comma 3 10 6 3 2" xfId="3957" xr:uid="{D2F6BA23-5C03-4887-A241-499FB5AA72E5}"/>
    <cellStyle name="Comma 3 10 6 3 3" xfId="7883" xr:uid="{E20D8C28-1A6D-4840-9994-87E6B4B2678C}"/>
    <cellStyle name="Comma 3 10 6 3 4" xfId="9401" xr:uid="{4DA4F075-5337-40D9-ACD4-BC527FD64D17}"/>
    <cellStyle name="Comma 3 10 6 3 5" xfId="13015" xr:uid="{28CCF4D6-7D31-4CA5-A9BF-083A41DBB6A6}"/>
    <cellStyle name="Comma 3 10 6 3 6" xfId="14760" xr:uid="{D11BD480-A69E-4926-9F90-41B7905AF814}"/>
    <cellStyle name="Comma 3 10 6 4" xfId="4935" xr:uid="{8F99C813-3CD4-4160-8812-0822FC3AAEF1}"/>
    <cellStyle name="Comma 3 10 6 4 2" xfId="10399" xr:uid="{4943AFE0-C550-4D98-8B7D-4D4A0E9BB004}"/>
    <cellStyle name="Comma 3 10 6 5" xfId="5427" xr:uid="{461A3021-28B5-4807-89DC-7A6BDAFF31F8}"/>
    <cellStyle name="Comma 3 10 6 5 2" xfId="10901" xr:uid="{9BE3719C-6A3C-4C87-AF26-522CCC017A6A}"/>
    <cellStyle name="Comma 3 10 6 6" xfId="5929" xr:uid="{C74D1BE0-CFCF-4636-B4A9-7B32374795A6}"/>
    <cellStyle name="Comma 3 10 6 6 2" xfId="11403" xr:uid="{F214751A-3D0C-4349-B7A6-CE6638C7C696}"/>
    <cellStyle name="Comma 3 10 6 7" xfId="2953" xr:uid="{33EBA4BE-BECB-42D6-A4E1-120EF807F41D}"/>
    <cellStyle name="Comma 3 10 6 8" xfId="6869" xr:uid="{31CCA8D8-A1F2-4ECC-8E84-A8DED821BBE8}"/>
    <cellStyle name="Comma 3 10 6 9" xfId="8393" xr:uid="{4BCE996E-DDD9-4DFE-A6B4-AAA6E5374B36}"/>
    <cellStyle name="Comma 3 10 7" xfId="1481" xr:uid="{04752336-FB02-430C-A53F-67743FA4C0B4}"/>
    <cellStyle name="Comma 3 10 7 2" xfId="4205" xr:uid="{678AEBB7-210A-492B-A56E-3982CF93E782}"/>
    <cellStyle name="Comma 3 10 7 2 2" xfId="9649" xr:uid="{4EEBAD86-0000-42E8-910C-FD570501FE24}"/>
    <cellStyle name="Comma 3 10 7 3" xfId="3195" xr:uid="{DFFD4C85-0BE0-4DE0-AC0B-7A6AB9F05DD6}"/>
    <cellStyle name="Comma 3 10 7 4" xfId="7127" xr:uid="{2B1BCF3C-C0F1-4A00-893A-A46AE1484721}"/>
    <cellStyle name="Comma 3 10 7 5" xfId="8641" xr:uid="{67B7307E-6D1C-447C-98F9-A388D7A90DEF}"/>
    <cellStyle name="Comma 3 10 7 6" xfId="12261" xr:uid="{49D7729A-3814-4B3D-96F2-260851B7323E}"/>
    <cellStyle name="Comma 3 10 7 7" xfId="14006" xr:uid="{AD56AFE1-020F-4E04-B884-0F24A42CFAEF}"/>
    <cellStyle name="Comma 3 10 8" xfId="1989" xr:uid="{5350346A-1C09-4AD9-9FC0-8FBDC1951FEB}"/>
    <cellStyle name="Comma 3 10 8 2" xfId="3709" xr:uid="{048238BB-EB67-4692-8302-F5769E4290D3}"/>
    <cellStyle name="Comma 3 10 8 3" xfId="7635" xr:uid="{D886757C-756A-49BD-92A8-7A46CC95DF4A}"/>
    <cellStyle name="Comma 3 10 8 4" xfId="9153" xr:uid="{7165C2E2-C741-42DA-9408-D90C88055D1F}"/>
    <cellStyle name="Comma 3 10 8 5" xfId="12767" xr:uid="{9A2F765F-AA1A-46E8-BB3D-E25FBD881C0A}"/>
    <cellStyle name="Comma 3 10 8 6" xfId="14512" xr:uid="{A18EC413-D279-4F1B-89F1-D8559CBDDDE1}"/>
    <cellStyle name="Comma 3 10 9" xfId="4705" xr:uid="{3CE9E073-ACB2-484E-9CAC-86DDAE4E0E62}"/>
    <cellStyle name="Comma 3 10 9 2" xfId="10151" xr:uid="{7F60D15F-C32A-4B1A-8D57-5467CC67040D}"/>
    <cellStyle name="Comma 3 11" xfId="974" xr:uid="{851407F1-431D-487D-9C18-BDD39D45F030}"/>
    <cellStyle name="Comma 3 12" xfId="969" xr:uid="{F697A072-3173-4B86-9B21-BBA861A79549}"/>
    <cellStyle name="Comma 3 12 10" xfId="2725" xr:uid="{F8403F82-E478-4197-B210-A8C0CC8008E0}"/>
    <cellStyle name="Comma 3 12 11" xfId="6620" xr:uid="{9536E179-416F-4E42-88FE-2C13D541AC3B}"/>
    <cellStyle name="Comma 3 12 12" xfId="8147" xr:uid="{AD3DDAC5-1DB9-4A08-A08C-A33D5CC98122}"/>
    <cellStyle name="Comma 3 12 13" xfId="11757" xr:uid="{70AC62A2-3A42-4C47-B3DB-848EA0F6B12A}"/>
    <cellStyle name="Comma 3 12 14" xfId="13502" xr:uid="{AC0BA296-6083-4EF3-9B6D-4468658E9CCB}"/>
    <cellStyle name="Comma 3 12 2" xfId="1028" xr:uid="{3268E66B-620D-4D01-B270-889558FD0029}"/>
    <cellStyle name="Comma 3 12 2 10" xfId="6674" xr:uid="{60BD027F-E86E-4976-9C81-0DA4E35AF1A5}"/>
    <cellStyle name="Comma 3 12 2 11" xfId="8198" xr:uid="{2EFCC86B-81FA-4435-B247-1F1EC09FADD1}"/>
    <cellStyle name="Comma 3 12 2 12" xfId="11808" xr:uid="{C9741B84-04F3-44A4-AA38-030477572A15}"/>
    <cellStyle name="Comma 3 12 2 13" xfId="13553" xr:uid="{F1463C98-07B9-4379-A1B6-8BFD846944D5}"/>
    <cellStyle name="Comma 3 12 2 2" xfId="1152" xr:uid="{1C611598-75B0-4071-80CE-2DC3506171A3}"/>
    <cellStyle name="Comma 3 12 2 2 10" xfId="8322" xr:uid="{E80C7B0E-3A11-48AC-B076-DB8FF0BFBC45}"/>
    <cellStyle name="Comma 3 12 2 2 11" xfId="11932" xr:uid="{EFAA15C7-8BE5-47D7-9A43-5FECC32580D4}"/>
    <cellStyle name="Comma 3 12 2 2 12" xfId="13677" xr:uid="{121D9936-65FE-4F83-8650-D652D8F38EA2}"/>
    <cellStyle name="Comma 3 12 2 2 2" xfId="1400" xr:uid="{E7CC7297-56A1-4598-9C0F-C54BEA8046B4}"/>
    <cellStyle name="Comma 3 12 2 2 2 10" xfId="12180" xr:uid="{2AF33912-A22F-4F72-93E7-AEAD17804A1F}"/>
    <cellStyle name="Comma 3 12 2 2 2 11" xfId="13925" xr:uid="{255EBC33-B6D8-4CBD-B849-584322C425E3}"/>
    <cellStyle name="Comma 3 12 2 2 2 2" xfId="1906" xr:uid="{F4AEF0C2-7446-4F09-8FC4-FE73F4F1D242}"/>
    <cellStyle name="Comma 3 12 2 2 2 2 2" xfId="4628" xr:uid="{C69CD973-0E7B-471F-97B4-9B36A6800372}"/>
    <cellStyle name="Comma 3 12 2 2 2 2 2 2" xfId="10074" xr:uid="{112FEFC1-C356-4AE5-A013-1535FAED4A93}"/>
    <cellStyle name="Comma 3 12 2 2 2 2 3" xfId="3618" xr:uid="{3CAD01B7-7C6D-47AF-AD75-44C91DD2200C}"/>
    <cellStyle name="Comma 3 12 2 2 2 2 4" xfId="7552" xr:uid="{26FEDCCE-86EF-4A7B-8628-34880CE3DBD2}"/>
    <cellStyle name="Comma 3 12 2 2 2 2 5" xfId="9066" xr:uid="{212ABB13-EF1D-452F-9722-A3335D1AA8E1}"/>
    <cellStyle name="Comma 3 12 2 2 2 2 6" xfId="12686" xr:uid="{D8571114-072B-4945-92DD-3F2DBEC5FC76}"/>
    <cellStyle name="Comma 3 12 2 2 2 2 7" xfId="14431" xr:uid="{C983F06D-44DC-46E5-BB66-49440D9E00A9}"/>
    <cellStyle name="Comma 3 12 2 2 2 3" xfId="2414" xr:uid="{36309728-5EA7-4429-BF00-69716A7BDA78}"/>
    <cellStyle name="Comma 3 12 2 2 2 3 2" xfId="4134" xr:uid="{0BED76A0-A588-4F06-90FA-CE2C3613DC72}"/>
    <cellStyle name="Comma 3 12 2 2 2 3 3" xfId="8060" xr:uid="{F87A5D2E-0A9F-4B7E-B346-3030C2B9C115}"/>
    <cellStyle name="Comma 3 12 2 2 2 3 4" xfId="9578" xr:uid="{E56FA381-5174-4E83-9A9D-1BCE030083A0}"/>
    <cellStyle name="Comma 3 12 2 2 2 3 5" xfId="13192" xr:uid="{029D987E-C8D9-498C-8983-C549EAE6AC32}"/>
    <cellStyle name="Comma 3 12 2 2 2 3 6" xfId="14937" xr:uid="{139EBAE7-5553-4606-BFE3-5117CBCB4664}"/>
    <cellStyle name="Comma 3 12 2 2 2 4" xfId="5106" xr:uid="{210BA599-D0E0-449B-8BF5-B5E2F3C3B95C}"/>
    <cellStyle name="Comma 3 12 2 2 2 4 2" xfId="10576" xr:uid="{B2948981-95D9-449C-AC09-7EF083DC6C51}"/>
    <cellStyle name="Comma 3 12 2 2 2 5" xfId="5604" xr:uid="{D9E95EAA-ED3C-4309-B424-780866266798}"/>
    <cellStyle name="Comma 3 12 2 2 2 5 2" xfId="11078" xr:uid="{9B8A6EFF-9A71-4B96-90D5-130E09943323}"/>
    <cellStyle name="Comma 3 12 2 2 2 6" xfId="6106" xr:uid="{3DC42063-693C-486C-82FA-C1D8DDBF7ECA}"/>
    <cellStyle name="Comma 3 12 2 2 2 6 2" xfId="11580" xr:uid="{1503E615-C8F9-4BA7-8385-53F4EA218468}"/>
    <cellStyle name="Comma 3 12 2 2 2 7" xfId="3124" xr:uid="{D95A46BE-7D4D-4F13-BC01-396459434B1F}"/>
    <cellStyle name="Comma 3 12 2 2 2 8" xfId="7046" xr:uid="{31C38857-951E-4708-AE4F-CD1CABD9B3B6}"/>
    <cellStyle name="Comma 3 12 2 2 2 9" xfId="8570" xr:uid="{4AE606CC-0602-4915-A516-BDBA8A894BA0}"/>
    <cellStyle name="Comma 3 12 2 2 3" xfId="1658" xr:uid="{8FBB3982-2841-4D52-9CE2-0923660DED9D}"/>
    <cellStyle name="Comma 3 12 2 2 3 2" xfId="4380" xr:uid="{ED535A24-C1AF-422C-A7D5-D940427944B7}"/>
    <cellStyle name="Comma 3 12 2 2 3 2 2" xfId="9826" xr:uid="{5B267ABF-2672-4386-9CE1-E03230083F50}"/>
    <cellStyle name="Comma 3 12 2 2 3 3" xfId="3370" xr:uid="{623BBD55-9E7A-4DFC-AEFA-5BD438006A78}"/>
    <cellStyle name="Comma 3 12 2 2 3 4" xfId="7304" xr:uid="{B2E4676E-8D30-42BC-9AA0-EAFC30E742A3}"/>
    <cellStyle name="Comma 3 12 2 2 3 5" xfId="8818" xr:uid="{BEDED218-9198-4495-BD9D-46B20AF38B0A}"/>
    <cellStyle name="Comma 3 12 2 2 3 6" xfId="12438" xr:uid="{F763E356-B4FD-4215-8B73-D89878A19435}"/>
    <cellStyle name="Comma 3 12 2 2 3 7" xfId="14183" xr:uid="{4179CB41-C214-48FE-AE66-67FCC9572BF7}"/>
    <cellStyle name="Comma 3 12 2 2 4" xfId="2166" xr:uid="{6E3C3A48-832B-46CC-9ACB-3BBA164B3665}"/>
    <cellStyle name="Comma 3 12 2 2 4 2" xfId="3886" xr:uid="{71C02418-88E8-4DDD-B882-D303A714A86B}"/>
    <cellStyle name="Comma 3 12 2 2 4 3" xfId="7812" xr:uid="{C93919BC-7DC3-4E6A-8AD0-DD360D33E7DE}"/>
    <cellStyle name="Comma 3 12 2 2 4 4" xfId="9330" xr:uid="{C2E2FFAB-AAEA-4E84-A0FC-BEFEA18610AE}"/>
    <cellStyle name="Comma 3 12 2 2 4 5" xfId="12944" xr:uid="{41A3A086-C6E6-41F2-BF2D-240404B6F14A}"/>
    <cellStyle name="Comma 3 12 2 2 4 6" xfId="14689" xr:uid="{8F593322-0E21-4AB2-A687-84B88EE205A8}"/>
    <cellStyle name="Comma 3 12 2 2 5" xfId="4868" xr:uid="{CEF6725B-0969-4DD7-97EF-E058D7DB6E32}"/>
    <cellStyle name="Comma 3 12 2 2 5 2" xfId="10328" xr:uid="{EC01E861-8615-43B6-9500-19930A4E2733}"/>
    <cellStyle name="Comma 3 12 2 2 6" xfId="5356" xr:uid="{4D0B2E13-7430-4E29-A91A-C7796AE0D1C6}"/>
    <cellStyle name="Comma 3 12 2 2 6 2" xfId="10830" xr:uid="{C81BA918-71DB-47BD-8836-8D01316B2979}"/>
    <cellStyle name="Comma 3 12 2 2 7" xfId="5858" xr:uid="{97A1AAA4-6B59-45BE-9AE5-45464BAFE100}"/>
    <cellStyle name="Comma 3 12 2 2 7 2" xfId="11332" xr:uid="{F9294F3B-106F-465C-B4AD-64E8DAE89901}"/>
    <cellStyle name="Comma 3 12 2 2 8" xfId="2884" xr:uid="{8E9D8940-9A04-4AE8-8A8F-DB47D4FDCA15}"/>
    <cellStyle name="Comma 3 12 2 2 9" xfId="6798" xr:uid="{8B7D6D78-9DED-4C44-8CA5-6E7F3F6F0919}"/>
    <cellStyle name="Comma 3 12 2 3" xfId="1276" xr:uid="{41B0F551-5CE5-48C7-ADB9-76C398E86D5C}"/>
    <cellStyle name="Comma 3 12 2 3 10" xfId="12056" xr:uid="{5FEBAFFA-785F-49C6-B3CF-3907BEC09AB7}"/>
    <cellStyle name="Comma 3 12 2 3 11" xfId="13801" xr:uid="{08E4E479-866F-4E12-9B93-02799B6DFD45}"/>
    <cellStyle name="Comma 3 12 2 3 2" xfId="1782" xr:uid="{B2B51E0F-B282-44D6-B52F-A48F9C27E051}"/>
    <cellStyle name="Comma 3 12 2 3 2 2" xfId="4504" xr:uid="{306FD9E3-FD65-4A39-B7D0-902DCC738A49}"/>
    <cellStyle name="Comma 3 12 2 3 2 2 2" xfId="9950" xr:uid="{1B6027E4-178A-443C-8289-B0EA619ABB32}"/>
    <cellStyle name="Comma 3 12 2 3 2 3" xfId="3494" xr:uid="{1338EB2F-9B67-43A1-A7D6-F86524142760}"/>
    <cellStyle name="Comma 3 12 2 3 2 4" xfId="7428" xr:uid="{D5E03983-D912-4190-AE44-35E9AFE4E704}"/>
    <cellStyle name="Comma 3 12 2 3 2 5" xfId="8942" xr:uid="{7C974B5B-92BA-4440-859C-1CB157530D5B}"/>
    <cellStyle name="Comma 3 12 2 3 2 6" xfId="12562" xr:uid="{98AE4719-DFD9-4961-B6BE-3F82906BEF2E}"/>
    <cellStyle name="Comma 3 12 2 3 2 7" xfId="14307" xr:uid="{E52613F0-7EA1-4F70-925E-E466680F642E}"/>
    <cellStyle name="Comma 3 12 2 3 3" xfId="2290" xr:uid="{927A8B32-F251-4169-9780-485D0334D200}"/>
    <cellStyle name="Comma 3 12 2 3 3 2" xfId="4010" xr:uid="{039CCC54-71BB-4807-BCD6-24D8E7110CCE}"/>
    <cellStyle name="Comma 3 12 2 3 3 3" xfId="7936" xr:uid="{695A0F53-4D90-4D1A-B706-9D1230A28A9D}"/>
    <cellStyle name="Comma 3 12 2 3 3 4" xfId="9454" xr:uid="{9610A5A7-1A3E-4B71-8EA2-FB523C78623D}"/>
    <cellStyle name="Comma 3 12 2 3 3 5" xfId="13068" xr:uid="{AA058AD1-ED4E-43CC-8B9A-06C3866AE57F}"/>
    <cellStyle name="Comma 3 12 2 3 3 6" xfId="14813" xr:uid="{F3159A20-52FB-4488-8CE3-A4F4BA8F16DF}"/>
    <cellStyle name="Comma 3 12 2 3 4" xfId="4984" xr:uid="{C0A634D7-FB55-4F2A-8ECA-15FC196591CA}"/>
    <cellStyle name="Comma 3 12 2 3 4 2" xfId="10452" xr:uid="{12835F10-042C-4E2C-88D2-2E043917E2BD}"/>
    <cellStyle name="Comma 3 12 2 3 5" xfId="5480" xr:uid="{9A74BD24-0B16-455E-A55B-18D54F6FC95E}"/>
    <cellStyle name="Comma 3 12 2 3 5 2" xfId="10954" xr:uid="{25E24E57-B058-42F7-B4AD-2D568EF17E97}"/>
    <cellStyle name="Comma 3 12 2 3 6" xfId="5982" xr:uid="{D6CEB8C0-654F-48D6-BBB8-327D504A1651}"/>
    <cellStyle name="Comma 3 12 2 3 6 2" xfId="11456" xr:uid="{2561A53B-27F3-49A0-8EB2-D208C909BEA9}"/>
    <cellStyle name="Comma 3 12 2 3 7" xfId="3002" xr:uid="{36FEC8B8-1D9D-4799-B58F-C474F698B0DB}"/>
    <cellStyle name="Comma 3 12 2 3 8" xfId="6922" xr:uid="{F4A9D08F-D0E1-4CA3-B522-F724385BF555}"/>
    <cellStyle name="Comma 3 12 2 3 9" xfId="8446" xr:uid="{B431DCF0-EF1F-46E6-A4DD-FE461FC8EA98}"/>
    <cellStyle name="Comma 3 12 2 4" xfId="1534" xr:uid="{A294C5A7-C6E5-403B-A157-6202F0186325}"/>
    <cellStyle name="Comma 3 12 2 4 2" xfId="4258" xr:uid="{5C4C0F28-532B-4119-BC74-4D35CEF90667}"/>
    <cellStyle name="Comma 3 12 2 4 2 2" xfId="9702" xr:uid="{0FA033AF-D62E-4FFA-9687-EF74AC2C921E}"/>
    <cellStyle name="Comma 3 12 2 4 3" xfId="3248" xr:uid="{CA26E0AD-8D32-4A59-AB12-84646575CD29}"/>
    <cellStyle name="Comma 3 12 2 4 4" xfId="7180" xr:uid="{7A6D2D4E-9537-4BCD-B228-83D38C4D275B}"/>
    <cellStyle name="Comma 3 12 2 4 5" xfId="8694" xr:uid="{22AAE49A-1051-4215-A5F4-0675575F23B5}"/>
    <cellStyle name="Comma 3 12 2 4 6" xfId="12314" xr:uid="{29E448D3-AE1B-4EF9-A609-B2D7C991DF1A}"/>
    <cellStyle name="Comma 3 12 2 4 7" xfId="14059" xr:uid="{AEDC230B-326C-4032-848F-E21A5E375280}"/>
    <cellStyle name="Comma 3 12 2 5" xfId="2042" xr:uid="{17B78338-2039-4108-B584-13675AE1F157}"/>
    <cellStyle name="Comma 3 12 2 5 2" xfId="3762" xr:uid="{1608E5D1-97CA-4A0E-B7CD-EA1EA8CFD5A8}"/>
    <cellStyle name="Comma 3 12 2 5 3" xfId="7688" xr:uid="{909800A2-596E-4430-9882-831B5CA4C7A5}"/>
    <cellStyle name="Comma 3 12 2 5 4" xfId="9206" xr:uid="{8DA58E9B-A211-4D51-9B91-E4DD5C71168A}"/>
    <cellStyle name="Comma 3 12 2 5 5" xfId="12820" xr:uid="{C6866365-FB81-4140-877A-20D6440CCAA1}"/>
    <cellStyle name="Comma 3 12 2 5 6" xfId="14565" xr:uid="{E4D23266-D11A-4779-AF27-4C5140521430}"/>
    <cellStyle name="Comma 3 12 2 6" xfId="4756" xr:uid="{7ED0AA09-7FFF-4906-9367-9C21C69004AA}"/>
    <cellStyle name="Comma 3 12 2 6 2" xfId="10204" xr:uid="{485772EF-AC0B-4077-8756-50B5CE24BC5F}"/>
    <cellStyle name="Comma 3 12 2 7" xfId="5232" xr:uid="{A9343192-0623-41D2-9DFE-4FBF091947C5}"/>
    <cellStyle name="Comma 3 12 2 7 2" xfId="10706" xr:uid="{CBA5243B-BA30-498B-8FFD-522D95D802E3}"/>
    <cellStyle name="Comma 3 12 2 8" xfId="5734" xr:uid="{A78F3286-8066-45BB-B8AD-433A499BC8D7}"/>
    <cellStyle name="Comma 3 12 2 8 2" xfId="11208" xr:uid="{DE3BFEAA-3CD0-420E-8075-A79D41BF36F5}"/>
    <cellStyle name="Comma 3 12 2 9" xfId="2772" xr:uid="{B6C7C6DE-F943-479E-A54E-6ADD2B141C2B}"/>
    <cellStyle name="Comma 3 12 3" xfId="1101" xr:uid="{D225B6D1-8375-4BAD-8D39-9615415B5726}"/>
    <cellStyle name="Comma 3 12 3 10" xfId="8271" xr:uid="{D7D6E21A-773B-4BD0-8FB4-C4EE22DB70DF}"/>
    <cellStyle name="Comma 3 12 3 11" xfId="11881" xr:uid="{99341AED-8077-479B-A681-6F30AFA710EC}"/>
    <cellStyle name="Comma 3 12 3 12" xfId="13626" xr:uid="{ADF44BC6-3EB0-4D71-A7F4-24F92D1E7161}"/>
    <cellStyle name="Comma 3 12 3 2" xfId="1349" xr:uid="{3E6BE359-7508-44AD-A63E-B03DACAC1755}"/>
    <cellStyle name="Comma 3 12 3 2 10" xfId="12129" xr:uid="{F0FEED6F-A821-404C-9809-B79E7BCC60FC}"/>
    <cellStyle name="Comma 3 12 3 2 11" xfId="13874" xr:uid="{55266E47-A666-4ACE-A205-3C1538A822C5}"/>
    <cellStyle name="Comma 3 12 3 2 2" xfId="1855" xr:uid="{A62222B9-EE10-45E3-8121-D7258D720306}"/>
    <cellStyle name="Comma 3 12 3 2 2 2" xfId="4577" xr:uid="{F0F53665-DE2B-4D0A-A209-86ED5E610A77}"/>
    <cellStyle name="Comma 3 12 3 2 2 2 2" xfId="10023" xr:uid="{C9C30921-5A55-4392-AAE7-D181A7EC81B3}"/>
    <cellStyle name="Comma 3 12 3 2 2 3" xfId="3567" xr:uid="{134778B4-732D-45C2-8899-103DBA2B8CAF}"/>
    <cellStyle name="Comma 3 12 3 2 2 4" xfId="7501" xr:uid="{89DAAB0E-10CC-44E2-8CE9-187514A5638D}"/>
    <cellStyle name="Comma 3 12 3 2 2 5" xfId="9015" xr:uid="{6ECB44A7-E58C-4A8A-ADB9-AF30835C57B1}"/>
    <cellStyle name="Comma 3 12 3 2 2 6" xfId="12635" xr:uid="{7037558E-D048-4143-9BCA-16BAA321F7CB}"/>
    <cellStyle name="Comma 3 12 3 2 2 7" xfId="14380" xr:uid="{2ED867FC-ED6C-4DE7-B6FE-E1075F4B851A}"/>
    <cellStyle name="Comma 3 12 3 2 3" xfId="2363" xr:uid="{8052D058-6414-4164-AFBB-ED5792B54738}"/>
    <cellStyle name="Comma 3 12 3 2 3 2" xfId="4083" xr:uid="{E4B5DD89-80FA-467B-AD6D-C2604F0B3D60}"/>
    <cellStyle name="Comma 3 12 3 2 3 3" xfId="8009" xr:uid="{7A85978C-78C3-431B-AFD7-8E09852B8B27}"/>
    <cellStyle name="Comma 3 12 3 2 3 4" xfId="9527" xr:uid="{4C3D2705-CFB7-4E17-A3CB-270F14F38DDA}"/>
    <cellStyle name="Comma 3 12 3 2 3 5" xfId="13141" xr:uid="{CC252072-99A7-4363-A574-5DE505D699D5}"/>
    <cellStyle name="Comma 3 12 3 2 3 6" xfId="14886" xr:uid="{15752EDC-A67D-4588-84CC-14AA309BF2B3}"/>
    <cellStyle name="Comma 3 12 3 2 4" xfId="5055" xr:uid="{D6E70604-FC19-49BA-88E0-65F66B1851F8}"/>
    <cellStyle name="Comma 3 12 3 2 4 2" xfId="10525" xr:uid="{11A7FF39-0D47-4B82-8935-F9C681C55E9A}"/>
    <cellStyle name="Comma 3 12 3 2 5" xfId="5553" xr:uid="{29A15E2F-C93E-4DC9-B68E-5888777B23AA}"/>
    <cellStyle name="Comma 3 12 3 2 5 2" xfId="11027" xr:uid="{C47C841E-CDC5-4F38-9078-8AD093F22F08}"/>
    <cellStyle name="Comma 3 12 3 2 6" xfId="6055" xr:uid="{630A4ADC-8B90-4CB6-AD27-6D354F3C1A0A}"/>
    <cellStyle name="Comma 3 12 3 2 6 2" xfId="11529" xr:uid="{3F0EFE0C-2ADF-444D-8DE7-62049A2CFDCA}"/>
    <cellStyle name="Comma 3 12 3 2 7" xfId="3073" xr:uid="{AACE53F9-03B7-4944-8AB0-BFCFFB43B31B}"/>
    <cellStyle name="Comma 3 12 3 2 8" xfId="6995" xr:uid="{77C01182-7E74-49A8-9AD0-4B8D59E5F965}"/>
    <cellStyle name="Comma 3 12 3 2 9" xfId="8519" xr:uid="{97F0FBD5-9A49-441C-B6C3-B6E1DDDBA116}"/>
    <cellStyle name="Comma 3 12 3 3" xfId="1607" xr:uid="{CC74D234-A34C-444F-863A-40A76A425E90}"/>
    <cellStyle name="Comma 3 12 3 3 2" xfId="4329" xr:uid="{A991D556-8A2A-4749-8B48-B8981DD1744C}"/>
    <cellStyle name="Comma 3 12 3 3 2 2" xfId="9775" xr:uid="{B7A5EC45-E921-4F2B-B419-90300910139C}"/>
    <cellStyle name="Comma 3 12 3 3 3" xfId="3319" xr:uid="{16DB891C-C9CD-4931-A91F-AB203491A7D7}"/>
    <cellStyle name="Comma 3 12 3 3 4" xfId="7253" xr:uid="{7B6812D6-1A76-4B90-8567-7F3481BC90EB}"/>
    <cellStyle name="Comma 3 12 3 3 5" xfId="8767" xr:uid="{7B10EACF-89C8-4F0A-B46E-479B501027F3}"/>
    <cellStyle name="Comma 3 12 3 3 6" xfId="12387" xr:uid="{B17259FB-6E11-4D8D-91C2-9AF775D009ED}"/>
    <cellStyle name="Comma 3 12 3 3 7" xfId="14132" xr:uid="{7BB08F7C-C74E-4578-A821-F035B966F204}"/>
    <cellStyle name="Comma 3 12 3 4" xfId="2115" xr:uid="{92CC173D-C56B-4195-9D6F-F14211D6DF4D}"/>
    <cellStyle name="Comma 3 12 3 4 2" xfId="3835" xr:uid="{6E30EB69-9333-427C-A230-27AB1F124D65}"/>
    <cellStyle name="Comma 3 12 3 4 3" xfId="7761" xr:uid="{A2667512-5B2C-4754-AB13-5045FB4494E8}"/>
    <cellStyle name="Comma 3 12 3 4 4" xfId="9279" xr:uid="{529E92DA-05F6-4948-9B00-87B0C28DA2D0}"/>
    <cellStyle name="Comma 3 12 3 4 5" xfId="12893" xr:uid="{18AE8D56-11F4-44F6-A023-844C41BA70FD}"/>
    <cellStyle name="Comma 3 12 3 4 6" xfId="14638" xr:uid="{939D1517-F3BA-4A00-B2F5-7E6D69E3B679}"/>
    <cellStyle name="Comma 3 12 3 5" xfId="4821" xr:uid="{5B4F0EB3-CDAB-46EC-9785-FD71D08E2B11}"/>
    <cellStyle name="Comma 3 12 3 5 2" xfId="10277" xr:uid="{960C1FFC-BEAA-4504-BC4B-93174637C7AA}"/>
    <cellStyle name="Comma 3 12 3 6" xfId="5305" xr:uid="{4FCABA0A-370E-42B0-875F-989794DBEC66}"/>
    <cellStyle name="Comma 3 12 3 6 2" xfId="10779" xr:uid="{8E6A406E-3C7D-4BFB-94B9-21BC17E38DC0}"/>
    <cellStyle name="Comma 3 12 3 7" xfId="5807" xr:uid="{C9200698-E294-4D93-B797-A941B77E1B78}"/>
    <cellStyle name="Comma 3 12 3 7 2" xfId="11281" xr:uid="{0D3B48C6-FFC4-4F4B-BA3B-705B34158A3D}"/>
    <cellStyle name="Comma 3 12 3 8" xfId="2837" xr:uid="{4DD9C95F-E5F4-46E9-80A1-D825EAB31E83}"/>
    <cellStyle name="Comma 3 12 3 9" xfId="6747" xr:uid="{2CCA3A97-AFE0-4420-A8F8-7F7D42F73AD8}"/>
    <cellStyle name="Comma 3 12 4" xfId="1225" xr:uid="{BFADA002-D87A-4E12-B540-3ACB18EDB788}"/>
    <cellStyle name="Comma 3 12 4 10" xfId="12005" xr:uid="{C74B7C2B-2CDF-4531-9166-D2E088734475}"/>
    <cellStyle name="Comma 3 12 4 11" xfId="13750" xr:uid="{B3E30FD6-BEB1-4EAE-A6C2-CA6DCCDDCDF3}"/>
    <cellStyle name="Comma 3 12 4 2" xfId="1731" xr:uid="{92DCB6D4-DEA9-4946-9102-C618AF26FC11}"/>
    <cellStyle name="Comma 3 12 4 2 2" xfId="4453" xr:uid="{3F45A488-E011-4DE3-9FD1-6B8D3A2F1E85}"/>
    <cellStyle name="Comma 3 12 4 2 2 2" xfId="9899" xr:uid="{016DBA8F-7CA5-4613-B9A8-E98E6B689DA7}"/>
    <cellStyle name="Comma 3 12 4 2 3" xfId="3443" xr:uid="{0E1DE248-5D44-4D6D-A714-C60A6851D7BF}"/>
    <cellStyle name="Comma 3 12 4 2 4" xfId="7377" xr:uid="{6376D625-70BC-42BD-A7B0-8E6F7E18A75B}"/>
    <cellStyle name="Comma 3 12 4 2 5" xfId="8891" xr:uid="{F5993A23-CA3B-46CA-B20E-3ECD7AF8FECA}"/>
    <cellStyle name="Comma 3 12 4 2 6" xfId="12511" xr:uid="{9E1E17E4-711C-4B41-A97E-D6BA97C29AF8}"/>
    <cellStyle name="Comma 3 12 4 2 7" xfId="14256" xr:uid="{EBC3CD6A-1FF9-426F-9C1E-E4994FA01C4E}"/>
    <cellStyle name="Comma 3 12 4 3" xfId="2239" xr:uid="{7A98F4E1-923D-46C5-B2E5-0E4E15131A3B}"/>
    <cellStyle name="Comma 3 12 4 3 2" xfId="3959" xr:uid="{84C3E875-E084-4110-8742-180BF00703DC}"/>
    <cellStyle name="Comma 3 12 4 3 3" xfId="7885" xr:uid="{59A46E5F-AF55-4DDB-9FE6-9359E4C3E1B8}"/>
    <cellStyle name="Comma 3 12 4 3 4" xfId="9403" xr:uid="{ED8F2480-F0F9-4375-84A4-C28434EB54E6}"/>
    <cellStyle name="Comma 3 12 4 3 5" xfId="13017" xr:uid="{E0ADAC6D-8283-4A00-9D4D-A324BA330432}"/>
    <cellStyle name="Comma 3 12 4 3 6" xfId="14762" xr:uid="{FA79A613-AF39-4894-BE23-904909988120}"/>
    <cellStyle name="Comma 3 12 4 4" xfId="4937" xr:uid="{047807AB-7B56-486C-860C-6E918D49D24E}"/>
    <cellStyle name="Comma 3 12 4 4 2" xfId="10401" xr:uid="{FB7B348D-9AF0-4D0B-98F3-0E911D90A90E}"/>
    <cellStyle name="Comma 3 12 4 5" xfId="5429" xr:uid="{F3CD0A0B-D866-4689-ADAB-145C7B8D0183}"/>
    <cellStyle name="Comma 3 12 4 5 2" xfId="10903" xr:uid="{721250EF-11D4-4833-850F-F3F7C7090BB8}"/>
    <cellStyle name="Comma 3 12 4 6" xfId="5931" xr:uid="{B751E64B-5C99-4371-95F9-87200E764795}"/>
    <cellStyle name="Comma 3 12 4 6 2" xfId="11405" xr:uid="{E9C25E9B-649D-4EB7-B77A-1CBA74B7E2B1}"/>
    <cellStyle name="Comma 3 12 4 7" xfId="2955" xr:uid="{9DD910E5-EF31-4919-8CDF-7556DE76904B}"/>
    <cellStyle name="Comma 3 12 4 8" xfId="6871" xr:uid="{069FD688-2EA5-4C6C-905D-AEDF41067521}"/>
    <cellStyle name="Comma 3 12 4 9" xfId="8395" xr:uid="{9BBAF245-98A4-4EF8-8BB9-5E4BA553AA1C}"/>
    <cellStyle name="Comma 3 12 5" xfId="1483" xr:uid="{7EE9C8D8-3611-4562-8AAD-3D859DEB8178}"/>
    <cellStyle name="Comma 3 12 5 2" xfId="4207" xr:uid="{E28AAB81-42D5-4D16-8C30-29BE6F829985}"/>
    <cellStyle name="Comma 3 12 5 2 2" xfId="9651" xr:uid="{7E34E7FC-B012-4083-9F61-93BAB1F63C85}"/>
    <cellStyle name="Comma 3 12 5 3" xfId="3197" xr:uid="{E6A8F3A0-73AD-492D-BA20-16E58BC8B85F}"/>
    <cellStyle name="Comma 3 12 5 4" xfId="7129" xr:uid="{95F6E9F8-C1E3-42BE-B8EB-54045276F08E}"/>
    <cellStyle name="Comma 3 12 5 5" xfId="8643" xr:uid="{F92B7E5A-21D2-4B48-AF73-BF32FE4237EF}"/>
    <cellStyle name="Comma 3 12 5 6" xfId="12263" xr:uid="{7EAB92D4-EAB7-42D2-8F0F-62643A06C851}"/>
    <cellStyle name="Comma 3 12 5 7" xfId="14008" xr:uid="{AB3831FA-92F4-4EC4-BEF7-B39290217750}"/>
    <cellStyle name="Comma 3 12 6" xfId="1991" xr:uid="{4462AF31-AD70-481F-923C-0F29A10F570F}"/>
    <cellStyle name="Comma 3 12 6 2" xfId="3711" xr:uid="{FD74B28E-933E-4631-BE84-5BFCA6CED641}"/>
    <cellStyle name="Comma 3 12 6 3" xfId="7637" xr:uid="{ECB4F601-1FAB-42FC-B425-A5B24DD6ACA7}"/>
    <cellStyle name="Comma 3 12 6 4" xfId="9155" xr:uid="{EF0423B1-5E86-4016-83F5-676EC09D1677}"/>
    <cellStyle name="Comma 3 12 6 5" xfId="12769" xr:uid="{DFCEB692-8027-4443-B418-B092B901EBC0}"/>
    <cellStyle name="Comma 3 12 6 6" xfId="14514" xr:uid="{7C4DD2ED-243D-4996-B862-35ECA46FA872}"/>
    <cellStyle name="Comma 3 12 7" xfId="4707" xr:uid="{880271CA-BAC7-4BA2-A682-B0D94DF7B9F7}"/>
    <cellStyle name="Comma 3 12 7 2" xfId="10153" xr:uid="{ECEC8C71-A97E-436E-BB00-9758AABF3AA4}"/>
    <cellStyle name="Comma 3 12 8" xfId="5183" xr:uid="{F417AC10-698B-4B42-880C-03BED7A7457B}"/>
    <cellStyle name="Comma 3 12 8 2" xfId="10655" xr:uid="{3F8CE08F-B4B8-479C-B729-F334C72BE8C7}"/>
    <cellStyle name="Comma 3 12 9" xfId="5683" xr:uid="{65517DCB-40C5-4CF1-9670-82CA5E52CE77}"/>
    <cellStyle name="Comma 3 12 9 2" xfId="11157" xr:uid="{6835B172-458B-41EF-9182-1A9FBFD812AF}"/>
    <cellStyle name="Comma 3 13" xfId="3671" xr:uid="{9AAEC1B3-043D-4764-B529-7485179B0CBC}"/>
    <cellStyle name="Comma 3 13 2" xfId="4681" xr:uid="{0CAC2D46-9FE5-4AC5-8764-CF5CB58C3E19}"/>
    <cellStyle name="Comma 3 13 2 2" xfId="10127" xr:uid="{9BAACB08-C21B-45A7-AC40-4EE2A0106FCB}"/>
    <cellStyle name="Comma 3 13 3" xfId="5159" xr:uid="{1DDDE6E6-133A-4AE3-89B7-532674EAC84B}"/>
    <cellStyle name="Comma 3 13 3 2" xfId="10629" xr:uid="{F24C4064-49A0-40C6-A531-0C62D47CFFFA}"/>
    <cellStyle name="Comma 3 13 4" xfId="5657" xr:uid="{F2D34372-13D7-403B-BED3-DC41605AB4B0}"/>
    <cellStyle name="Comma 3 13 4 2" xfId="11131" xr:uid="{9E07642C-FDC1-4439-892C-8A80B7339DDC}"/>
    <cellStyle name="Comma 3 13 5" xfId="6159" xr:uid="{851C1660-FC80-440C-AD43-A551F13A78DF}"/>
    <cellStyle name="Comma 3 13 5 2" xfId="11633" xr:uid="{1B28CF03-B984-4D9F-AC33-05B774EF862B}"/>
    <cellStyle name="Comma 3 13 6" xfId="9119" xr:uid="{485DC350-63A2-491C-8E02-E3424C2A7ACC}"/>
    <cellStyle name="Comma 3 2" xfId="44" xr:uid="{00000000-0005-0000-0000-0000B8000000}"/>
    <cellStyle name="Comma 3 2 2" xfId="136" xr:uid="{00000000-0005-0000-0000-0000B9000000}"/>
    <cellStyle name="Comma 3 2 2 2" xfId="306" xr:uid="{00000000-0005-0000-0000-0000BA000000}"/>
    <cellStyle name="Comma 3 2 3" xfId="248" xr:uid="{00000000-0005-0000-0000-0000BB000000}"/>
    <cellStyle name="Comma 3 3" xfId="45" xr:uid="{00000000-0005-0000-0000-0000BC000000}"/>
    <cellStyle name="Comma 3 3 2" xfId="137" xr:uid="{00000000-0005-0000-0000-0000BD000000}"/>
    <cellStyle name="Comma 3 3 2 2" xfId="307" xr:uid="{00000000-0005-0000-0000-0000BE000000}"/>
    <cellStyle name="Comma 3 3 3" xfId="249" xr:uid="{00000000-0005-0000-0000-0000BF000000}"/>
    <cellStyle name="Comma 3 4" xfId="46" xr:uid="{00000000-0005-0000-0000-0000C0000000}"/>
    <cellStyle name="Comma 3 4 10" xfId="5171" xr:uid="{A8D4196A-B8DC-400D-B374-0D5EC1BF5745}"/>
    <cellStyle name="Comma 3 4 10 2" xfId="10641" xr:uid="{7FEDB6B6-63E3-46DC-BD85-250FF502D273}"/>
    <cellStyle name="Comma 3 4 11" xfId="5669" xr:uid="{9F4EB9FE-27B2-40D6-B9DB-765029EB1D22}"/>
    <cellStyle name="Comma 3 4 11 2" xfId="11143" xr:uid="{E63E358D-F19D-4622-889D-B4354977D910}"/>
    <cellStyle name="Comma 3 4 2" xfId="138" xr:uid="{00000000-0005-0000-0000-0000C1000000}"/>
    <cellStyle name="Comma 3 4 2 2" xfId="308" xr:uid="{00000000-0005-0000-0000-0000C2000000}"/>
    <cellStyle name="Comma 3 4 2 2 10" xfId="2774" xr:uid="{37B031AE-0C25-4AFE-976E-7DBC8E9CBF21}"/>
    <cellStyle name="Comma 3 4 2 2 11" xfId="8200" xr:uid="{6174CE9B-0F1C-4587-9F90-A480A423A2D2}"/>
    <cellStyle name="Comma 3 4 2 2 12" xfId="11810" xr:uid="{37FC2774-BB62-455A-93D3-EF93237E7126}"/>
    <cellStyle name="Comma 3 4 2 2 13" xfId="1030" xr:uid="{10A80E5C-0CE3-4C02-99E9-CE84BCE0B387}"/>
    <cellStyle name="Comma 3 4 2 2 2" xfId="1154" xr:uid="{020EBA2A-4436-4D5C-AAB9-D438B949997F}"/>
    <cellStyle name="Comma 3 4 2 2 2 10" xfId="8324" xr:uid="{21E80C66-AD87-431B-90E7-4F7C047D1270}"/>
    <cellStyle name="Comma 3 4 2 2 2 11" xfId="11934" xr:uid="{D4559709-1293-4AFA-A31D-5A4C200B4546}"/>
    <cellStyle name="Comma 3 4 2 2 2 12" xfId="13679" xr:uid="{C80A0A51-7362-495B-B453-60BCD3B1A812}"/>
    <cellStyle name="Comma 3 4 2 2 2 2" xfId="1402" xr:uid="{100BF20F-2814-4898-8690-07D79B59BE86}"/>
    <cellStyle name="Comma 3 4 2 2 2 2 10" xfId="12182" xr:uid="{1D28B33D-F7E1-43BE-9468-961A3B3F4540}"/>
    <cellStyle name="Comma 3 4 2 2 2 2 11" xfId="13927" xr:uid="{9EA1018D-8047-4849-84A1-E5270713434D}"/>
    <cellStyle name="Comma 3 4 2 2 2 2 2" xfId="1908" xr:uid="{7A5A79EF-F254-421A-A7E6-27B3B6A0612E}"/>
    <cellStyle name="Comma 3 4 2 2 2 2 2 2" xfId="4630" xr:uid="{82D87165-4FC8-41B5-8BE4-D645C63CE21C}"/>
    <cellStyle name="Comma 3 4 2 2 2 2 2 2 2" xfId="10076" xr:uid="{0BD7B61B-24F7-4076-8084-99208A1D1153}"/>
    <cellStyle name="Comma 3 4 2 2 2 2 2 3" xfId="3620" xr:uid="{91FEBF5F-D5DE-4236-B553-2795901C4AE3}"/>
    <cellStyle name="Comma 3 4 2 2 2 2 2 4" xfId="7554" xr:uid="{6F257F89-2F1B-4C0D-ABAF-B652B69C1EA9}"/>
    <cellStyle name="Comma 3 4 2 2 2 2 2 5" xfId="9068" xr:uid="{7E80A348-1C40-4E44-B422-7DC8B8318A03}"/>
    <cellStyle name="Comma 3 4 2 2 2 2 2 6" xfId="12688" xr:uid="{14470876-EA6B-4133-9729-B3C34A118B22}"/>
    <cellStyle name="Comma 3 4 2 2 2 2 2 7" xfId="14433" xr:uid="{4D76DEFE-A581-46CB-9C53-C25C49655201}"/>
    <cellStyle name="Comma 3 4 2 2 2 2 3" xfId="2416" xr:uid="{2E158405-EA8A-4069-9724-7844F38D0229}"/>
    <cellStyle name="Comma 3 4 2 2 2 2 3 2" xfId="4136" xr:uid="{DDFC9A65-8EE7-4041-AC9E-B9A51F472034}"/>
    <cellStyle name="Comma 3 4 2 2 2 2 3 3" xfId="8062" xr:uid="{FA14319D-D921-4CA3-A0C0-22C5BEFE077B}"/>
    <cellStyle name="Comma 3 4 2 2 2 2 3 4" xfId="9580" xr:uid="{526ED29B-DF99-4321-916C-069D7EBFEE38}"/>
    <cellStyle name="Comma 3 4 2 2 2 2 3 5" xfId="13194" xr:uid="{AE761E9C-B5D9-4D42-BD0A-9611478CA11A}"/>
    <cellStyle name="Comma 3 4 2 2 2 2 3 6" xfId="14939" xr:uid="{99101123-B51E-4FEF-92B3-AFDE72DE1339}"/>
    <cellStyle name="Comma 3 4 2 2 2 2 4" xfId="5108" xr:uid="{65C309AA-5604-4032-ABF1-DAED942A683F}"/>
    <cellStyle name="Comma 3 4 2 2 2 2 4 2" xfId="10578" xr:uid="{F73D81DA-7CC6-488A-A989-0CDEBF7D6D3E}"/>
    <cellStyle name="Comma 3 4 2 2 2 2 5" xfId="5606" xr:uid="{9117DCF9-E332-48F8-816E-FC6041312957}"/>
    <cellStyle name="Comma 3 4 2 2 2 2 5 2" xfId="11080" xr:uid="{74B67BF9-6D2C-483D-B6AB-68290ADADD6F}"/>
    <cellStyle name="Comma 3 4 2 2 2 2 6" xfId="6108" xr:uid="{4E3200CE-C9C3-48FF-8E11-BAAFC7EB904C}"/>
    <cellStyle name="Comma 3 4 2 2 2 2 6 2" xfId="11582" xr:uid="{0D11FC67-33D2-41BB-9259-9629E8751C6B}"/>
    <cellStyle name="Comma 3 4 2 2 2 2 7" xfId="3126" xr:uid="{309BCE30-563E-4307-B946-5DCC88EEFBD7}"/>
    <cellStyle name="Comma 3 4 2 2 2 2 8" xfId="7048" xr:uid="{BAC24D30-0033-4CEE-8760-D9EECE11FED9}"/>
    <cellStyle name="Comma 3 4 2 2 2 2 9" xfId="8572" xr:uid="{A77A6147-8023-4955-BC06-BF60F63900E2}"/>
    <cellStyle name="Comma 3 4 2 2 2 3" xfId="1660" xr:uid="{FC8D9184-B172-4353-A4EA-8AECEC05F72C}"/>
    <cellStyle name="Comma 3 4 2 2 2 3 2" xfId="4382" xr:uid="{63B14992-711C-4E8F-B979-9C9B9830A57C}"/>
    <cellStyle name="Comma 3 4 2 2 2 3 2 2" xfId="9828" xr:uid="{4E177795-6E4D-4A6B-95E8-E692FA3D371F}"/>
    <cellStyle name="Comma 3 4 2 2 2 3 3" xfId="3372" xr:uid="{894284F8-C37C-48AF-AF52-0967E48327C5}"/>
    <cellStyle name="Comma 3 4 2 2 2 3 4" xfId="7306" xr:uid="{A9E9C151-0BE2-427B-B1C8-BD0306252A66}"/>
    <cellStyle name="Comma 3 4 2 2 2 3 5" xfId="8820" xr:uid="{8F9F4DF8-9241-49A1-8E5D-AC02A183208F}"/>
    <cellStyle name="Comma 3 4 2 2 2 3 6" xfId="12440" xr:uid="{8337A7A7-584A-492C-8891-EA1935EEC4C0}"/>
    <cellStyle name="Comma 3 4 2 2 2 3 7" xfId="14185" xr:uid="{A4013B76-B52C-4261-8330-CC3A1D4290DC}"/>
    <cellStyle name="Comma 3 4 2 2 2 4" xfId="2168" xr:uid="{A27DC369-29A8-4A93-8C5E-854F4C93DDD7}"/>
    <cellStyle name="Comma 3 4 2 2 2 4 2" xfId="3888" xr:uid="{3FD6D9BD-2517-45FD-A0B9-3352A743C4BB}"/>
    <cellStyle name="Comma 3 4 2 2 2 4 3" xfId="7814" xr:uid="{ED8CEF74-6DE5-43B0-9BAB-7A5B6873C3D2}"/>
    <cellStyle name="Comma 3 4 2 2 2 4 4" xfId="9332" xr:uid="{65C4E875-9174-43FE-B345-58628A315A13}"/>
    <cellStyle name="Comma 3 4 2 2 2 4 5" xfId="12946" xr:uid="{0B6FF08B-3EDF-4872-A596-72344AD3ED67}"/>
    <cellStyle name="Comma 3 4 2 2 2 4 6" xfId="14691" xr:uid="{78144F75-747A-4D0C-AFC3-2BE36EA3A97E}"/>
    <cellStyle name="Comma 3 4 2 2 2 5" xfId="4870" xr:uid="{694D2766-D11F-41EB-84A3-902BCC053BC6}"/>
    <cellStyle name="Comma 3 4 2 2 2 5 2" xfId="10330" xr:uid="{9130FD8A-5075-4A44-9FD4-9B66E853DC5A}"/>
    <cellStyle name="Comma 3 4 2 2 2 6" xfId="5358" xr:uid="{DF0CCEF6-2CCA-4EA3-B7BC-3134114D082B}"/>
    <cellStyle name="Comma 3 4 2 2 2 6 2" xfId="10832" xr:uid="{0B08088B-A800-4D27-B4F3-ADB4B4DF1161}"/>
    <cellStyle name="Comma 3 4 2 2 2 7" xfId="5860" xr:uid="{7C3F51FE-D643-4F3D-8B0E-8E3DC4565C60}"/>
    <cellStyle name="Comma 3 4 2 2 2 7 2" xfId="11334" xr:uid="{FC83B053-E593-4DC7-AEEB-2326EAD7D47E}"/>
    <cellStyle name="Comma 3 4 2 2 2 8" xfId="2886" xr:uid="{2CB2865F-9F17-47E5-8E94-0A076C7509CB}"/>
    <cellStyle name="Comma 3 4 2 2 2 9" xfId="6800" xr:uid="{78B0D76D-930E-4A2F-8A6A-007115A2D939}"/>
    <cellStyle name="Comma 3 4 2 2 3" xfId="1278" xr:uid="{EFF5BB49-7FE3-43B7-963C-2EBA7CA0A559}"/>
    <cellStyle name="Comma 3 4 2 2 3 10" xfId="12058" xr:uid="{E5BC6706-EF1F-4218-B239-561C158A844A}"/>
    <cellStyle name="Comma 3 4 2 2 3 11" xfId="13803" xr:uid="{282E30A1-D86E-42FF-86AD-F79E40A930E2}"/>
    <cellStyle name="Comma 3 4 2 2 3 2" xfId="1784" xr:uid="{7EBECF6D-B1A4-445C-803B-44385995009B}"/>
    <cellStyle name="Comma 3 4 2 2 3 2 2" xfId="4506" xr:uid="{A5356161-567E-42E1-AE1C-182887E8546D}"/>
    <cellStyle name="Comma 3 4 2 2 3 2 2 2" xfId="9952" xr:uid="{657303C9-7B6D-4103-9BBD-468B187D1329}"/>
    <cellStyle name="Comma 3 4 2 2 3 2 3" xfId="3496" xr:uid="{36030F14-500B-4A3F-BC9B-F0B0A21F4E03}"/>
    <cellStyle name="Comma 3 4 2 2 3 2 4" xfId="7430" xr:uid="{013573DF-23A6-42BA-A3C4-0C8F02526079}"/>
    <cellStyle name="Comma 3 4 2 2 3 2 5" xfId="8944" xr:uid="{7DB703B8-9AF6-477B-B640-638E3B3072EC}"/>
    <cellStyle name="Comma 3 4 2 2 3 2 6" xfId="12564" xr:uid="{28F1CD96-A5C4-485A-8D27-E48E922F22EC}"/>
    <cellStyle name="Comma 3 4 2 2 3 2 7" xfId="14309" xr:uid="{FFDE2F78-FD83-4816-BB4F-786D9358217E}"/>
    <cellStyle name="Comma 3 4 2 2 3 3" xfId="2292" xr:uid="{6E9F3797-8907-4945-9491-8BA0D8973555}"/>
    <cellStyle name="Comma 3 4 2 2 3 3 2" xfId="4012" xr:uid="{A6D945C4-A0E6-42F1-8F4A-8B677C7B4FAF}"/>
    <cellStyle name="Comma 3 4 2 2 3 3 3" xfId="7938" xr:uid="{1C76A194-93F8-4C6C-8116-E0F3C5ADA55A}"/>
    <cellStyle name="Comma 3 4 2 2 3 3 4" xfId="9456" xr:uid="{2B7029B0-0182-4525-8080-B2BFE6EDE63C}"/>
    <cellStyle name="Comma 3 4 2 2 3 3 5" xfId="13070" xr:uid="{F18A9DE9-2F99-403F-9BD8-F195460DBE49}"/>
    <cellStyle name="Comma 3 4 2 2 3 3 6" xfId="14815" xr:uid="{21F7B339-BF67-4BD6-B92F-A96EF318F6D1}"/>
    <cellStyle name="Comma 3 4 2 2 3 4" xfId="4986" xr:uid="{1F8EA7F5-AC02-467D-A7B4-3A2FD53B9DE6}"/>
    <cellStyle name="Comma 3 4 2 2 3 4 2" xfId="10454" xr:uid="{B868B196-E182-4478-B754-B0947A6AF70D}"/>
    <cellStyle name="Comma 3 4 2 2 3 5" xfId="5482" xr:uid="{D0B692F4-DE49-4069-908B-6F868F8A517C}"/>
    <cellStyle name="Comma 3 4 2 2 3 5 2" xfId="10956" xr:uid="{6BED0F0B-24B4-4ED4-B739-4273956A1ED8}"/>
    <cellStyle name="Comma 3 4 2 2 3 6" xfId="5984" xr:uid="{527CC66C-D4CB-4848-A2DE-F331158BBBC8}"/>
    <cellStyle name="Comma 3 4 2 2 3 6 2" xfId="11458" xr:uid="{7C35A8CC-B3D1-43D2-882B-340714B5E28F}"/>
    <cellStyle name="Comma 3 4 2 2 3 7" xfId="3004" xr:uid="{FD7F175A-9475-4C3E-819C-DA2A1D2943E5}"/>
    <cellStyle name="Comma 3 4 2 2 3 8" xfId="6924" xr:uid="{07CC05DE-B2DC-4B75-A01A-1489BA5E2BAC}"/>
    <cellStyle name="Comma 3 4 2 2 3 9" xfId="8448" xr:uid="{1D4AF9B8-51E8-41DF-A0D1-CB7404B0DDE7}"/>
    <cellStyle name="Comma 3 4 2 2 4" xfId="1536" xr:uid="{813BF2E0-9438-4916-B506-6CDA5E9AECB1}"/>
    <cellStyle name="Comma 3 4 2 2 4 2" xfId="4260" xr:uid="{3190221D-E7DA-491A-A074-A93CD1CC619B}"/>
    <cellStyle name="Comma 3 4 2 2 4 2 2" xfId="9704" xr:uid="{F08BAD5D-46A1-4752-86A7-2EFF75563307}"/>
    <cellStyle name="Comma 3 4 2 2 4 3" xfId="3250" xr:uid="{DDCF8460-D33B-48C2-8651-AD80603EFB2C}"/>
    <cellStyle name="Comma 3 4 2 2 4 4" xfId="7182" xr:uid="{3B51F8F2-70AE-44B9-ADEB-19B6F911615E}"/>
    <cellStyle name="Comma 3 4 2 2 4 5" xfId="8696" xr:uid="{1537BB14-970E-48BD-B7E3-0C80A130FEE3}"/>
    <cellStyle name="Comma 3 4 2 2 4 6" xfId="12316" xr:uid="{62533658-D386-4159-9A50-D3BCC0559589}"/>
    <cellStyle name="Comma 3 4 2 2 4 7" xfId="14061" xr:uid="{F70D9247-D3FA-4DB6-A386-54D27F72DADE}"/>
    <cellStyle name="Comma 3 4 2 2 5" xfId="2044" xr:uid="{DF266B0C-6726-4A08-A700-4136751C3506}"/>
    <cellStyle name="Comma 3 4 2 2 5 2" xfId="3764" xr:uid="{9A29EE94-EFDE-4658-AA64-55684CADE57C}"/>
    <cellStyle name="Comma 3 4 2 2 5 3" xfId="7690" xr:uid="{D1239B55-9B2F-437A-AC33-6FEC6A1362B6}"/>
    <cellStyle name="Comma 3 4 2 2 5 4" xfId="9208" xr:uid="{A983DB06-2EA5-4418-BD61-A1ACDB61F1F3}"/>
    <cellStyle name="Comma 3 4 2 2 5 5" xfId="12822" xr:uid="{132F147C-B5C4-4F32-A693-B45EEFF4FE61}"/>
    <cellStyle name="Comma 3 4 2 2 5 6" xfId="14567" xr:uid="{CAC4CDB3-096B-4AA3-83E6-9FC717029AD7}"/>
    <cellStyle name="Comma 3 4 2 2 6" xfId="2538" xr:uid="{C7686DFF-B78D-4978-962E-5C21C4B25A8A}"/>
    <cellStyle name="Comma 3 4 2 2 6 2" xfId="4758" xr:uid="{A9457937-73EA-4D42-8060-302EAD8F44BD}"/>
    <cellStyle name="Comma 3 4 2 2 6 3" xfId="6676" xr:uid="{4C9BFF3C-B0BC-44FB-A0D7-65FE547677A6}"/>
    <cellStyle name="Comma 3 4 2 2 6 4" xfId="10206" xr:uid="{E3FF22E9-608D-420D-B47E-6E6188848D03}"/>
    <cellStyle name="Comma 3 4 2 2 6 5" xfId="13555" xr:uid="{31639E50-7EE6-4544-9E89-B2637E9729AC}"/>
    <cellStyle name="Comma 3 4 2 2 7" xfId="5234" xr:uid="{784CE058-1180-48B1-9D86-97178BFE905C}"/>
    <cellStyle name="Comma 3 4 2 2 7 2" xfId="10708" xr:uid="{096C0862-EBAE-47E3-A620-B480AD40C6BE}"/>
    <cellStyle name="Comma 3 4 2 2 8" xfId="5736" xr:uid="{B2040780-4AC5-4DFF-BFC3-29FD9CA2C270}"/>
    <cellStyle name="Comma 3 4 2 2 8 2" xfId="11210" xr:uid="{ED8E8EEF-7C9C-4F04-B5D9-30E9F09AD481}"/>
    <cellStyle name="Comma 3 4 2 2 9" xfId="6251" xr:uid="{AFB330A7-D3B3-422A-ADA6-6954A0B150E1}"/>
    <cellStyle name="Comma 3 4 2 3" xfId="1109" xr:uid="{282308E0-CAB1-43FB-B53F-8C01A1D9D7A3}"/>
    <cellStyle name="Comma 3 4 2 3 10" xfId="8279" xr:uid="{8D307C40-20CD-4D67-BEAE-CD2DD0FFB359}"/>
    <cellStyle name="Comma 3 4 2 3 11" xfId="11889" xr:uid="{AFB568F7-91E2-4C0E-A7D5-DBE673314612}"/>
    <cellStyle name="Comma 3 4 2 3 12" xfId="13634" xr:uid="{5AEDE114-CD7D-4FD4-9635-470DEA94507C}"/>
    <cellStyle name="Comma 3 4 2 3 2" xfId="1357" xr:uid="{5A4226E0-DC8B-4D04-951E-D50F0D5B3D37}"/>
    <cellStyle name="Comma 3 4 2 3 2 10" xfId="12137" xr:uid="{13563D9C-2767-4225-8CF6-DD7680611A12}"/>
    <cellStyle name="Comma 3 4 2 3 2 11" xfId="13882" xr:uid="{85BD4CE0-E318-4A46-9207-691EDC6A9A3D}"/>
    <cellStyle name="Comma 3 4 2 3 2 2" xfId="1863" xr:uid="{FC7CDD63-2DE8-4809-BE84-746F3608FC74}"/>
    <cellStyle name="Comma 3 4 2 3 2 2 2" xfId="4585" xr:uid="{55636C6D-4C6D-46BF-A866-829B01D3EE9F}"/>
    <cellStyle name="Comma 3 4 2 3 2 2 2 2" xfId="10031" xr:uid="{AFE85D73-1E7E-4187-91D4-ED7097B7FCF0}"/>
    <cellStyle name="Comma 3 4 2 3 2 2 3" xfId="3575" xr:uid="{E60A3CFC-2908-48FA-BE2E-96D842DDCBDC}"/>
    <cellStyle name="Comma 3 4 2 3 2 2 4" xfId="7509" xr:uid="{4EAB9A96-A48B-46F8-8A6F-B540959BFCCC}"/>
    <cellStyle name="Comma 3 4 2 3 2 2 5" xfId="9023" xr:uid="{84548667-A790-4C19-BCCD-3550E61EA558}"/>
    <cellStyle name="Comma 3 4 2 3 2 2 6" xfId="12643" xr:uid="{57C874F7-4056-4774-9970-5E022EA08BD6}"/>
    <cellStyle name="Comma 3 4 2 3 2 2 7" xfId="14388" xr:uid="{293814A2-D146-4DD7-A48A-49E9DD82717D}"/>
    <cellStyle name="Comma 3 4 2 3 2 3" xfId="2371" xr:uid="{6D902BF6-6432-4A4C-84D6-C6498306E80B}"/>
    <cellStyle name="Comma 3 4 2 3 2 3 2" xfId="4091" xr:uid="{43836C57-DF7A-45F4-B14D-AC50BC9E3F47}"/>
    <cellStyle name="Comma 3 4 2 3 2 3 3" xfId="8017" xr:uid="{51DAA762-F142-4A0C-B3AF-85B8C34F91D1}"/>
    <cellStyle name="Comma 3 4 2 3 2 3 4" xfId="9535" xr:uid="{0CC5A5D3-BC41-490A-A76E-AAC5BA42310E}"/>
    <cellStyle name="Comma 3 4 2 3 2 3 5" xfId="13149" xr:uid="{2E41D8C1-391B-4D05-902A-4609B761D488}"/>
    <cellStyle name="Comma 3 4 2 3 2 3 6" xfId="14894" xr:uid="{337FC0D4-1FDB-45F6-9A0E-CD47ECB1F0BB}"/>
    <cellStyle name="Comma 3 4 2 3 2 4" xfId="5063" xr:uid="{2E943FE0-8949-4441-BCB4-042C8EEB50BE}"/>
    <cellStyle name="Comma 3 4 2 3 2 4 2" xfId="10533" xr:uid="{4869B445-1366-4CBD-B8C9-C58AF3AC2E8B}"/>
    <cellStyle name="Comma 3 4 2 3 2 5" xfId="5561" xr:uid="{4B589F8E-D378-4F9E-A79D-0C0CEC952884}"/>
    <cellStyle name="Comma 3 4 2 3 2 5 2" xfId="11035" xr:uid="{8A14C293-B2F2-4E21-BA11-30F9C3576D6A}"/>
    <cellStyle name="Comma 3 4 2 3 2 6" xfId="6063" xr:uid="{0527795C-B469-4C08-8E24-EEB5A406A0DC}"/>
    <cellStyle name="Comma 3 4 2 3 2 6 2" xfId="11537" xr:uid="{5545452C-BDB8-457D-A4FC-F5BCFE032656}"/>
    <cellStyle name="Comma 3 4 2 3 2 7" xfId="3081" xr:uid="{0C96D012-7B2D-4439-A5C5-1DA80BEC8E90}"/>
    <cellStyle name="Comma 3 4 2 3 2 8" xfId="7003" xr:uid="{A0371AB7-DDE1-4713-9CEE-B29BD327B125}"/>
    <cellStyle name="Comma 3 4 2 3 2 9" xfId="8527" xr:uid="{24C934F2-D64D-4985-9081-20D2D8DE76C3}"/>
    <cellStyle name="Comma 3 4 2 3 3" xfId="1615" xr:uid="{2E768663-5BD6-4CCE-BD43-9D1C4453714F}"/>
    <cellStyle name="Comma 3 4 2 3 3 2" xfId="4337" xr:uid="{5306B9A7-202F-4800-A810-C771EFCC06D9}"/>
    <cellStyle name="Comma 3 4 2 3 3 2 2" xfId="9783" xr:uid="{904492BA-6C75-4372-AD09-AD4B61673305}"/>
    <cellStyle name="Comma 3 4 2 3 3 3" xfId="3327" xr:uid="{0206A81E-7453-47D6-99E0-3AC552FA0D01}"/>
    <cellStyle name="Comma 3 4 2 3 3 4" xfId="7261" xr:uid="{C6FD3377-8717-4C07-A940-4264B5F13CED}"/>
    <cellStyle name="Comma 3 4 2 3 3 5" xfId="8775" xr:uid="{5DA15B61-6DF1-4F77-87EE-FA4AD4AF055A}"/>
    <cellStyle name="Comma 3 4 2 3 3 6" xfId="12395" xr:uid="{BAE135F6-091E-4F38-A7C7-334A43139D7D}"/>
    <cellStyle name="Comma 3 4 2 3 3 7" xfId="14140" xr:uid="{71052F84-CED1-4FC8-BD4C-C668D1B9F121}"/>
    <cellStyle name="Comma 3 4 2 3 4" xfId="2123" xr:uid="{D2A02EF8-3B82-4A78-8ABD-A395D2B4ACD6}"/>
    <cellStyle name="Comma 3 4 2 3 4 2" xfId="3843" xr:uid="{1CEA0C82-BB2D-4297-B0FF-2D9179425B3B}"/>
    <cellStyle name="Comma 3 4 2 3 4 3" xfId="7769" xr:uid="{58A772C9-FB17-4B53-9E07-9D9DA30306F7}"/>
    <cellStyle name="Comma 3 4 2 3 4 4" xfId="9287" xr:uid="{3C9A94D3-55CD-4A22-B383-6E1205390CD8}"/>
    <cellStyle name="Comma 3 4 2 3 4 5" xfId="12901" xr:uid="{29189DB5-1A42-45A4-9FA3-D591E5270FC5}"/>
    <cellStyle name="Comma 3 4 2 3 4 6" xfId="14646" xr:uid="{7196FF0C-822B-4E79-895E-E33F50888AC9}"/>
    <cellStyle name="Comma 3 4 2 3 5" xfId="4829" xr:uid="{B90B9814-2275-4156-9570-4DF623C40674}"/>
    <cellStyle name="Comma 3 4 2 3 5 2" xfId="10285" xr:uid="{5065F286-9568-4278-BBAC-F1661F419E2B}"/>
    <cellStyle name="Comma 3 4 2 3 6" xfId="5313" xr:uid="{E39BD027-8A5A-47BC-B1A0-3434C0F607C5}"/>
    <cellStyle name="Comma 3 4 2 3 6 2" xfId="10787" xr:uid="{ECD36BF1-AE79-4A3E-A7D1-1217C724AF63}"/>
    <cellStyle name="Comma 3 4 2 3 7" xfId="5815" xr:uid="{437E7D28-E2FE-4C7E-80DC-631D6AB19909}"/>
    <cellStyle name="Comma 3 4 2 3 7 2" xfId="11289" xr:uid="{029EBE70-978D-495D-9A03-44E10EFE2A76}"/>
    <cellStyle name="Comma 3 4 2 3 8" xfId="2845" xr:uid="{D81962F5-00B1-4EB4-8579-9351DE95AAEE}"/>
    <cellStyle name="Comma 3 4 2 3 9" xfId="6755" xr:uid="{2DD145B2-477E-40B5-9B09-57AD91E12F25}"/>
    <cellStyle name="Comma 3 4 2 4" xfId="985" xr:uid="{35E0D286-FA75-4748-9A07-F251A5F347F5}"/>
    <cellStyle name="Comma 3 4 2 4 10" xfId="11765" xr:uid="{E14231BE-2661-4B31-ACEB-EEC4E4750650}"/>
    <cellStyle name="Comma 3 4 2 4 11" xfId="13510" xr:uid="{EE112FCE-6114-4AE0-BF7E-671B56A13838}"/>
    <cellStyle name="Comma 3 4 2 4 2" xfId="1491" xr:uid="{33FD1C86-9A95-4D01-9A4D-74CCF6163EEE}"/>
    <cellStyle name="Comma 3 4 2 4 2 2" xfId="4461" xr:uid="{D5C986CD-14B9-4BB8-A6E0-CE8A161B8B40}"/>
    <cellStyle name="Comma 3 4 2 4 2 2 2" xfId="9907" xr:uid="{A748C526-CD04-49D5-BFD1-EA4B002A83DC}"/>
    <cellStyle name="Comma 3 4 2 4 2 3" xfId="3451" xr:uid="{498035D7-4083-4FE2-8F93-7CF939754819}"/>
    <cellStyle name="Comma 3 4 2 4 2 4" xfId="7137" xr:uid="{E719E164-5752-4DF0-8E8C-351E25A72517}"/>
    <cellStyle name="Comma 3 4 2 4 2 5" xfId="8899" xr:uid="{0138852C-BCBD-43C5-973B-FC5A2E8A263B}"/>
    <cellStyle name="Comma 3 4 2 4 2 6" xfId="12271" xr:uid="{14C57481-49D1-4C82-8D5F-508E77070014}"/>
    <cellStyle name="Comma 3 4 2 4 2 7" xfId="14016" xr:uid="{235F6F25-0FF1-48B2-B25E-A761D2464813}"/>
    <cellStyle name="Comma 3 4 2 4 3" xfId="1999" xr:uid="{87959BA9-CECD-4E6C-9A9E-68AC2DE0DB46}"/>
    <cellStyle name="Comma 3 4 2 4 3 2" xfId="3719" xr:uid="{5818E2A4-370F-4A38-804F-73C5A6A64E4D}"/>
    <cellStyle name="Comma 3 4 2 4 3 3" xfId="7645" xr:uid="{4223A1C7-B42A-4240-B5A3-BC833189432E}"/>
    <cellStyle name="Comma 3 4 2 4 3 4" xfId="9163" xr:uid="{37582E6E-AD3D-4249-8AAC-765D79AB77D1}"/>
    <cellStyle name="Comma 3 4 2 4 3 5" xfId="12777" xr:uid="{253BBDA6-0597-4A85-A08F-06C72C44C379}"/>
    <cellStyle name="Comma 3 4 2 4 3 6" xfId="14522" xr:uid="{6778C01B-F974-41CB-923E-E746B3162324}"/>
    <cellStyle name="Comma 3 4 2 4 4" xfId="4945" xr:uid="{DF081E75-E9BC-4728-82C4-34FAD95FB8CF}"/>
    <cellStyle name="Comma 3 4 2 4 4 2" xfId="10409" xr:uid="{8E590A83-57F8-4B4D-92F5-11B3BBF8EFEC}"/>
    <cellStyle name="Comma 3 4 2 4 5" xfId="5437" xr:uid="{C1A7B0F3-D6DB-4BB6-8618-E45BAC75298B}"/>
    <cellStyle name="Comma 3 4 2 4 5 2" xfId="10911" xr:uid="{B1D8B96D-7FD3-4C8C-8840-25B5ABF18D32}"/>
    <cellStyle name="Comma 3 4 2 4 6" xfId="5939" xr:uid="{78B1084E-FA72-4960-8DD4-F2A325DD794E}"/>
    <cellStyle name="Comma 3 4 2 4 6 2" xfId="11413" xr:uid="{BE8AD1E4-C224-4EC5-B273-11A0419F9D3C}"/>
    <cellStyle name="Comma 3 4 2 4 7" xfId="2733" xr:uid="{3CBCB737-3E73-4F5D-8619-6153072B63BB}"/>
    <cellStyle name="Comma 3 4 2 4 8" xfId="6631" xr:uid="{6CEAACF0-6D9A-49B0-B4D9-9B19E5959D35}"/>
    <cellStyle name="Comma 3 4 2 4 9" xfId="8155" xr:uid="{B244212F-835A-4D1E-8DA2-115758E4694A}"/>
    <cellStyle name="Comma 3 4 2 5" xfId="1233" xr:uid="{C2FB7360-C380-453C-9655-32E476671A4D}"/>
    <cellStyle name="Comma 3 4 2 5 2" xfId="1739" xr:uid="{6CCAD720-8492-4E15-91E8-E63799FAFC70}"/>
    <cellStyle name="Comma 3 4 2 5 2 2" xfId="3967" xr:uid="{8BF48AFC-14EE-484E-A8EB-8C4389E510B5}"/>
    <cellStyle name="Comma 3 4 2 5 2 3" xfId="7385" xr:uid="{DB4BC95A-3699-4C3F-9990-36C30C9B06F5}"/>
    <cellStyle name="Comma 3 4 2 5 2 4" xfId="9411" xr:uid="{730AA805-B6B0-4C30-8207-E42B7428AB8D}"/>
    <cellStyle name="Comma 3 4 2 5 2 5" xfId="12519" xr:uid="{45965EE1-30D0-491C-903E-4B697BE276A5}"/>
    <cellStyle name="Comma 3 4 2 5 2 6" xfId="14264" xr:uid="{EA60572A-FEE3-4E09-9965-3597B6A462DD}"/>
    <cellStyle name="Comma 3 4 2 5 3" xfId="2247" xr:uid="{58A62EFD-3304-43D0-872C-9290995C508D}"/>
    <cellStyle name="Comma 3 4 2 5 3 2" xfId="7893" xr:uid="{EAAFBD60-7C1C-4A1A-A946-2861BAF84D14}"/>
    <cellStyle name="Comma 3 4 2 5 3 3" xfId="13025" xr:uid="{025935EE-505D-473A-8CF1-13A8F47F5337}"/>
    <cellStyle name="Comma 3 4 2 5 3 4" xfId="14770" xr:uid="{F05F3F0A-9DA7-4031-8CBF-7516638C9F1B}"/>
    <cellStyle name="Comma 3 4 2 5 4" xfId="2963" xr:uid="{88D5C731-8625-4B4B-BBDA-C4B9407F1D09}"/>
    <cellStyle name="Comma 3 4 2 5 5" xfId="6879" xr:uid="{B04FE48C-71FE-4B4A-9ED2-AC2B0E040FAE}"/>
    <cellStyle name="Comma 3 4 2 5 6" xfId="8403" xr:uid="{58D15A65-FDF2-4684-AE58-F021DB217232}"/>
    <cellStyle name="Comma 3 4 2 5 7" xfId="12013" xr:uid="{EBBEACC5-BE38-4ADE-9908-7A680A83472D}"/>
    <cellStyle name="Comma 3 4 2 5 8" xfId="13758" xr:uid="{402556D8-7B3B-4ECB-A667-1EAA25B94A33}"/>
    <cellStyle name="Comma 3 4 2 6" xfId="3205" xr:uid="{BC1C45B6-BED0-472E-BF36-3E076BB6B402}"/>
    <cellStyle name="Comma 3 4 2 6 2" xfId="4215" xr:uid="{54BF440E-8347-40FF-9AD9-50CE025ADFE5}"/>
    <cellStyle name="Comma 3 4 2 6 2 2" xfId="9659" xr:uid="{AFA7FB53-EE4D-4B94-99B1-C3DAEDE27528}"/>
    <cellStyle name="Comma 3 4 2 6 3" xfId="8651" xr:uid="{4D85856E-4399-4774-BA7E-21C73D58DDA3}"/>
    <cellStyle name="Comma 3 4 2 7" xfId="4715" xr:uid="{A3B6A9DA-2599-49A2-B8FE-31A0ED2C4228}"/>
    <cellStyle name="Comma 3 4 2 7 2" xfId="10161" xr:uid="{0230BFE7-81C6-4515-8F08-95BFB4FFDC70}"/>
    <cellStyle name="Comma 3 4 2 8" xfId="5191" xr:uid="{3C523B00-D74C-4DD3-9EAD-8E5D6A0AD92D}"/>
    <cellStyle name="Comma 3 4 2 8 2" xfId="10663" xr:uid="{1FF8FC93-E77D-4138-BC9D-F704F3CEDCE4}"/>
    <cellStyle name="Comma 3 4 2 9" xfId="5691" xr:uid="{212390A8-990F-44A1-B8AF-1D76E2259CDA}"/>
    <cellStyle name="Comma 3 4 2 9 2" xfId="11165" xr:uid="{931810D4-F0C1-4D8D-965B-76433617F0B0}"/>
    <cellStyle name="Comma 3 4 3" xfId="250" xr:uid="{00000000-0005-0000-0000-0000C3000000}"/>
    <cellStyle name="Comma 3 4 3 10" xfId="6247" xr:uid="{661BB342-71DB-415E-9060-5F2200E9520E}"/>
    <cellStyle name="Comma 3 4 3 11" xfId="2751" xr:uid="{E720C35C-BAFB-4CD0-B59D-AA9BB039AA1F}"/>
    <cellStyle name="Comma 3 4 3 12" xfId="8175" xr:uid="{EA7BFCF0-13C3-4A20-B21E-1253F97F2097}"/>
    <cellStyle name="Comma 3 4 3 13" xfId="11785" xr:uid="{596FC04A-FD2F-4886-BD69-4210DCCD136C}"/>
    <cellStyle name="Comma 3 4 3 14" xfId="1005" xr:uid="{567BF643-C87A-482C-8A1E-025786B6D9CD}"/>
    <cellStyle name="Comma 3 4 3 2" xfId="1031" xr:uid="{D4B3CF88-95AE-43EA-BC6B-AE43587ED1CC}"/>
    <cellStyle name="Comma 3 4 3 2 10" xfId="6677" xr:uid="{2E82F5A7-F40A-431D-B043-4000B8361AD8}"/>
    <cellStyle name="Comma 3 4 3 2 11" xfId="8201" xr:uid="{629D9B8D-CC78-4A09-A091-75C9B2476412}"/>
    <cellStyle name="Comma 3 4 3 2 12" xfId="11811" xr:uid="{62E1B2E3-838E-420A-A459-8C9378D6CF1B}"/>
    <cellStyle name="Comma 3 4 3 2 13" xfId="13556" xr:uid="{68CE723F-1179-4D19-8A1B-1FCD6E99D31B}"/>
    <cellStyle name="Comma 3 4 3 2 2" xfId="1155" xr:uid="{7650787D-0031-45E9-85D5-1AD336983435}"/>
    <cellStyle name="Comma 3 4 3 2 2 10" xfId="8325" xr:uid="{A7B8886E-F675-4CA9-97FA-26D5BE12AC56}"/>
    <cellStyle name="Comma 3 4 3 2 2 11" xfId="11935" xr:uid="{76387727-59B2-45FA-883C-64FBDFE8C985}"/>
    <cellStyle name="Comma 3 4 3 2 2 12" xfId="13680" xr:uid="{FAB08745-B55A-4CE8-A834-054AA94DC583}"/>
    <cellStyle name="Comma 3 4 3 2 2 2" xfId="1403" xr:uid="{79BD3F84-1F22-48BF-A783-09609A218E8D}"/>
    <cellStyle name="Comma 3 4 3 2 2 2 10" xfId="12183" xr:uid="{34E64FB6-FE01-4B95-B4B8-987F34A6DAEC}"/>
    <cellStyle name="Comma 3 4 3 2 2 2 11" xfId="13928" xr:uid="{D155AF94-667D-41B4-B9EC-5D278DB6D23A}"/>
    <cellStyle name="Comma 3 4 3 2 2 2 2" xfId="1909" xr:uid="{99652B73-C7C8-4BF1-97B5-E5C6783792C6}"/>
    <cellStyle name="Comma 3 4 3 2 2 2 2 2" xfId="4631" xr:uid="{00C2583D-E409-4774-99DC-292454243564}"/>
    <cellStyle name="Comma 3 4 3 2 2 2 2 2 2" xfId="10077" xr:uid="{B24A866C-67FA-437E-B1F4-3B45C8801208}"/>
    <cellStyle name="Comma 3 4 3 2 2 2 2 3" xfId="3621" xr:uid="{20FD264F-0E9A-49B0-A1D0-6623DA27ACDF}"/>
    <cellStyle name="Comma 3 4 3 2 2 2 2 4" xfId="7555" xr:uid="{F6752926-BE6E-4D2C-B9CA-05D3B1DE4C6D}"/>
    <cellStyle name="Comma 3 4 3 2 2 2 2 5" xfId="9069" xr:uid="{D37946FB-663E-4003-B159-2442EE4255FE}"/>
    <cellStyle name="Comma 3 4 3 2 2 2 2 6" xfId="12689" xr:uid="{63824EE3-A63D-420C-B827-4AB5F922B0CC}"/>
    <cellStyle name="Comma 3 4 3 2 2 2 2 7" xfId="14434" xr:uid="{D6806DEA-1190-4A2F-B88B-AE7DE86CEED0}"/>
    <cellStyle name="Comma 3 4 3 2 2 2 3" xfId="2417" xr:uid="{A5D7E60C-7DED-416D-8BA5-BC008093A084}"/>
    <cellStyle name="Comma 3 4 3 2 2 2 3 2" xfId="4137" xr:uid="{654CAE74-1DA4-4E08-A6B9-47DE623ECC9E}"/>
    <cellStyle name="Comma 3 4 3 2 2 2 3 3" xfId="8063" xr:uid="{C2C7B549-C282-4B5D-9AE7-509BF631D9A4}"/>
    <cellStyle name="Comma 3 4 3 2 2 2 3 4" xfId="9581" xr:uid="{E1BE9863-BE64-4942-BCB9-8B2B978A471D}"/>
    <cellStyle name="Comma 3 4 3 2 2 2 3 5" xfId="13195" xr:uid="{84F39565-F312-42E2-B758-D326D763150E}"/>
    <cellStyle name="Comma 3 4 3 2 2 2 3 6" xfId="14940" xr:uid="{3E77A7D4-07FA-4E0E-B273-6859A9C6A76E}"/>
    <cellStyle name="Comma 3 4 3 2 2 2 4" xfId="5109" xr:uid="{98B39CE0-EBB8-4574-BF65-552AE7B065C4}"/>
    <cellStyle name="Comma 3 4 3 2 2 2 4 2" xfId="10579" xr:uid="{E4726DC7-9D2C-4B07-AC23-5770405344B0}"/>
    <cellStyle name="Comma 3 4 3 2 2 2 5" xfId="5607" xr:uid="{E2E49FB4-9CAC-4C0D-8586-6DDF5B015E0C}"/>
    <cellStyle name="Comma 3 4 3 2 2 2 5 2" xfId="11081" xr:uid="{1F341F5E-2511-4AF8-B3C4-673D56F2F9C1}"/>
    <cellStyle name="Comma 3 4 3 2 2 2 6" xfId="6109" xr:uid="{72FD8E69-EF74-4F2F-A5E0-3C954FB92335}"/>
    <cellStyle name="Comma 3 4 3 2 2 2 6 2" xfId="11583" xr:uid="{BE5A230C-EE9F-4329-8E0A-363732722976}"/>
    <cellStyle name="Comma 3 4 3 2 2 2 7" xfId="3127" xr:uid="{179383AF-5D53-441A-B9FD-EFFB8A14B73B}"/>
    <cellStyle name="Comma 3 4 3 2 2 2 8" xfId="7049" xr:uid="{F7D1FB43-F7AB-45D4-B70C-A890D6854E5B}"/>
    <cellStyle name="Comma 3 4 3 2 2 2 9" xfId="8573" xr:uid="{31D196FD-C9FB-437F-9069-CBE4516E8014}"/>
    <cellStyle name="Comma 3 4 3 2 2 3" xfId="1661" xr:uid="{E9EC17F0-1482-4F85-882A-0DC3939B4CCF}"/>
    <cellStyle name="Comma 3 4 3 2 2 3 2" xfId="4383" xr:uid="{B3D314D4-8C5B-4CB2-AD04-1690522D30A4}"/>
    <cellStyle name="Comma 3 4 3 2 2 3 2 2" xfId="9829" xr:uid="{9A81C637-EEF2-402E-96CE-899C33EA4D1C}"/>
    <cellStyle name="Comma 3 4 3 2 2 3 3" xfId="3373" xr:uid="{3D328C9B-53A6-4BDC-B15B-2F38CC890D0B}"/>
    <cellStyle name="Comma 3 4 3 2 2 3 4" xfId="7307" xr:uid="{E86BF5B7-6ED8-45EB-A018-C1919D3A305A}"/>
    <cellStyle name="Comma 3 4 3 2 2 3 5" xfId="8821" xr:uid="{7998FFBC-6FFE-4871-8BD6-4DEA8EEA2198}"/>
    <cellStyle name="Comma 3 4 3 2 2 3 6" xfId="12441" xr:uid="{79A3F903-1B3B-4991-9323-C98AD77D9E59}"/>
    <cellStyle name="Comma 3 4 3 2 2 3 7" xfId="14186" xr:uid="{0DD3D175-25F0-4B01-A47E-1E5D6354AB62}"/>
    <cellStyle name="Comma 3 4 3 2 2 4" xfId="2169" xr:uid="{5C7DC75E-4877-4898-8028-E2D173180422}"/>
    <cellStyle name="Comma 3 4 3 2 2 4 2" xfId="3889" xr:uid="{91C99294-66E2-4D7F-A740-D726DE2AB2F5}"/>
    <cellStyle name="Comma 3 4 3 2 2 4 3" xfId="7815" xr:uid="{B362D2BA-446C-49BB-AF38-216209A4ADE0}"/>
    <cellStyle name="Comma 3 4 3 2 2 4 4" xfId="9333" xr:uid="{4E11BEA9-D250-4B23-9C78-4AC192148C2D}"/>
    <cellStyle name="Comma 3 4 3 2 2 4 5" xfId="12947" xr:uid="{FE4AED4B-C4E7-49DC-867E-AAFB50770EFD}"/>
    <cellStyle name="Comma 3 4 3 2 2 4 6" xfId="14692" xr:uid="{8FEFADB0-5C66-4308-A758-DABD21CE699B}"/>
    <cellStyle name="Comma 3 4 3 2 2 5" xfId="4871" xr:uid="{F82271A0-EC1E-4D56-8D65-54409F6E8854}"/>
    <cellStyle name="Comma 3 4 3 2 2 5 2" xfId="10331" xr:uid="{1BA10326-C920-4A0C-A629-91F1B10D957F}"/>
    <cellStyle name="Comma 3 4 3 2 2 6" xfId="5359" xr:uid="{25140A80-45A1-4500-BFAE-C2679F8C3058}"/>
    <cellStyle name="Comma 3 4 3 2 2 6 2" xfId="10833" xr:uid="{5245E1AC-D8C0-4ACB-8E69-0312E7945EEC}"/>
    <cellStyle name="Comma 3 4 3 2 2 7" xfId="5861" xr:uid="{0D1A9A38-B6D7-4BC8-A9F9-354F50D7FB3C}"/>
    <cellStyle name="Comma 3 4 3 2 2 7 2" xfId="11335" xr:uid="{F3E94C9D-450C-4725-8EF3-2DB6F6400D3D}"/>
    <cellStyle name="Comma 3 4 3 2 2 8" xfId="2887" xr:uid="{7F4EBB9B-71BC-4FB9-8C37-EEFD59656069}"/>
    <cellStyle name="Comma 3 4 3 2 2 9" xfId="6801" xr:uid="{927DFD7B-278C-4ACD-9A5F-30A95505AABE}"/>
    <cellStyle name="Comma 3 4 3 2 3" xfId="1279" xr:uid="{ACCEAEE3-BAB0-47DE-B2BA-69966D6F4E45}"/>
    <cellStyle name="Comma 3 4 3 2 3 10" xfId="12059" xr:uid="{9C785B99-D694-4CD8-AD77-D68190F58905}"/>
    <cellStyle name="Comma 3 4 3 2 3 11" xfId="13804" xr:uid="{08B7572C-CB83-420D-9552-507451B0DC27}"/>
    <cellStyle name="Comma 3 4 3 2 3 2" xfId="1785" xr:uid="{5D4733E2-E96C-4E68-83C3-D5E7A18200AC}"/>
    <cellStyle name="Comma 3 4 3 2 3 2 2" xfId="4507" xr:uid="{4A2B2FAB-9922-4A1A-90EF-6ADF826D3C26}"/>
    <cellStyle name="Comma 3 4 3 2 3 2 2 2" xfId="9953" xr:uid="{BDCF5AF0-6105-4B60-BD9F-C0529380034B}"/>
    <cellStyle name="Comma 3 4 3 2 3 2 3" xfId="3497" xr:uid="{C533433F-6D00-494F-BC68-8587FFB5CF31}"/>
    <cellStyle name="Comma 3 4 3 2 3 2 4" xfId="7431" xr:uid="{7D180499-C251-47CC-9B79-26C81EC6FC2C}"/>
    <cellStyle name="Comma 3 4 3 2 3 2 5" xfId="8945" xr:uid="{D36E1A12-1290-474D-AF3E-DF895A72CEE5}"/>
    <cellStyle name="Comma 3 4 3 2 3 2 6" xfId="12565" xr:uid="{AFE15481-D4C3-4797-83BB-ED2E3EA13D17}"/>
    <cellStyle name="Comma 3 4 3 2 3 2 7" xfId="14310" xr:uid="{D39DFA2B-8966-4853-83BB-B1EE566ED6C0}"/>
    <cellStyle name="Comma 3 4 3 2 3 3" xfId="2293" xr:uid="{E1DEC9BF-4C6D-4ADD-AFB4-AA1AFAEC8C44}"/>
    <cellStyle name="Comma 3 4 3 2 3 3 2" xfId="4013" xr:uid="{81FD8165-1F4C-406B-A8A2-D557C2CBD868}"/>
    <cellStyle name="Comma 3 4 3 2 3 3 3" xfId="7939" xr:uid="{A6E37462-A09F-4A81-A1A4-E9003899B1F3}"/>
    <cellStyle name="Comma 3 4 3 2 3 3 4" xfId="9457" xr:uid="{4A007452-E8D8-47DB-8712-1C82F1569653}"/>
    <cellStyle name="Comma 3 4 3 2 3 3 5" xfId="13071" xr:uid="{D5E55087-A959-4561-844B-589E7FE8B08D}"/>
    <cellStyle name="Comma 3 4 3 2 3 3 6" xfId="14816" xr:uid="{068AA98E-B3F4-42C2-B5DD-A93BC05D12CD}"/>
    <cellStyle name="Comma 3 4 3 2 3 4" xfId="4987" xr:uid="{AB155CA4-5C8D-4D43-8331-01121DD68B58}"/>
    <cellStyle name="Comma 3 4 3 2 3 4 2" xfId="10455" xr:uid="{147FF099-4FA3-4F06-8ED5-45159B0A069D}"/>
    <cellStyle name="Comma 3 4 3 2 3 5" xfId="5483" xr:uid="{70E4F0FB-81A4-40CA-8E4A-1AA74D2794F8}"/>
    <cellStyle name="Comma 3 4 3 2 3 5 2" xfId="10957" xr:uid="{E2FA4E0C-0A98-4A0F-8886-DE18E2574329}"/>
    <cellStyle name="Comma 3 4 3 2 3 6" xfId="5985" xr:uid="{DB6DB5D3-7EB5-470C-9187-62ACABD86832}"/>
    <cellStyle name="Comma 3 4 3 2 3 6 2" xfId="11459" xr:uid="{D254C697-F96F-4B66-880C-21B4409B9649}"/>
    <cellStyle name="Comma 3 4 3 2 3 7" xfId="3005" xr:uid="{FDD14979-38E4-48A7-ACE1-2825EE5D2E89}"/>
    <cellStyle name="Comma 3 4 3 2 3 8" xfId="6925" xr:uid="{73FBA29A-D475-44E1-8F96-C9C34FB207D8}"/>
    <cellStyle name="Comma 3 4 3 2 3 9" xfId="8449" xr:uid="{715125B3-7FC3-4564-858D-8A6C958D8E76}"/>
    <cellStyle name="Comma 3 4 3 2 4" xfId="1537" xr:uid="{F7F2ACC6-8B38-47EA-B37B-DBB076A57544}"/>
    <cellStyle name="Comma 3 4 3 2 4 2" xfId="4261" xr:uid="{94D106A1-E589-419E-85D2-19EE2356A2AC}"/>
    <cellStyle name="Comma 3 4 3 2 4 2 2" xfId="9705" xr:uid="{AD998B99-73C6-44BE-BDB8-A8A52CF2AEE4}"/>
    <cellStyle name="Comma 3 4 3 2 4 3" xfId="3251" xr:uid="{6237FD56-C4CE-4555-B3D2-19EF5F470FF7}"/>
    <cellStyle name="Comma 3 4 3 2 4 4" xfId="7183" xr:uid="{63E8A7D5-31B1-43C6-93B4-94B4D6239762}"/>
    <cellStyle name="Comma 3 4 3 2 4 5" xfId="8697" xr:uid="{ACB32EA6-3540-44DB-B9FE-ECCE9A04C263}"/>
    <cellStyle name="Comma 3 4 3 2 4 6" xfId="12317" xr:uid="{8E5DF2EC-3D7B-45A9-8BFE-225413B743B0}"/>
    <cellStyle name="Comma 3 4 3 2 4 7" xfId="14062" xr:uid="{0B132824-C8B5-4116-9398-0B0F8BECAB49}"/>
    <cellStyle name="Comma 3 4 3 2 5" xfId="2045" xr:uid="{026F730A-C10B-43FE-9D6C-4BE30331ADD1}"/>
    <cellStyle name="Comma 3 4 3 2 5 2" xfId="3765" xr:uid="{89CD5649-40AF-4715-8584-AA98A3339BB1}"/>
    <cellStyle name="Comma 3 4 3 2 5 3" xfId="7691" xr:uid="{95AF3321-AC04-46F3-8020-A890DDFC5E33}"/>
    <cellStyle name="Comma 3 4 3 2 5 4" xfId="9209" xr:uid="{053E07CE-2321-4875-8F65-DDE28132421D}"/>
    <cellStyle name="Comma 3 4 3 2 5 5" xfId="12823" xr:uid="{4E7EAF33-8F65-42EA-B12B-F5B7AEC017D4}"/>
    <cellStyle name="Comma 3 4 3 2 5 6" xfId="14568" xr:uid="{E0F35510-EAE4-443D-9F73-4C3E0491EC4D}"/>
    <cellStyle name="Comma 3 4 3 2 6" xfId="4759" xr:uid="{F418EAEC-86AB-4FC9-B117-435946A6E508}"/>
    <cellStyle name="Comma 3 4 3 2 6 2" xfId="10207" xr:uid="{C7184EE5-509B-4A66-AEA6-1B6B21F83DA4}"/>
    <cellStyle name="Comma 3 4 3 2 7" xfId="5235" xr:uid="{86926C65-726B-4FA4-BE4B-D71DB098F0B0}"/>
    <cellStyle name="Comma 3 4 3 2 7 2" xfId="10709" xr:uid="{BAB2B317-CF41-47C9-9431-26723F362BEB}"/>
    <cellStyle name="Comma 3 4 3 2 8" xfId="5737" xr:uid="{359BB329-1A36-4AEC-A64C-6ECBF99BCB8D}"/>
    <cellStyle name="Comma 3 4 3 2 8 2" xfId="11211" xr:uid="{1E98C66E-C292-424C-B569-39F607984455}"/>
    <cellStyle name="Comma 3 4 3 2 9" xfId="2775" xr:uid="{78C2ABCB-638F-4527-9039-2275C03FC71F}"/>
    <cellStyle name="Comma 3 4 3 3" xfId="1129" xr:uid="{7BDED498-D299-4E36-8509-589E47B129DB}"/>
    <cellStyle name="Comma 3 4 3 3 10" xfId="8299" xr:uid="{B4E47DF3-5E4F-4898-AD09-2EFDD1D628C0}"/>
    <cellStyle name="Comma 3 4 3 3 11" xfId="11909" xr:uid="{C464093D-D53C-46D0-B5CE-4ADCF1FA5169}"/>
    <cellStyle name="Comma 3 4 3 3 12" xfId="13654" xr:uid="{976B5316-FB48-491A-8CF1-9C989DE91E5D}"/>
    <cellStyle name="Comma 3 4 3 3 2" xfId="1377" xr:uid="{6CFF0667-1B0C-48F3-A19D-1A263D4BCA22}"/>
    <cellStyle name="Comma 3 4 3 3 2 10" xfId="12157" xr:uid="{D30C8F5F-CBA2-484C-81E8-BE2333B5AE69}"/>
    <cellStyle name="Comma 3 4 3 3 2 11" xfId="13902" xr:uid="{4B88AD55-A70C-4559-9C46-D86CB7392393}"/>
    <cellStyle name="Comma 3 4 3 3 2 2" xfId="1883" xr:uid="{4D762B39-7EAE-4EEA-A0E3-6DDB5A5F6C2D}"/>
    <cellStyle name="Comma 3 4 3 3 2 2 2" xfId="4605" xr:uid="{518C5083-EF48-44B4-8050-0E6D398736A3}"/>
    <cellStyle name="Comma 3 4 3 3 2 2 2 2" xfId="10051" xr:uid="{F821F814-184A-4EEC-B19E-9B440EAC37F9}"/>
    <cellStyle name="Comma 3 4 3 3 2 2 3" xfId="3595" xr:uid="{943EB176-E839-4A93-AC4B-AE2B8F1E8EBA}"/>
    <cellStyle name="Comma 3 4 3 3 2 2 4" xfId="7529" xr:uid="{29B9820C-A006-4492-9ABE-D8DB743F088B}"/>
    <cellStyle name="Comma 3 4 3 3 2 2 5" xfId="9043" xr:uid="{8719BB66-0727-4BF3-838B-CDE8E8414CD8}"/>
    <cellStyle name="Comma 3 4 3 3 2 2 6" xfId="12663" xr:uid="{436D1B7E-9646-40EE-8CA6-C9CC5C7C8CDE}"/>
    <cellStyle name="Comma 3 4 3 3 2 2 7" xfId="14408" xr:uid="{3F486492-66A5-4AC8-AFA1-8D56DBDFD070}"/>
    <cellStyle name="Comma 3 4 3 3 2 3" xfId="2391" xr:uid="{944FEE40-ABC1-48BE-A2A7-61B37F55F14D}"/>
    <cellStyle name="Comma 3 4 3 3 2 3 2" xfId="4111" xr:uid="{E64C52B0-E748-415E-A57A-2B7D9B74A1C2}"/>
    <cellStyle name="Comma 3 4 3 3 2 3 3" xfId="8037" xr:uid="{5AFDD5BF-974E-4597-9660-F07F317DA9FC}"/>
    <cellStyle name="Comma 3 4 3 3 2 3 4" xfId="9555" xr:uid="{B006B4FC-2C25-464F-9C6A-D1118B990C18}"/>
    <cellStyle name="Comma 3 4 3 3 2 3 5" xfId="13169" xr:uid="{3D777790-1337-47F8-8772-D6625B278DAB}"/>
    <cellStyle name="Comma 3 4 3 3 2 3 6" xfId="14914" xr:uid="{2ED1B134-67A1-42D7-9E3E-CE1F105FB620}"/>
    <cellStyle name="Comma 3 4 3 3 2 4" xfId="5083" xr:uid="{158714FB-9256-4888-807E-7027E8A75A19}"/>
    <cellStyle name="Comma 3 4 3 3 2 4 2" xfId="10553" xr:uid="{D495228A-85D1-4669-B48D-A8EDC8AE9F6D}"/>
    <cellStyle name="Comma 3 4 3 3 2 5" xfId="5581" xr:uid="{A9CF312B-DE60-4F6A-BB40-BB613138B741}"/>
    <cellStyle name="Comma 3 4 3 3 2 5 2" xfId="11055" xr:uid="{7A0B57BA-A45E-40EF-90F4-9C25EFBAEE8A}"/>
    <cellStyle name="Comma 3 4 3 3 2 6" xfId="6083" xr:uid="{77179B55-066E-45C0-AB4E-FB222A79282F}"/>
    <cellStyle name="Comma 3 4 3 3 2 6 2" xfId="11557" xr:uid="{67FCFA63-59DA-4EC7-AC35-F854B5BDA7B4}"/>
    <cellStyle name="Comma 3 4 3 3 2 7" xfId="3101" xr:uid="{9DFC67F8-AA94-4D39-966D-90ED49819A99}"/>
    <cellStyle name="Comma 3 4 3 3 2 8" xfId="7023" xr:uid="{5874973F-7535-4DEC-85AD-AADF5AB7F0A7}"/>
    <cellStyle name="Comma 3 4 3 3 2 9" xfId="8547" xr:uid="{277A678B-97C4-4891-99C3-0B3776509B37}"/>
    <cellStyle name="Comma 3 4 3 3 3" xfId="1635" xr:uid="{48158109-59C8-41F0-93C4-B5FB779C0E2A}"/>
    <cellStyle name="Comma 3 4 3 3 3 2" xfId="4357" xr:uid="{5044494F-A9E5-4132-B679-461C828F4311}"/>
    <cellStyle name="Comma 3 4 3 3 3 2 2" xfId="9803" xr:uid="{B9B42FE9-719F-4D9F-A21F-B9B729B211EE}"/>
    <cellStyle name="Comma 3 4 3 3 3 3" xfId="3347" xr:uid="{81E10530-98DE-4246-AC9F-830CAAF3E67F}"/>
    <cellStyle name="Comma 3 4 3 3 3 4" xfId="7281" xr:uid="{E1F1AF91-A864-416D-8662-A844C266463C}"/>
    <cellStyle name="Comma 3 4 3 3 3 5" xfId="8795" xr:uid="{1E66B020-8461-4D28-ACE8-9318EB34DCBF}"/>
    <cellStyle name="Comma 3 4 3 3 3 6" xfId="12415" xr:uid="{D50399AD-33FB-4B46-A909-14A0A17BFD39}"/>
    <cellStyle name="Comma 3 4 3 3 3 7" xfId="14160" xr:uid="{F6368227-4035-4111-A6DB-73ABB7D47447}"/>
    <cellStyle name="Comma 3 4 3 3 4" xfId="2143" xr:uid="{4A1B8930-1F38-4C04-879C-31ECEA57D1AF}"/>
    <cellStyle name="Comma 3 4 3 3 4 2" xfId="3863" xr:uid="{3D0156B1-1534-4163-863C-82B473E29B13}"/>
    <cellStyle name="Comma 3 4 3 3 4 3" xfId="7789" xr:uid="{DEB2CB15-CB10-4764-ABC5-53C51BE0C484}"/>
    <cellStyle name="Comma 3 4 3 3 4 4" xfId="9307" xr:uid="{E22C3B43-EADA-48C4-A746-C46A8E118C2F}"/>
    <cellStyle name="Comma 3 4 3 3 4 5" xfId="12921" xr:uid="{FEDFAD8E-2AB5-4D37-A03A-569E5D9B9C01}"/>
    <cellStyle name="Comma 3 4 3 3 4 6" xfId="14666" xr:uid="{4C89D5AE-B9A6-411E-B87F-BB12C9326EA6}"/>
    <cellStyle name="Comma 3 4 3 3 5" xfId="4847" xr:uid="{ADF47F65-D4C9-49EB-8E4A-982BF9B70A31}"/>
    <cellStyle name="Comma 3 4 3 3 5 2" xfId="10305" xr:uid="{311771F4-45CE-4452-B1A9-DB1BBE4B1F32}"/>
    <cellStyle name="Comma 3 4 3 3 6" xfId="5333" xr:uid="{3C6DBF22-7997-4D51-9882-E078C5D05056}"/>
    <cellStyle name="Comma 3 4 3 3 6 2" xfId="10807" xr:uid="{F481D30A-F84E-4ECF-9337-42CE80930A8A}"/>
    <cellStyle name="Comma 3 4 3 3 7" xfId="5835" xr:uid="{651CCAE4-7A4B-4E30-90B0-4CAC894CD892}"/>
    <cellStyle name="Comma 3 4 3 3 7 2" xfId="11309" xr:uid="{A34D8C55-72CA-42FD-B957-5048EA4B164F}"/>
    <cellStyle name="Comma 3 4 3 3 8" xfId="2863" xr:uid="{A9B78ECD-D1DC-4B0E-991B-F6D92694AD4C}"/>
    <cellStyle name="Comma 3 4 3 3 9" xfId="6775" xr:uid="{73E04D04-43BC-4C44-86A6-2D8F7F45F3E5}"/>
    <cellStyle name="Comma 3 4 3 4" xfId="1253" xr:uid="{3D0E526A-1C3D-41E5-8CDB-F556A7FC60CF}"/>
    <cellStyle name="Comma 3 4 3 4 10" xfId="12033" xr:uid="{07CAC63B-5B62-4E08-A9B1-A04E26598D44}"/>
    <cellStyle name="Comma 3 4 3 4 11" xfId="13778" xr:uid="{7E7E7A36-CF99-4AC8-8BFD-09141FE8A409}"/>
    <cellStyle name="Comma 3 4 3 4 2" xfId="1759" xr:uid="{2EE77D9B-FC10-4276-920B-AFC95421E324}"/>
    <cellStyle name="Comma 3 4 3 4 2 2" xfId="4481" xr:uid="{9FB28433-A9E2-43A4-9876-39B67A2197A4}"/>
    <cellStyle name="Comma 3 4 3 4 2 2 2" xfId="9927" xr:uid="{EF07892E-5A01-4B3D-8087-E7E948F242C8}"/>
    <cellStyle name="Comma 3 4 3 4 2 3" xfId="3471" xr:uid="{DE0B189A-9AF4-4A5B-BE5F-1ADCCFA607BB}"/>
    <cellStyle name="Comma 3 4 3 4 2 4" xfId="7405" xr:uid="{B33F1911-72B8-4A27-892E-6EEF759C8A91}"/>
    <cellStyle name="Comma 3 4 3 4 2 5" xfId="8919" xr:uid="{588A4B41-018D-404F-8E6A-8EB7010CBF3A}"/>
    <cellStyle name="Comma 3 4 3 4 2 6" xfId="12539" xr:uid="{AFE08543-5C2D-4703-A073-256B692AD192}"/>
    <cellStyle name="Comma 3 4 3 4 2 7" xfId="14284" xr:uid="{477CBFB0-63E3-43D1-8975-F64F883F7370}"/>
    <cellStyle name="Comma 3 4 3 4 3" xfId="2267" xr:uid="{E2B80BA2-B051-47CA-81D7-D518E312709F}"/>
    <cellStyle name="Comma 3 4 3 4 3 2" xfId="3987" xr:uid="{02C9CB06-DC20-4C08-9FE4-9C19633C5BC3}"/>
    <cellStyle name="Comma 3 4 3 4 3 3" xfId="7913" xr:uid="{B7E0A2DD-EAA4-4F70-B9A3-2FAC56483B5C}"/>
    <cellStyle name="Comma 3 4 3 4 3 4" xfId="9431" xr:uid="{E049F521-60C9-4CF4-8570-FD4077A0A8DF}"/>
    <cellStyle name="Comma 3 4 3 4 3 5" xfId="13045" xr:uid="{B912CE38-0522-438E-ADF4-6A959068CA34}"/>
    <cellStyle name="Comma 3 4 3 4 3 6" xfId="14790" xr:uid="{E2C2E6E7-849B-44B5-A662-68571B0B71DA}"/>
    <cellStyle name="Comma 3 4 3 4 4" xfId="4963" xr:uid="{5C6FF14D-3AD3-420A-973A-7152453DA30F}"/>
    <cellStyle name="Comma 3 4 3 4 4 2" xfId="10429" xr:uid="{9BC966E8-05CF-4B9E-AC18-2EEFA8725557}"/>
    <cellStyle name="Comma 3 4 3 4 5" xfId="5457" xr:uid="{B56E6A99-9C68-4023-93B9-4ECF58BCCDC5}"/>
    <cellStyle name="Comma 3 4 3 4 5 2" xfId="10931" xr:uid="{DC93B0CF-6EEF-4FEB-9FE2-7AF19D63AAD5}"/>
    <cellStyle name="Comma 3 4 3 4 6" xfId="5959" xr:uid="{ECCA2A55-1422-4BA4-9E0E-3B831F6512E7}"/>
    <cellStyle name="Comma 3 4 3 4 6 2" xfId="11433" xr:uid="{7DC29512-9259-4012-BBC4-05B0903C1E00}"/>
    <cellStyle name="Comma 3 4 3 4 7" xfId="2981" xr:uid="{5D55F0CC-4AEB-43F5-8BF5-0C1B46BB3F70}"/>
    <cellStyle name="Comma 3 4 3 4 8" xfId="6899" xr:uid="{F051F099-1256-407F-BEA6-B634122D5F95}"/>
    <cellStyle name="Comma 3 4 3 4 9" xfId="8423" xr:uid="{F0FC8A9F-6E95-44B6-8330-8EEF2C50B050}"/>
    <cellStyle name="Comma 3 4 3 5" xfId="1511" xr:uid="{0F641935-B8FF-4D5C-BC9F-8FB7B0ADE277}"/>
    <cellStyle name="Comma 3 4 3 5 2" xfId="4235" xr:uid="{F881D449-9C97-4AE5-BF12-5F94F25242C1}"/>
    <cellStyle name="Comma 3 4 3 5 2 2" xfId="9679" xr:uid="{ADB2B948-29B3-4A35-844D-B497F8443D7B}"/>
    <cellStyle name="Comma 3 4 3 5 3" xfId="3225" xr:uid="{B7D23141-6DA2-4031-8A6D-A7EC260057EE}"/>
    <cellStyle name="Comma 3 4 3 5 4" xfId="7157" xr:uid="{1155367F-9F07-40B9-8A5E-D974D575C086}"/>
    <cellStyle name="Comma 3 4 3 5 5" xfId="8671" xr:uid="{ECA95A0D-F69E-43C5-B410-A307D4235E2B}"/>
    <cellStyle name="Comma 3 4 3 5 6" xfId="12291" xr:uid="{F4FE3A62-57A2-4EC4-AFF2-A08A322C9AE2}"/>
    <cellStyle name="Comma 3 4 3 5 7" xfId="14036" xr:uid="{EAA634CF-9928-436F-A7C8-34A51007F731}"/>
    <cellStyle name="Comma 3 4 3 6" xfId="2019" xr:uid="{19350391-6321-4910-B070-1AF5C2C84369}"/>
    <cellStyle name="Comma 3 4 3 6 2" xfId="3739" xr:uid="{6CAFFB37-C357-4152-B121-7A5BC0139FBF}"/>
    <cellStyle name="Comma 3 4 3 6 3" xfId="7665" xr:uid="{6893BC02-EFB2-440F-A752-687A0A7BB83E}"/>
    <cellStyle name="Comma 3 4 3 6 4" xfId="9183" xr:uid="{65875D16-750A-45A2-AC0C-D9CEB620B9FA}"/>
    <cellStyle name="Comma 3 4 3 6 5" xfId="12797" xr:uid="{54D94F7A-B0F6-4AD2-AA8E-A2DD87240A7A}"/>
    <cellStyle name="Comma 3 4 3 6 6" xfId="14542" xr:uid="{155F5066-8EE2-4EBC-86DE-7D74F846D2A3}"/>
    <cellStyle name="Comma 3 4 3 7" xfId="2522" xr:uid="{184BCBAE-898F-410C-9015-B1FE88FECD1F}"/>
    <cellStyle name="Comma 3 4 3 7 2" xfId="4735" xr:uid="{95DB4FF1-33A2-4975-883F-C5E9E5F7325F}"/>
    <cellStyle name="Comma 3 4 3 7 3" xfId="6651" xr:uid="{003A4BCD-78D9-4D9C-84CA-541CA5F72480}"/>
    <cellStyle name="Comma 3 4 3 7 4" xfId="10181" xr:uid="{FFCDA57B-2015-4C62-A778-713794A08217}"/>
    <cellStyle name="Comma 3 4 3 7 5" xfId="13530" xr:uid="{7F99B166-1AD0-4DB3-A878-F11B7F16C570}"/>
    <cellStyle name="Comma 3 4 3 8" xfId="5209" xr:uid="{D93EA4E0-43AD-4556-AF49-B0D1AC103AA9}"/>
    <cellStyle name="Comma 3 4 3 8 2" xfId="10683" xr:uid="{D560A3FB-9A8F-439E-A57D-1E6AC3498D1B}"/>
    <cellStyle name="Comma 3 4 3 9" xfId="5711" xr:uid="{22746429-2878-4BA3-876A-67A737E4F767}"/>
    <cellStyle name="Comma 3 4 3 9 2" xfId="11185" xr:uid="{12ABCBEE-B157-4F4A-8701-9447B50269C7}"/>
    <cellStyle name="Comma 3 4 4" xfId="1029" xr:uid="{E332FC37-758A-477D-824D-919C563F282F}"/>
    <cellStyle name="Comma 3 4 4 10" xfId="6675" xr:uid="{DD0F1E47-2CB1-4700-B026-DD90F82266B3}"/>
    <cellStyle name="Comma 3 4 4 11" xfId="8199" xr:uid="{568B7EFE-F47E-4790-9567-A7A8B662A955}"/>
    <cellStyle name="Comma 3 4 4 12" xfId="11809" xr:uid="{769DDD87-A13B-42C8-8155-D07AEF28E027}"/>
    <cellStyle name="Comma 3 4 4 13" xfId="13554" xr:uid="{63D79431-37B5-4BEE-8616-760B04B454A1}"/>
    <cellStyle name="Comma 3 4 4 2" xfId="1153" xr:uid="{699520D8-3626-4EDA-9F4F-E46031A5B0F4}"/>
    <cellStyle name="Comma 3 4 4 2 10" xfId="8323" xr:uid="{8663D5C2-F31A-4994-8DCF-81406497FF32}"/>
    <cellStyle name="Comma 3 4 4 2 11" xfId="11933" xr:uid="{D0D00D83-4385-4CA0-A807-D7D0F2614C4D}"/>
    <cellStyle name="Comma 3 4 4 2 12" xfId="13678" xr:uid="{85BED7AD-E9F1-4851-A2FE-039C94848BAC}"/>
    <cellStyle name="Comma 3 4 4 2 2" xfId="1401" xr:uid="{61562F32-4F7F-4B2C-A942-4F4F6D05D1B4}"/>
    <cellStyle name="Comma 3 4 4 2 2 10" xfId="12181" xr:uid="{437E0FDE-5928-4E40-AEE9-8103102DE9CD}"/>
    <cellStyle name="Comma 3 4 4 2 2 11" xfId="13926" xr:uid="{345CDD44-FC9A-4667-95B4-5CBAFF1AEE87}"/>
    <cellStyle name="Comma 3 4 4 2 2 2" xfId="1907" xr:uid="{8B69774E-C8E3-4C75-9007-5F938DBCA56F}"/>
    <cellStyle name="Comma 3 4 4 2 2 2 2" xfId="4629" xr:uid="{56819425-BA0F-4070-B5C8-5E3B7DA83367}"/>
    <cellStyle name="Comma 3 4 4 2 2 2 2 2" xfId="10075" xr:uid="{760E8928-0B83-4E7E-BDB5-9739E74CD948}"/>
    <cellStyle name="Comma 3 4 4 2 2 2 3" xfId="3619" xr:uid="{C170FEF0-6061-4067-8CC8-2AFE03E76CDB}"/>
    <cellStyle name="Comma 3 4 4 2 2 2 4" xfId="7553" xr:uid="{A4A28545-624B-44CD-8271-07300B6D25D2}"/>
    <cellStyle name="Comma 3 4 4 2 2 2 5" xfId="9067" xr:uid="{AC5325A1-764C-49B7-BD6B-9A37D1787152}"/>
    <cellStyle name="Comma 3 4 4 2 2 2 6" xfId="12687" xr:uid="{6D0E16A7-3C69-4892-972C-A86510126E43}"/>
    <cellStyle name="Comma 3 4 4 2 2 2 7" xfId="14432" xr:uid="{C558E999-CC91-4AAD-B60F-BC41D16FF7DC}"/>
    <cellStyle name="Comma 3 4 4 2 2 3" xfId="2415" xr:uid="{54D21579-E239-41A4-BD51-B5FBCF45F938}"/>
    <cellStyle name="Comma 3 4 4 2 2 3 2" xfId="4135" xr:uid="{9AB349E3-B6CB-41DF-B2BF-D6F3C9886C9E}"/>
    <cellStyle name="Comma 3 4 4 2 2 3 3" xfId="8061" xr:uid="{FACEA887-78EC-44E9-A31E-369CA395D286}"/>
    <cellStyle name="Comma 3 4 4 2 2 3 4" xfId="9579" xr:uid="{6144D75C-EFDF-4BD6-9A8D-3FCFF5085A0C}"/>
    <cellStyle name="Comma 3 4 4 2 2 3 5" xfId="13193" xr:uid="{0B5ECCB7-953C-4173-82DF-E77E2D5CDE1C}"/>
    <cellStyle name="Comma 3 4 4 2 2 3 6" xfId="14938" xr:uid="{9CBA850F-8BE0-46A9-BD72-004B0170ED5C}"/>
    <cellStyle name="Comma 3 4 4 2 2 4" xfId="5107" xr:uid="{C89B8B6F-D04B-4FA2-861C-E06D2F014DEC}"/>
    <cellStyle name="Comma 3 4 4 2 2 4 2" xfId="10577" xr:uid="{361CA775-C33D-4085-87F0-1CFCCCDB031C}"/>
    <cellStyle name="Comma 3 4 4 2 2 5" xfId="5605" xr:uid="{3C412479-CCB6-40F6-9ABF-81722683AB6D}"/>
    <cellStyle name="Comma 3 4 4 2 2 5 2" xfId="11079" xr:uid="{F4D221ED-FD20-4984-9809-7C1EA44F0308}"/>
    <cellStyle name="Comma 3 4 4 2 2 6" xfId="6107" xr:uid="{CA359A1E-1694-4CCA-B7CB-7EC24036FCFF}"/>
    <cellStyle name="Comma 3 4 4 2 2 6 2" xfId="11581" xr:uid="{1E1E7E58-7978-4F36-8B06-34A99C521685}"/>
    <cellStyle name="Comma 3 4 4 2 2 7" xfId="3125" xr:uid="{CEDD1CE1-5114-4C55-AA33-FB859BF49011}"/>
    <cellStyle name="Comma 3 4 4 2 2 8" xfId="7047" xr:uid="{C0BBC1E4-67E4-41C5-9E35-E39BFEFD1C20}"/>
    <cellStyle name="Comma 3 4 4 2 2 9" xfId="8571" xr:uid="{A3D3E33B-E62D-4D12-9C45-E0D00D12DCD8}"/>
    <cellStyle name="Comma 3 4 4 2 3" xfId="1659" xr:uid="{F068D099-1BE1-44F5-AC17-1C908D749552}"/>
    <cellStyle name="Comma 3 4 4 2 3 2" xfId="4381" xr:uid="{7DA2809B-613A-41E0-970D-D4018C6D0B51}"/>
    <cellStyle name="Comma 3 4 4 2 3 2 2" xfId="9827" xr:uid="{27BE4443-57A0-438C-91B2-C1B7A604C357}"/>
    <cellStyle name="Comma 3 4 4 2 3 3" xfId="3371" xr:uid="{5088F666-F91B-4DA1-B2A4-52F6B81DB674}"/>
    <cellStyle name="Comma 3 4 4 2 3 4" xfId="7305" xr:uid="{E7B2F78D-BBD2-4EB2-9114-DBB4A50ABC11}"/>
    <cellStyle name="Comma 3 4 4 2 3 5" xfId="8819" xr:uid="{3D4023DC-F979-4065-A90A-65A766CD993A}"/>
    <cellStyle name="Comma 3 4 4 2 3 6" xfId="12439" xr:uid="{39FB11C3-6AD7-4D74-8552-02AACF4A145F}"/>
    <cellStyle name="Comma 3 4 4 2 3 7" xfId="14184" xr:uid="{4BBBACFB-E050-4F58-B16F-D38067DE0B3C}"/>
    <cellStyle name="Comma 3 4 4 2 4" xfId="2167" xr:uid="{B59BBAA6-4AD7-4F78-9C42-896C43FF9E31}"/>
    <cellStyle name="Comma 3 4 4 2 4 2" xfId="3887" xr:uid="{0ACAADDB-09D1-458E-8C85-4258A1B8FC13}"/>
    <cellStyle name="Comma 3 4 4 2 4 3" xfId="7813" xr:uid="{E17AD1D2-C9F3-4728-8CF1-91890DF7EEFD}"/>
    <cellStyle name="Comma 3 4 4 2 4 4" xfId="9331" xr:uid="{DA5BCE54-5692-46FF-98B6-6DDE19FC73F3}"/>
    <cellStyle name="Comma 3 4 4 2 4 5" xfId="12945" xr:uid="{98A8FB7C-9E71-4482-826A-A20BB0A0F509}"/>
    <cellStyle name="Comma 3 4 4 2 4 6" xfId="14690" xr:uid="{4E7DE961-38BC-4045-B05F-E9D228C68414}"/>
    <cellStyle name="Comma 3 4 4 2 5" xfId="4869" xr:uid="{6314A504-CE6E-4952-90D8-C717348BA1F6}"/>
    <cellStyle name="Comma 3 4 4 2 5 2" xfId="10329" xr:uid="{6AB9E4D9-792E-4C62-AFF4-D91EFA586A98}"/>
    <cellStyle name="Comma 3 4 4 2 6" xfId="5357" xr:uid="{E805D93E-B9D3-495C-97B2-299E968BC44E}"/>
    <cellStyle name="Comma 3 4 4 2 6 2" xfId="10831" xr:uid="{08D0198E-CAFD-4DCF-87A3-E9DED86D232C}"/>
    <cellStyle name="Comma 3 4 4 2 7" xfId="5859" xr:uid="{63C398DD-1441-4774-B83B-5FB351AC0C6B}"/>
    <cellStyle name="Comma 3 4 4 2 7 2" xfId="11333" xr:uid="{72908ECC-C3E6-4E13-B6DA-3BCDA4220C0E}"/>
    <cellStyle name="Comma 3 4 4 2 8" xfId="2885" xr:uid="{8AA69FB3-320A-48C9-A780-480E40995C63}"/>
    <cellStyle name="Comma 3 4 4 2 9" xfId="6799" xr:uid="{5F3B4C0E-1EBC-4B75-A715-99484AEEA82E}"/>
    <cellStyle name="Comma 3 4 4 3" xfId="1277" xr:uid="{3D0C6F59-4488-4F4C-8E53-F08106A34F98}"/>
    <cellStyle name="Comma 3 4 4 3 10" xfId="12057" xr:uid="{4B67F410-94A7-4085-A1E0-818452DF43F3}"/>
    <cellStyle name="Comma 3 4 4 3 11" xfId="13802" xr:uid="{5BE90BF2-F11F-448B-B97C-2D21F363E537}"/>
    <cellStyle name="Comma 3 4 4 3 2" xfId="1783" xr:uid="{031F38E0-6BE5-4C84-9CA3-B25E08773406}"/>
    <cellStyle name="Comma 3 4 4 3 2 2" xfId="4505" xr:uid="{D4D2A910-4069-43F9-B24B-3D84380A3F78}"/>
    <cellStyle name="Comma 3 4 4 3 2 2 2" xfId="9951" xr:uid="{4833BCE1-EB83-4AAB-9CBA-20FB430A8003}"/>
    <cellStyle name="Comma 3 4 4 3 2 3" xfId="3495" xr:uid="{6655F9DB-AE26-48D0-A808-3E8C13DCA388}"/>
    <cellStyle name="Comma 3 4 4 3 2 4" xfId="7429" xr:uid="{F10D125A-D050-47ED-8240-F2C678C2639E}"/>
    <cellStyle name="Comma 3 4 4 3 2 5" xfId="8943" xr:uid="{A2578AA9-D79E-4EC6-8488-B4155458B804}"/>
    <cellStyle name="Comma 3 4 4 3 2 6" xfId="12563" xr:uid="{5F4ED627-743A-4356-A116-86D238BD2F67}"/>
    <cellStyle name="Comma 3 4 4 3 2 7" xfId="14308" xr:uid="{FD68E1F3-BD28-4E14-9A5E-BA3050637DBA}"/>
    <cellStyle name="Comma 3 4 4 3 3" xfId="2291" xr:uid="{45553157-A4AA-4E5C-BDC6-460D6BFE7237}"/>
    <cellStyle name="Comma 3 4 4 3 3 2" xfId="4011" xr:uid="{A106548F-5D21-43EE-B3F8-F44216179D46}"/>
    <cellStyle name="Comma 3 4 4 3 3 3" xfId="7937" xr:uid="{E7DDAD67-A7AA-4D91-BB40-9D913C99D563}"/>
    <cellStyle name="Comma 3 4 4 3 3 4" xfId="9455" xr:uid="{DF5951F1-D54E-4A7A-AF4D-75065CB529A6}"/>
    <cellStyle name="Comma 3 4 4 3 3 5" xfId="13069" xr:uid="{4F6D193D-4A64-41A2-9107-C5950F2BA508}"/>
    <cellStyle name="Comma 3 4 4 3 3 6" xfId="14814" xr:uid="{A93E72C5-F5A9-405D-9911-337A4FEA6910}"/>
    <cellStyle name="Comma 3 4 4 3 4" xfId="4985" xr:uid="{8A0561B6-E7D3-42AE-9E56-59320F9DC7D1}"/>
    <cellStyle name="Comma 3 4 4 3 4 2" xfId="10453" xr:uid="{8AF5A593-B6B1-4707-9E60-86164F76061B}"/>
    <cellStyle name="Comma 3 4 4 3 5" xfId="5481" xr:uid="{68327825-B8AC-4C57-9D00-8DE3613779F6}"/>
    <cellStyle name="Comma 3 4 4 3 5 2" xfId="10955" xr:uid="{A3B6C3FD-5B45-4BF5-8FC5-B4B449087279}"/>
    <cellStyle name="Comma 3 4 4 3 6" xfId="5983" xr:uid="{626806EC-26D0-4143-97CE-B1300A9D66BC}"/>
    <cellStyle name="Comma 3 4 4 3 6 2" xfId="11457" xr:uid="{FED35F23-6DF4-4A12-88D0-E0A1311619AF}"/>
    <cellStyle name="Comma 3 4 4 3 7" xfId="3003" xr:uid="{79E0AA4D-7017-4758-8968-55A1657973C3}"/>
    <cellStyle name="Comma 3 4 4 3 8" xfId="6923" xr:uid="{26B97BA4-0F10-4A9C-A544-9AB91F67FF18}"/>
    <cellStyle name="Comma 3 4 4 3 9" xfId="8447" xr:uid="{B77403E1-98EE-413B-81FC-8230B921F365}"/>
    <cellStyle name="Comma 3 4 4 4" xfId="1535" xr:uid="{1CF33736-C095-4A34-B62C-8F800B4BAA04}"/>
    <cellStyle name="Comma 3 4 4 4 2" xfId="4259" xr:uid="{289B55D3-6C8C-43F3-987D-2BD18231C756}"/>
    <cellStyle name="Comma 3 4 4 4 2 2" xfId="9703" xr:uid="{6E96D448-673F-41AF-958B-9B01BB44928F}"/>
    <cellStyle name="Comma 3 4 4 4 3" xfId="3249" xr:uid="{80CCC592-15B2-477A-A39D-8DD657C54F79}"/>
    <cellStyle name="Comma 3 4 4 4 4" xfId="7181" xr:uid="{1CDBE76F-4BE7-4182-9966-D1B152E2560A}"/>
    <cellStyle name="Comma 3 4 4 4 5" xfId="8695" xr:uid="{290EC31D-4B73-416D-ABF0-93F6B535B483}"/>
    <cellStyle name="Comma 3 4 4 4 6" xfId="12315" xr:uid="{1FBF01FD-C23D-4C08-B88F-C77C40920128}"/>
    <cellStyle name="Comma 3 4 4 4 7" xfId="14060" xr:uid="{909FE247-8CCF-46A7-85CD-62914933FF21}"/>
    <cellStyle name="Comma 3 4 4 5" xfId="2043" xr:uid="{36DAE73B-94F1-4954-876E-044A96508ADC}"/>
    <cellStyle name="Comma 3 4 4 5 2" xfId="3763" xr:uid="{ACAAAAAA-72F4-4118-85EC-6197B5A73C51}"/>
    <cellStyle name="Comma 3 4 4 5 3" xfId="7689" xr:uid="{DC89612E-FF23-4EAA-8896-30DDC8C9303D}"/>
    <cellStyle name="Comma 3 4 4 5 4" xfId="9207" xr:uid="{1A3F3A8C-967E-4EFA-82F0-6AF011E1AF00}"/>
    <cellStyle name="Comma 3 4 4 5 5" xfId="12821" xr:uid="{9B292E5D-9E52-43DF-895C-A6C5E9B11539}"/>
    <cellStyle name="Comma 3 4 4 5 6" xfId="14566" xr:uid="{92C17350-249F-4C6F-A872-FEFD10B6D06C}"/>
    <cellStyle name="Comma 3 4 4 6" xfId="4757" xr:uid="{D3E4E5F8-5B4A-471D-A3FC-C3680CEF2B56}"/>
    <cellStyle name="Comma 3 4 4 6 2" xfId="10205" xr:uid="{E62AA260-7356-4B44-ABB5-A50C7F1B3C97}"/>
    <cellStyle name="Comma 3 4 4 7" xfId="5233" xr:uid="{B7FC574F-D446-4C59-9BF8-F9D8705BF341}"/>
    <cellStyle name="Comma 3 4 4 7 2" xfId="10707" xr:uid="{407384E5-6226-4F2B-A9BB-596A32B290DD}"/>
    <cellStyle name="Comma 3 4 4 8" xfId="5735" xr:uid="{01BCC8B4-34BF-469D-A78A-F6C77F607414}"/>
    <cellStyle name="Comma 3 4 4 8 2" xfId="11209" xr:uid="{B2049AB0-F402-44F5-8C08-6BDBBDB95BE2}"/>
    <cellStyle name="Comma 3 4 4 9" xfId="2773" xr:uid="{04A6EC49-84CF-4EFE-86F5-A5F960743287}"/>
    <cellStyle name="Comma 3 4 5" xfId="1087" xr:uid="{04F8CED2-DB9D-475C-9188-8712D0081F10}"/>
    <cellStyle name="Comma 3 4 5 10" xfId="8257" xr:uid="{130F62C7-DB38-499D-A838-02ADE8959D94}"/>
    <cellStyle name="Comma 3 4 5 11" xfId="11867" xr:uid="{2D6527E1-6B33-412F-B644-5ED4112D767C}"/>
    <cellStyle name="Comma 3 4 5 12" xfId="13612" xr:uid="{C14FE9D3-1BD2-4DB3-93F8-A591F6C4DED7}"/>
    <cellStyle name="Comma 3 4 5 2" xfId="1335" xr:uid="{25292C94-11B4-4CD1-B025-5921C2D832E9}"/>
    <cellStyle name="Comma 3 4 5 2 10" xfId="12115" xr:uid="{F9A30250-D951-4D40-9526-3C2C14CE3C0B}"/>
    <cellStyle name="Comma 3 4 5 2 11" xfId="13860" xr:uid="{F1031318-F12D-44E8-A03F-3BFC88A5EB55}"/>
    <cellStyle name="Comma 3 4 5 2 2" xfId="1841" xr:uid="{9060C6C2-49C8-43B8-9313-514D1B72F913}"/>
    <cellStyle name="Comma 3 4 5 2 2 2" xfId="4563" xr:uid="{483751EB-B694-44BA-A925-77D896597B35}"/>
    <cellStyle name="Comma 3 4 5 2 2 2 2" xfId="10009" xr:uid="{FE12FD86-24D3-4824-A6C4-C3CA2E58E564}"/>
    <cellStyle name="Comma 3 4 5 2 2 3" xfId="3553" xr:uid="{D4EC0021-1C91-45DD-AF5C-CF5ED548359B}"/>
    <cellStyle name="Comma 3 4 5 2 2 4" xfId="7487" xr:uid="{0A88715C-42C4-4A1E-B606-D59CCB4971F6}"/>
    <cellStyle name="Comma 3 4 5 2 2 5" xfId="9001" xr:uid="{C5F3615A-AFBD-4DD3-8EA0-9E4348DC8923}"/>
    <cellStyle name="Comma 3 4 5 2 2 6" xfId="12621" xr:uid="{ADB138AF-5AB6-4559-A198-E408CE994BA2}"/>
    <cellStyle name="Comma 3 4 5 2 2 7" xfId="14366" xr:uid="{3431082C-2ED8-4E04-8FD1-85ECA96B4C1E}"/>
    <cellStyle name="Comma 3 4 5 2 3" xfId="2349" xr:uid="{67CF5D0F-8EBD-4C77-AFD5-4A4B048DC93E}"/>
    <cellStyle name="Comma 3 4 5 2 3 2" xfId="4069" xr:uid="{9630AD07-9B7F-4C88-81CC-456E566432FB}"/>
    <cellStyle name="Comma 3 4 5 2 3 3" xfId="7995" xr:uid="{F74CB0F5-27E5-4A86-9E43-C8C099086BAD}"/>
    <cellStyle name="Comma 3 4 5 2 3 4" xfId="9513" xr:uid="{90B2DF01-F110-4AE4-9F1E-DA6BA19FADFC}"/>
    <cellStyle name="Comma 3 4 5 2 3 5" xfId="13127" xr:uid="{68BE50E7-2B49-4636-89CB-C49907ED8D3B}"/>
    <cellStyle name="Comma 3 4 5 2 3 6" xfId="14872" xr:uid="{70CC0C2A-8834-464F-9DCD-5F5139F880CE}"/>
    <cellStyle name="Comma 3 4 5 2 4" xfId="5041" xr:uid="{1BAB10AC-2725-4A5C-8F78-099ADAD0DEF4}"/>
    <cellStyle name="Comma 3 4 5 2 4 2" xfId="10511" xr:uid="{2A78AFC9-68FC-4EF9-869D-E67BCB01E13A}"/>
    <cellStyle name="Comma 3 4 5 2 5" xfId="5539" xr:uid="{D19E5503-497D-46C5-BF94-0F7E2CA9E590}"/>
    <cellStyle name="Comma 3 4 5 2 5 2" xfId="11013" xr:uid="{86FD2519-6C94-4BEE-A301-0DB9EA175D1E}"/>
    <cellStyle name="Comma 3 4 5 2 6" xfId="6041" xr:uid="{98077D58-57E9-4FE6-958C-4C945FE1B839}"/>
    <cellStyle name="Comma 3 4 5 2 6 2" xfId="11515" xr:uid="{E5C8E3D1-37BD-4D00-908B-5548D15F61E0}"/>
    <cellStyle name="Comma 3 4 5 2 7" xfId="3059" xr:uid="{2FE2C44C-6B73-472B-AACF-F077E7F1D22E}"/>
    <cellStyle name="Comma 3 4 5 2 8" xfId="6981" xr:uid="{A2C6CAB6-F0DE-4B1C-8DF9-2AFC22270730}"/>
    <cellStyle name="Comma 3 4 5 2 9" xfId="8505" xr:uid="{93CCD450-9532-4F23-97BE-F5D9F1F6C988}"/>
    <cellStyle name="Comma 3 4 5 3" xfId="1593" xr:uid="{30E0585B-821C-4F12-B8BC-D68028A21411}"/>
    <cellStyle name="Comma 3 4 5 3 2" xfId="4315" xr:uid="{C5C5708D-2C1B-4E66-A2D2-3F7B983E9EA9}"/>
    <cellStyle name="Comma 3 4 5 3 2 2" xfId="9761" xr:uid="{1316994F-9899-489D-88C5-7229A0B93893}"/>
    <cellStyle name="Comma 3 4 5 3 3" xfId="3305" xr:uid="{B44996ED-392B-4B21-A61C-A2A465F14E97}"/>
    <cellStyle name="Comma 3 4 5 3 4" xfId="7239" xr:uid="{A7DAAD30-53B8-4FC9-8DD0-D1F2BD7DD8E3}"/>
    <cellStyle name="Comma 3 4 5 3 5" xfId="8753" xr:uid="{42C79A3B-CEB8-4C77-8341-46F0DCBEFE05}"/>
    <cellStyle name="Comma 3 4 5 3 6" xfId="12373" xr:uid="{74C8D020-C7E3-43D4-AF72-230758D7BACC}"/>
    <cellStyle name="Comma 3 4 5 3 7" xfId="14118" xr:uid="{0B57583A-F5CA-49F3-850D-5370EFF1F698}"/>
    <cellStyle name="Comma 3 4 5 4" xfId="2101" xr:uid="{03D7C25D-E0F2-489A-B132-CBE189C10545}"/>
    <cellStyle name="Comma 3 4 5 4 2" xfId="3821" xr:uid="{7A14E68B-5804-48F5-B602-37E5AFF61BDA}"/>
    <cellStyle name="Comma 3 4 5 4 3" xfId="7747" xr:uid="{B47A53A4-724B-402A-84BC-A996E6BDA93E}"/>
    <cellStyle name="Comma 3 4 5 4 4" xfId="9265" xr:uid="{1BFC1AF3-6A51-4D99-992E-F5247C3FCFC9}"/>
    <cellStyle name="Comma 3 4 5 4 5" xfId="12879" xr:uid="{D02384C1-B7AC-49BA-AC90-9788FDC4161D}"/>
    <cellStyle name="Comma 3 4 5 4 6" xfId="14624" xr:uid="{8129A7D6-52B8-432E-B6FD-4686B4E62BF6}"/>
    <cellStyle name="Comma 3 4 5 5" xfId="4809" xr:uid="{E8C5BC11-4DC0-4EAB-B8E5-40C11939C25A}"/>
    <cellStyle name="Comma 3 4 5 5 2" xfId="10263" xr:uid="{DDC6DF79-F14F-4699-A05A-60AE5A9AB27D}"/>
    <cellStyle name="Comma 3 4 5 6" xfId="5291" xr:uid="{5A934F8C-9A04-4D8E-A8D5-5B2C0276FBF3}"/>
    <cellStyle name="Comma 3 4 5 6 2" xfId="10765" xr:uid="{7049D135-CD54-4890-9595-11024BEDE7B6}"/>
    <cellStyle name="Comma 3 4 5 7" xfId="5793" xr:uid="{D64F2C01-24A8-4C27-8C8F-6897ADE79489}"/>
    <cellStyle name="Comma 3 4 5 7 2" xfId="11267" xr:uid="{26067F7B-659A-4E83-9A0E-A8AF4DC0F572}"/>
    <cellStyle name="Comma 3 4 5 8" xfId="2825" xr:uid="{91249301-9B64-4766-B104-809751DBB767}"/>
    <cellStyle name="Comma 3 4 5 9" xfId="6733" xr:uid="{E4749720-3C4A-4387-86EC-79A267626182}"/>
    <cellStyle name="Comma 3 4 6" xfId="954" xr:uid="{5306A81F-F5F3-40F2-9D1E-C36C727CB9E3}"/>
    <cellStyle name="Comma 3 4 6 10" xfId="11743" xr:uid="{FE1882D1-EA28-4528-9131-541C6CAD1921}"/>
    <cellStyle name="Comma 3 4 6 11" xfId="13488" xr:uid="{33B27D6C-0B77-4C35-ACE9-BB6F466D81E2}"/>
    <cellStyle name="Comma 3 4 6 2" xfId="1469" xr:uid="{BF85A91C-B138-41E0-96D1-89B6FB6DC4EC}"/>
    <cellStyle name="Comma 3 4 6 2 2" xfId="4439" xr:uid="{297F1DF5-2BAA-4DF9-9CA2-E66AD21A285E}"/>
    <cellStyle name="Comma 3 4 6 2 2 2" xfId="9885" xr:uid="{573E461D-9BD3-4262-BF90-E58CFF2F6D95}"/>
    <cellStyle name="Comma 3 4 6 2 3" xfId="3429" xr:uid="{49F231EB-E89F-498E-B32A-A5EF49872212}"/>
    <cellStyle name="Comma 3 4 6 2 4" xfId="7115" xr:uid="{FC38CC8F-F9FB-46DC-8CC1-FD9AE7921037}"/>
    <cellStyle name="Comma 3 4 6 2 5" xfId="8877" xr:uid="{B28C0A57-8D4C-472F-BAF1-BA4895857C09}"/>
    <cellStyle name="Comma 3 4 6 2 6" xfId="12249" xr:uid="{70BECC5C-6981-4448-81D3-01ECBCD240FE}"/>
    <cellStyle name="Comma 3 4 6 2 7" xfId="13994" xr:uid="{559258B3-4CB1-44B5-8172-E2432011BCBD}"/>
    <cellStyle name="Comma 3 4 6 3" xfId="1977" xr:uid="{4E86551B-AE38-4A24-B66B-08E97CAA2813}"/>
    <cellStyle name="Comma 3 4 6 3 2" xfId="3697" xr:uid="{0DF14612-C942-47F0-AD7C-E7F45B75AF29}"/>
    <cellStyle name="Comma 3 4 6 3 3" xfId="7623" xr:uid="{F91FEB40-BF6A-4225-8FF1-A87A133B7351}"/>
    <cellStyle name="Comma 3 4 6 3 4" xfId="9141" xr:uid="{FB629A70-4CA8-4512-A8DB-C71F9122245E}"/>
    <cellStyle name="Comma 3 4 6 3 5" xfId="12755" xr:uid="{7CEC0EBC-8D2E-49D8-A1F4-F5E05A16434A}"/>
    <cellStyle name="Comma 3 4 6 3 6" xfId="14500" xr:uid="{D2E3138F-13A3-4B0F-A04D-CFF9C2497C5A}"/>
    <cellStyle name="Comma 3 4 6 4" xfId="4925" xr:uid="{CD02FEB0-CB1B-44D1-905C-0BFC073E6488}"/>
    <cellStyle name="Comma 3 4 6 4 2" xfId="10387" xr:uid="{C0314892-821A-41D0-B8D9-5165CAC89BED}"/>
    <cellStyle name="Comma 3 4 6 5" xfId="5415" xr:uid="{C83FC0AE-4348-4BEE-BDF2-D5052F38227B}"/>
    <cellStyle name="Comma 3 4 6 5 2" xfId="10889" xr:uid="{EBA346AE-4777-4DE9-B016-AF1F2E0C35C7}"/>
    <cellStyle name="Comma 3 4 6 6" xfId="5917" xr:uid="{DE673505-47D9-4739-8E1A-30FB2B26C396}"/>
    <cellStyle name="Comma 3 4 6 6 2" xfId="11391" xr:uid="{A99200AE-70E8-442D-984A-504A9C853888}"/>
    <cellStyle name="Comma 3 4 6 7" xfId="2713" xr:uid="{61242AD1-BD0D-401D-B9B7-2046559AAEAE}"/>
    <cellStyle name="Comma 3 4 6 8" xfId="6605" xr:uid="{A9085E38-92F6-4E11-99DD-0EAAD3E9DA70}"/>
    <cellStyle name="Comma 3 4 6 9" xfId="8133" xr:uid="{A43D3300-11C5-49B3-B8AF-01870B7EA4CF}"/>
    <cellStyle name="Comma 3 4 7" xfId="1211" xr:uid="{304939B4-FDE6-4579-8551-7DAA304099D2}"/>
    <cellStyle name="Comma 3 4 7 2" xfId="1717" xr:uid="{C92368FC-11F9-4ECD-AB0C-85A2C52FD857}"/>
    <cellStyle name="Comma 3 4 7 2 2" xfId="3945" xr:uid="{2AC59869-CBDE-4960-A33C-2B4202761911}"/>
    <cellStyle name="Comma 3 4 7 2 3" xfId="7363" xr:uid="{46509A1E-11F8-477B-8363-83DB570FFEC1}"/>
    <cellStyle name="Comma 3 4 7 2 4" xfId="9389" xr:uid="{55F7E1A8-F7C3-4648-99FD-1F8B908BF387}"/>
    <cellStyle name="Comma 3 4 7 2 5" xfId="12497" xr:uid="{AB79A052-FBB2-4886-8FF0-64797EF3BE91}"/>
    <cellStyle name="Comma 3 4 7 2 6" xfId="14242" xr:uid="{200FA3DC-E129-4ECF-A56A-D46A4D5F09C5}"/>
    <cellStyle name="Comma 3 4 7 3" xfId="2225" xr:uid="{EB41813E-7E56-4190-AD0D-55C12D40A98A}"/>
    <cellStyle name="Comma 3 4 7 3 2" xfId="7871" xr:uid="{AF04A959-8CC2-4F75-BF56-44ECE8C3ACB7}"/>
    <cellStyle name="Comma 3 4 7 3 3" xfId="13003" xr:uid="{86F333C3-251A-49D3-AA4A-13D055EE5ED7}"/>
    <cellStyle name="Comma 3 4 7 3 4" xfId="14748" xr:uid="{5D308FF7-4D9A-4D8C-AE85-57DB8A93AEAA}"/>
    <cellStyle name="Comma 3 4 7 4" xfId="2941" xr:uid="{320B95C3-60B6-467C-8BDD-970EB5CFB0F6}"/>
    <cellStyle name="Comma 3 4 7 5" xfId="6857" xr:uid="{BC79D82A-FBAC-4189-B527-0E6A9D183D49}"/>
    <cellStyle name="Comma 3 4 7 6" xfId="8381" xr:uid="{05F1E707-D65C-4665-BE41-8F2FEFFA3207}"/>
    <cellStyle name="Comma 3 4 7 7" xfId="11991" xr:uid="{BBDAAAE2-8EB4-404E-B302-DB2D081B1858}"/>
    <cellStyle name="Comma 3 4 7 8" xfId="13736" xr:uid="{FF067EE4-E32E-4D18-8ECB-57BB366DD16F}"/>
    <cellStyle name="Comma 3 4 8" xfId="3183" xr:uid="{1BACDAB5-B2B3-44B6-9B20-D927488B075F}"/>
    <cellStyle name="Comma 3 4 8 2" xfId="4193" xr:uid="{0054CA49-A3A4-4D26-ABFE-28E1E57412A0}"/>
    <cellStyle name="Comma 3 4 8 2 2" xfId="9637" xr:uid="{213439F9-361F-42D8-B609-235160CE891E}"/>
    <cellStyle name="Comma 3 4 8 3" xfId="8629" xr:uid="{05D50980-B9E8-4ED6-B4F6-79252798EEB0}"/>
    <cellStyle name="Comma 3 4 9" xfId="4693" xr:uid="{FBFD640F-9C1F-4914-949C-EE11E29F464B}"/>
    <cellStyle name="Comma 3 4 9 2" xfId="10139" xr:uid="{87D8D84D-052B-47BF-91F4-54A9574AAB6C}"/>
    <cellStyle name="Comma 3 5" xfId="113" xr:uid="{00000000-0005-0000-0000-0000C4000000}"/>
    <cellStyle name="Comma 3 5 10" xfId="1962" xr:uid="{E4D85CFE-68D1-4D11-8DE5-4BE53E8928AD}"/>
    <cellStyle name="Comma 3 5 10 2" xfId="4695" xr:uid="{24376219-A2F7-4E2A-BCDF-389053FFF0D5}"/>
    <cellStyle name="Comma 3 5 10 3" xfId="7608" xr:uid="{B6951624-837A-43AE-ADAD-83AB70B01EED}"/>
    <cellStyle name="Comma 3 5 10 4" xfId="10141" xr:uid="{39E3B147-5FDB-4FE2-B5B5-32B2BDA5B8AA}"/>
    <cellStyle name="Comma 3 5 10 5" xfId="12741" xr:uid="{62F788E6-460A-4850-83E0-552FF8C46D11}"/>
    <cellStyle name="Comma 3 5 10 6" xfId="14486" xr:uid="{FD518E24-79FF-41D9-B37E-7237E47B0947}"/>
    <cellStyle name="Comma 3 5 11" xfId="2487" xr:uid="{86F5978E-71E5-4FAE-8032-F73C43E9B74B}"/>
    <cellStyle name="Comma 3 5 11 2" xfId="6480" xr:uid="{7D2F988D-57A0-4CCF-B476-E3970AA26D2C}"/>
    <cellStyle name="Comma 3 5 11 3" xfId="10643" xr:uid="{C6CE9A7B-32EF-4669-B77D-44402ED90C43}"/>
    <cellStyle name="Comma 3 5 11 4" xfId="13456" xr:uid="{DB22D069-8537-4795-9248-F1D09667FE21}"/>
    <cellStyle name="Comma 3 5 12" xfId="5671" xr:uid="{4B8D9346-C30A-40C7-8ABE-6D906D7FE87E}"/>
    <cellStyle name="Comma 3 5 12 2" xfId="11145" xr:uid="{71746631-EB5F-4137-A662-5457655BB57F}"/>
    <cellStyle name="Comma 3 5 13" xfId="6237" xr:uid="{4BED2B75-B31A-4045-9AE7-F46DC08D9062}"/>
    <cellStyle name="Comma 3 5 13 2" xfId="11659" xr:uid="{ED7E3FEA-924A-45EE-B956-B2C259889D2C}"/>
    <cellStyle name="Comma 3 5 14" xfId="6280" xr:uid="{81A02E4C-1C65-462B-8726-525629C54ECD}"/>
    <cellStyle name="Comma 3 5 15" xfId="8119" xr:uid="{49DC1514-86F8-41D7-888C-A66098579D01}"/>
    <cellStyle name="Comma 3 5 16" xfId="11711" xr:uid="{783A82D3-5DD3-4CD9-A855-9F1F6AA33081}"/>
    <cellStyle name="Comma 3 5 17" xfId="13259" xr:uid="{2BF5FD60-7C56-4E4C-B52F-D2E800F3611E}"/>
    <cellStyle name="Comma 3 5 18" xfId="510" xr:uid="{D9034953-5C3F-4C8A-BB69-7EA38B879545}"/>
    <cellStyle name="Comma 3 5 2" xfId="165" xr:uid="{00000000-0005-0000-0000-0000C5000000}"/>
    <cellStyle name="Comma 3 5 2 10" xfId="5693" xr:uid="{EBF19A4E-69FC-409C-A836-EDE62E8BDE0B}"/>
    <cellStyle name="Comma 3 5 2 10 2" xfId="11167" xr:uid="{BC7851D9-7DAC-4F5A-A53B-BFAE51F2AB1A}"/>
    <cellStyle name="Comma 3 5 2 11" xfId="6240" xr:uid="{40B4F1E3-4319-4A1C-85E7-537529584B51}"/>
    <cellStyle name="Comma 3 5 2 11 2" xfId="11664" xr:uid="{216A292E-9885-4B2A-8A6B-8424B2D3ABD4}"/>
    <cellStyle name="Comma 3 5 2 12" xfId="6284" xr:uid="{E13F7838-0DE6-461E-9630-6748339849FB}"/>
    <cellStyle name="Comma 3 5 2 13" xfId="8123" xr:uid="{900FCB87-2C11-4DD3-8DCA-B1929E164A67}"/>
    <cellStyle name="Comma 3 5 2 14" xfId="11712" xr:uid="{328CA71A-80F9-43A3-AB59-D52A3BBE1E34}"/>
    <cellStyle name="Comma 3 5 2 15" xfId="13263" xr:uid="{0FC49938-0642-44FF-B21D-80908E1AFB18}"/>
    <cellStyle name="Comma 3 5 2 16" xfId="511" xr:uid="{91F5731E-C63A-485B-9454-C7AC66934208}"/>
    <cellStyle name="Comma 3 5 2 2" xfId="335" xr:uid="{00000000-0005-0000-0000-0000C6000000}"/>
    <cellStyle name="Comma 3 5 2 2 10" xfId="6312" xr:uid="{B3DEC2A7-7DF9-44D8-A29C-05930D85D0F6}"/>
    <cellStyle name="Comma 3 5 2 2 11" xfId="8203" xr:uid="{59077D5A-0486-49D1-8A0C-C71976BFB6E5}"/>
    <cellStyle name="Comma 3 5 2 2 12" xfId="11813" xr:uid="{41F16A17-98FD-4277-8A52-B0CCDDD115F6}"/>
    <cellStyle name="Comma 3 5 2 2 13" xfId="13291" xr:uid="{E98D9470-C493-4E23-BAA7-D378061F8CFA}"/>
    <cellStyle name="Comma 3 5 2 2 14" xfId="1033" xr:uid="{4878B14E-68B2-467B-8386-976763668365}"/>
    <cellStyle name="Comma 3 5 2 2 2" xfId="388" xr:uid="{00000000-0005-0000-0000-0000C7000000}"/>
    <cellStyle name="Comma 3 5 2 2 2 10" xfId="11937" xr:uid="{23AAA3DD-FE05-421B-8097-ED29E4E0C66D}"/>
    <cellStyle name="Comma 3 5 2 2 2 11" xfId="13342" xr:uid="{D9112022-7AEA-45E5-8EDF-F07534DE4DD8}"/>
    <cellStyle name="Comma 3 5 2 2 2 12" xfId="1157" xr:uid="{7E217659-C316-4E44-BBEC-854299EB1197}"/>
    <cellStyle name="Comma 3 5 2 2 2 2" xfId="1405" xr:uid="{262F9ACF-1BEB-4016-AFC4-0B5CBBAA708C}"/>
    <cellStyle name="Comma 3 5 2 2 2 2 10" xfId="12185" xr:uid="{986F6E8E-504B-4572-A46C-07CCB38488BD}"/>
    <cellStyle name="Comma 3 5 2 2 2 2 11" xfId="13930" xr:uid="{5A95D9A3-D63F-4BED-9656-1AD6E78AE128}"/>
    <cellStyle name="Comma 3 5 2 2 2 2 2" xfId="1911" xr:uid="{8F469A18-2DD0-4E34-8957-AD69159ADC36}"/>
    <cellStyle name="Comma 3 5 2 2 2 2 2 2" xfId="4633" xr:uid="{9BD062AE-FE0B-4FA3-B58C-0883CFFB54EF}"/>
    <cellStyle name="Comma 3 5 2 2 2 2 2 2 2" xfId="10079" xr:uid="{0098BA63-4BB6-4097-AD3B-FDBD0B7E09BD}"/>
    <cellStyle name="Comma 3 5 2 2 2 2 2 3" xfId="3623" xr:uid="{43B33D18-413A-4243-AD89-4932B5B3F5A1}"/>
    <cellStyle name="Comma 3 5 2 2 2 2 2 4" xfId="7557" xr:uid="{21865F43-E726-444C-9084-7B9CA226B597}"/>
    <cellStyle name="Comma 3 5 2 2 2 2 2 5" xfId="9071" xr:uid="{F08AA587-CA4C-4250-B3C0-4C707362C617}"/>
    <cellStyle name="Comma 3 5 2 2 2 2 2 6" xfId="12691" xr:uid="{18235274-DA60-46A5-81E6-E49034904CCB}"/>
    <cellStyle name="Comma 3 5 2 2 2 2 2 7" xfId="14436" xr:uid="{667CCFAC-4145-44EF-858E-CF13C9A66262}"/>
    <cellStyle name="Comma 3 5 2 2 2 2 3" xfId="2419" xr:uid="{F8A8FF1B-271F-42BE-B02C-18340A61A332}"/>
    <cellStyle name="Comma 3 5 2 2 2 2 3 2" xfId="4139" xr:uid="{D0AA0724-D2C7-464B-AF1E-B29BA8E28D9B}"/>
    <cellStyle name="Comma 3 5 2 2 2 2 3 3" xfId="8065" xr:uid="{A2A0D64E-3FB1-4488-8A04-A50001692E47}"/>
    <cellStyle name="Comma 3 5 2 2 2 2 3 4" xfId="9583" xr:uid="{8D31EA46-9267-4428-8F57-FC2BEFF7DDD8}"/>
    <cellStyle name="Comma 3 5 2 2 2 2 3 5" xfId="13197" xr:uid="{0814DB02-AF29-4DE3-BDD2-CFC6169D8AD7}"/>
    <cellStyle name="Comma 3 5 2 2 2 2 3 6" xfId="14942" xr:uid="{E3304860-DD73-44BF-8652-4F245E2F991B}"/>
    <cellStyle name="Comma 3 5 2 2 2 2 4" xfId="5111" xr:uid="{0C5AEA01-9721-43E7-B525-19F84DA66DB9}"/>
    <cellStyle name="Comma 3 5 2 2 2 2 4 2" xfId="10581" xr:uid="{5B72460F-6B73-4385-8DC2-27EF7437A01E}"/>
    <cellStyle name="Comma 3 5 2 2 2 2 5" xfId="5609" xr:uid="{CDBC60BB-041C-4344-861F-60A18E948CF8}"/>
    <cellStyle name="Comma 3 5 2 2 2 2 5 2" xfId="11083" xr:uid="{13565827-9996-4513-9A00-265576DE575C}"/>
    <cellStyle name="Comma 3 5 2 2 2 2 6" xfId="6111" xr:uid="{DC428FF1-F470-4EC7-A18F-A6C484D43962}"/>
    <cellStyle name="Comma 3 5 2 2 2 2 6 2" xfId="11585" xr:uid="{6BB17A6F-240C-43AE-8EE3-9AA89397FDA8}"/>
    <cellStyle name="Comma 3 5 2 2 2 2 7" xfId="3129" xr:uid="{33F9C427-D9A6-45DF-97BA-EECD2FD3ADAA}"/>
    <cellStyle name="Comma 3 5 2 2 2 2 8" xfId="7051" xr:uid="{DC05272D-298E-4836-B3F4-09B23F04428C}"/>
    <cellStyle name="Comma 3 5 2 2 2 2 9" xfId="8575" xr:uid="{B2C9F3A5-819A-4B01-9022-D794E75DF4D1}"/>
    <cellStyle name="Comma 3 5 2 2 2 3" xfId="1663" xr:uid="{26BFBE06-0DD5-4CFA-B70A-C12A34AD8A3F}"/>
    <cellStyle name="Comma 3 5 2 2 2 3 2" xfId="4385" xr:uid="{FEB53232-DBC4-47B1-94B1-3277379BBE8C}"/>
    <cellStyle name="Comma 3 5 2 2 2 3 2 2" xfId="9831" xr:uid="{E05B3AE1-D1A1-4D7E-BB81-546141674297}"/>
    <cellStyle name="Comma 3 5 2 2 2 3 3" xfId="3375" xr:uid="{A8336197-3DB0-448D-BB98-D3B5B2167132}"/>
    <cellStyle name="Comma 3 5 2 2 2 3 4" xfId="7309" xr:uid="{9BDE7805-C6CE-458F-AED7-E385239B9A52}"/>
    <cellStyle name="Comma 3 5 2 2 2 3 5" xfId="8823" xr:uid="{9D57EFDE-1548-4208-944C-EAA9C5C56152}"/>
    <cellStyle name="Comma 3 5 2 2 2 3 6" xfId="12443" xr:uid="{05E0C20C-32E5-4358-B208-7178FE961EB0}"/>
    <cellStyle name="Comma 3 5 2 2 2 3 7" xfId="14188" xr:uid="{73690B84-DECA-40FA-BB83-C747240C0D1A}"/>
    <cellStyle name="Comma 3 5 2 2 2 4" xfId="2171" xr:uid="{E86CD171-F9CD-4522-B451-91400DAC15BB}"/>
    <cellStyle name="Comma 3 5 2 2 2 4 2" xfId="3891" xr:uid="{AB3A4FDB-052E-43DC-B2B9-5ABB563F6D92}"/>
    <cellStyle name="Comma 3 5 2 2 2 4 3" xfId="7817" xr:uid="{33BD2E7E-DCB1-4B6D-B76F-25F3E4F6162A}"/>
    <cellStyle name="Comma 3 5 2 2 2 4 4" xfId="9335" xr:uid="{60AC843E-A3FE-4141-9D14-E0237AF8B5CC}"/>
    <cellStyle name="Comma 3 5 2 2 2 4 5" xfId="12949" xr:uid="{A09E6384-50CD-4FD6-B0FA-50767CEFCE07}"/>
    <cellStyle name="Comma 3 5 2 2 2 4 6" xfId="14694" xr:uid="{45712A8C-8367-4BA6-931D-7AA1819813F8}"/>
    <cellStyle name="Comma 3 5 2 2 2 5" xfId="2596" xr:uid="{E314388E-8E82-47DE-865A-73D105F09BC0}"/>
    <cellStyle name="Comma 3 5 2 2 2 5 2" xfId="6803" xr:uid="{D7E9CF01-3B37-4137-AA58-A7548A48C3D6}"/>
    <cellStyle name="Comma 3 5 2 2 2 5 3" xfId="10333" xr:uid="{36914B15-5F8C-43EC-9082-9D002B6D096F}"/>
    <cellStyle name="Comma 3 5 2 2 2 5 4" xfId="13682" xr:uid="{0813EA6A-56CD-4033-90E6-E1F817AEE247}"/>
    <cellStyle name="Comma 3 5 2 2 2 6" xfId="5361" xr:uid="{C2600EE2-3AD2-4EDF-8348-AF7B207A2B5A}"/>
    <cellStyle name="Comma 3 5 2 2 2 6 2" xfId="10835" xr:uid="{EFCD84E0-F310-476D-A35D-697048F1CA5E}"/>
    <cellStyle name="Comma 3 5 2 2 2 7" xfId="5863" xr:uid="{BC231A39-00B3-4FA9-8052-FF25619F125A}"/>
    <cellStyle name="Comma 3 5 2 2 2 7 2" xfId="11337" xr:uid="{BA17FDFB-1BC4-496C-966B-2A5E12B87248}"/>
    <cellStyle name="Comma 3 5 2 2 2 8" xfId="6363" xr:uid="{3664DB0E-C0F6-45E3-8D88-BC65FAC9B97D}"/>
    <cellStyle name="Comma 3 5 2 2 2 9" xfId="8327" xr:uid="{8643DB8E-616F-49DB-9761-A97A8BF5278C}"/>
    <cellStyle name="Comma 3 5 2 2 3" xfId="439" xr:uid="{00000000-0005-0000-0000-0000C8000000}"/>
    <cellStyle name="Comma 3 5 2 2 3 10" xfId="13393" xr:uid="{A9D4B75D-3753-4A3B-808D-9784EBB9A095}"/>
    <cellStyle name="Comma 3 5 2 2 3 11" xfId="1281" xr:uid="{5AB2BCEE-FA5E-4A7C-8037-41D8B944350C}"/>
    <cellStyle name="Comma 3 5 2 2 3 2" xfId="1787" xr:uid="{423D9D83-4DDE-447C-A461-3D55AC2446BC}"/>
    <cellStyle name="Comma 3 5 2 2 3 2 2" xfId="4509" xr:uid="{49067754-DDF3-4B6D-8DCB-40B2131FB9AB}"/>
    <cellStyle name="Comma 3 5 2 2 3 2 2 2" xfId="9955" xr:uid="{C85C502B-C215-40E3-B9FC-8A42D9B7AF6D}"/>
    <cellStyle name="Comma 3 5 2 2 3 2 3" xfId="3499" xr:uid="{015300BC-3003-4B04-9C5C-9902CABF25BD}"/>
    <cellStyle name="Comma 3 5 2 2 3 2 4" xfId="7433" xr:uid="{40F64B94-8236-4566-9546-7BEC38BCE64D}"/>
    <cellStyle name="Comma 3 5 2 2 3 2 5" xfId="8947" xr:uid="{297CE423-69ED-4DA6-A9C9-3FB31A999BFB}"/>
    <cellStyle name="Comma 3 5 2 2 3 2 6" xfId="12567" xr:uid="{A6AD375D-07C9-4E49-93B0-98B8E674CCD8}"/>
    <cellStyle name="Comma 3 5 2 2 3 2 7" xfId="14312" xr:uid="{7B57A735-9903-4870-8183-C4C84E9EEEBC}"/>
    <cellStyle name="Comma 3 5 2 2 3 3" xfId="2295" xr:uid="{6CC181D7-9560-4C8B-90D3-C6501789325E}"/>
    <cellStyle name="Comma 3 5 2 2 3 3 2" xfId="4015" xr:uid="{526FAE5B-7B73-4834-8C7A-3705F851255B}"/>
    <cellStyle name="Comma 3 5 2 2 3 3 3" xfId="7941" xr:uid="{359EA27A-8DBF-412A-8A3A-271FA026DA7D}"/>
    <cellStyle name="Comma 3 5 2 2 3 3 4" xfId="9459" xr:uid="{B09593EF-1C2A-433E-BFF7-9FC372BA15C8}"/>
    <cellStyle name="Comma 3 5 2 2 3 3 5" xfId="13073" xr:uid="{6ECAB724-FD55-4B45-82BE-50B92466EF3A}"/>
    <cellStyle name="Comma 3 5 2 2 3 3 6" xfId="14818" xr:uid="{0B9BCA4A-1632-4C8F-8F77-873427F1F212}"/>
    <cellStyle name="Comma 3 5 2 2 3 4" xfId="2647" xr:uid="{AF836695-D7B8-49D1-A2F0-57993FCD3612}"/>
    <cellStyle name="Comma 3 5 2 2 3 4 2" xfId="6927" xr:uid="{569DF29D-8363-41B4-A8FD-208817380B98}"/>
    <cellStyle name="Comma 3 5 2 2 3 4 3" xfId="10457" xr:uid="{A75A4931-4A93-46DF-9BDA-43C79EA3150E}"/>
    <cellStyle name="Comma 3 5 2 2 3 4 4" xfId="13806" xr:uid="{5FCE0770-5C15-488A-8AC6-207A99BD4513}"/>
    <cellStyle name="Comma 3 5 2 2 3 5" xfId="5485" xr:uid="{78164680-38A7-4C41-A7AD-34EC05716A81}"/>
    <cellStyle name="Comma 3 5 2 2 3 5 2" xfId="10959" xr:uid="{02EA8D08-C589-4D78-900C-D4E85B9D82B2}"/>
    <cellStyle name="Comma 3 5 2 2 3 6" xfId="5987" xr:uid="{FB02E1DF-912E-4FE5-BD30-830200A6E69F}"/>
    <cellStyle name="Comma 3 5 2 2 3 6 2" xfId="11461" xr:uid="{D63D79D3-38B0-47CC-B614-29C7151704DF}"/>
    <cellStyle name="Comma 3 5 2 2 3 7" xfId="6414" xr:uid="{00F13CB1-70C9-4E5C-9D24-383356EFE245}"/>
    <cellStyle name="Comma 3 5 2 2 3 8" xfId="8451" xr:uid="{D5B5217F-42C1-4340-B84C-CDDDD95BC346}"/>
    <cellStyle name="Comma 3 5 2 2 3 9" xfId="12061" xr:uid="{4400577E-65EC-4B70-9603-14D311313F21}"/>
    <cellStyle name="Comma 3 5 2 2 4" xfId="496" xr:uid="{00000000-0005-0000-0000-0000C9000000}"/>
    <cellStyle name="Comma 3 5 2 2 4 2" xfId="2703" xr:uid="{360BE67B-AE97-400A-835E-FEF8196B4F42}"/>
    <cellStyle name="Comma 3 5 2 2 4 2 2" xfId="7185" xr:uid="{3A71E6C3-A041-48AC-9372-1B8E7564E0DB}"/>
    <cellStyle name="Comma 3 5 2 2 4 2 3" xfId="9707" xr:uid="{52E42C1D-1083-4455-97A0-A1240950544A}"/>
    <cellStyle name="Comma 3 5 2 2 4 2 4" xfId="14064" xr:uid="{F57CF9FD-0561-4CDA-9BB8-08847DB49722}"/>
    <cellStyle name="Comma 3 5 2 2 4 3" xfId="6470" xr:uid="{D33EBF76-BE51-407A-B6E6-8407F022A461}"/>
    <cellStyle name="Comma 3 5 2 2 4 4" xfId="8699" xr:uid="{590C4901-731E-43DF-9948-211F8733ACC2}"/>
    <cellStyle name="Comma 3 5 2 2 4 5" xfId="12319" xr:uid="{1C8EAD16-51BD-4160-B46F-5719F1F50B29}"/>
    <cellStyle name="Comma 3 5 2 2 4 6" xfId="13449" xr:uid="{9E3A55BE-EDEC-462A-BA6D-31FEBF93EA6F}"/>
    <cellStyle name="Comma 3 5 2 2 4 7" xfId="1539" xr:uid="{00A96E7F-53B7-45FA-9FBB-0D89A2123553}"/>
    <cellStyle name="Comma 3 5 2 2 5" xfId="2047" xr:uid="{16CDE220-1A01-4435-BD9C-7CA7A9F52707}"/>
    <cellStyle name="Comma 3 5 2 2 5 2" xfId="3767" xr:uid="{48E2941B-0C14-422A-B5B6-9DDC9CE90CC3}"/>
    <cellStyle name="Comma 3 5 2 2 5 3" xfId="7693" xr:uid="{E8785E94-0457-4A0A-BFE6-E915AFB87CB0}"/>
    <cellStyle name="Comma 3 5 2 2 5 4" xfId="9211" xr:uid="{30CB1D34-C702-45CF-BF0A-8A046BBC8F16}"/>
    <cellStyle name="Comma 3 5 2 2 5 5" xfId="12825" xr:uid="{3E70E218-FE03-4A88-9C10-2523D07E45AE}"/>
    <cellStyle name="Comma 3 5 2 2 5 6" xfId="14570" xr:uid="{72AA7FAB-8EF8-42EE-80FE-64C4B5426BD3}"/>
    <cellStyle name="Comma 3 5 2 2 6" xfId="2544" xr:uid="{DA129643-0930-4ACF-AD14-91AAB6605BEB}"/>
    <cellStyle name="Comma 3 5 2 2 6 2" xfId="6679" xr:uid="{30B82E48-105D-4B53-8989-A4CFE0C511DB}"/>
    <cellStyle name="Comma 3 5 2 2 6 3" xfId="10209" xr:uid="{8741A58B-23D8-43A4-AD04-506BBCE2489B}"/>
    <cellStyle name="Comma 3 5 2 2 6 4" xfId="13558" xr:uid="{39D8DDFB-115D-4EBE-80FB-6CE1F57B2C30}"/>
    <cellStyle name="Comma 3 5 2 2 7" xfId="5237" xr:uid="{8E78D16E-7427-440A-9C6F-61B470452787}"/>
    <cellStyle name="Comma 3 5 2 2 7 2" xfId="10711" xr:uid="{6034DF83-3CC8-41AD-A40A-F674C2BBA795}"/>
    <cellStyle name="Comma 3 5 2 2 8" xfId="5739" xr:uid="{8240441A-3450-4CF5-8DA9-8D506DFDE319}"/>
    <cellStyle name="Comma 3 5 2 2 8 2" xfId="11213" xr:uid="{B7A537F1-6D2E-48D2-94D3-44ECF5BB4A27}"/>
    <cellStyle name="Comma 3 5 2 2 9" xfId="6252" xr:uid="{5DC7318B-048D-4C68-8B55-9AEF890E2F28}"/>
    <cellStyle name="Comma 3 5 2 2 9 2" xfId="11694" xr:uid="{0FA8320F-FF69-45E2-B755-A90350FCDCE0}"/>
    <cellStyle name="Comma 3 5 2 3" xfId="347" xr:uid="{00000000-0005-0000-0000-0000CA000000}"/>
    <cellStyle name="Comma 3 5 2 3 10" xfId="11891" xr:uid="{5382692D-035E-4F13-B91F-ECC81D29068A}"/>
    <cellStyle name="Comma 3 5 2 3 11" xfId="13302" xr:uid="{7CDCF58E-9A1D-49C4-8CD8-E09D27AC28BB}"/>
    <cellStyle name="Comma 3 5 2 3 12" xfId="1111" xr:uid="{C3B1D2C7-0FCD-4BA3-9CBD-2FF23DD3663E}"/>
    <cellStyle name="Comma 3 5 2 3 2" xfId="1359" xr:uid="{886386C1-A870-4944-BDB5-1981FBEC97B4}"/>
    <cellStyle name="Comma 3 5 2 3 2 10" xfId="12139" xr:uid="{FBD7F959-0687-4708-B0FD-9FD7A26D8B05}"/>
    <cellStyle name="Comma 3 5 2 3 2 11" xfId="13884" xr:uid="{B814FA83-C747-40AD-A16B-AE3E7B30D064}"/>
    <cellStyle name="Comma 3 5 2 3 2 2" xfId="1865" xr:uid="{CB9F8C1A-2FD0-4CCE-98DB-69EC008439FB}"/>
    <cellStyle name="Comma 3 5 2 3 2 2 2" xfId="4587" xr:uid="{F924C653-6CC8-4635-AC99-3890557A50D7}"/>
    <cellStyle name="Comma 3 5 2 3 2 2 2 2" xfId="10033" xr:uid="{1A879F35-3030-449E-954B-989ECB63D2CD}"/>
    <cellStyle name="Comma 3 5 2 3 2 2 3" xfId="3577" xr:uid="{BBDD8843-DE3B-4175-8FA3-3D51855A19E4}"/>
    <cellStyle name="Comma 3 5 2 3 2 2 4" xfId="7511" xr:uid="{4C49C42A-B129-481E-B069-86EC351F483E}"/>
    <cellStyle name="Comma 3 5 2 3 2 2 5" xfId="9025" xr:uid="{20F42467-3893-47C6-8454-27E4297EFDB6}"/>
    <cellStyle name="Comma 3 5 2 3 2 2 6" xfId="12645" xr:uid="{F66C8244-E570-4FD9-AA4C-FF5979653099}"/>
    <cellStyle name="Comma 3 5 2 3 2 2 7" xfId="14390" xr:uid="{B3B0D62A-B633-465D-B1DB-31AEBC3CB88B}"/>
    <cellStyle name="Comma 3 5 2 3 2 3" xfId="2373" xr:uid="{4D26A110-5F77-42D6-8973-2BA0FEB657CE}"/>
    <cellStyle name="Comma 3 5 2 3 2 3 2" xfId="4093" xr:uid="{3FF542E9-DDAC-4198-8329-F3F314CB7E3B}"/>
    <cellStyle name="Comma 3 5 2 3 2 3 3" xfId="8019" xr:uid="{4EC8D89D-3F9C-49AE-85F4-EE2C76C2701F}"/>
    <cellStyle name="Comma 3 5 2 3 2 3 4" xfId="9537" xr:uid="{486643E5-0760-4A18-9EBB-D01807B2D5EF}"/>
    <cellStyle name="Comma 3 5 2 3 2 3 5" xfId="13151" xr:uid="{C8AB424B-D069-4EC8-96B0-DBD1317FDEEC}"/>
    <cellStyle name="Comma 3 5 2 3 2 3 6" xfId="14896" xr:uid="{B0B263AB-2F94-4CDC-A578-59D62641F07B}"/>
    <cellStyle name="Comma 3 5 2 3 2 4" xfId="5065" xr:uid="{11F45B70-007B-40A9-99EA-073ECDCB22A8}"/>
    <cellStyle name="Comma 3 5 2 3 2 4 2" xfId="10535" xr:uid="{926A5F68-D08E-4126-83E7-B33C5317A22A}"/>
    <cellStyle name="Comma 3 5 2 3 2 5" xfId="5563" xr:uid="{93AD7C0F-7182-4A1E-A1C0-1CB5BE5BD04B}"/>
    <cellStyle name="Comma 3 5 2 3 2 5 2" xfId="11037" xr:uid="{361A50B9-9778-4D5F-8DE3-4F3127A0D0E9}"/>
    <cellStyle name="Comma 3 5 2 3 2 6" xfId="6065" xr:uid="{44292DF8-5C15-40ED-B657-A028A7228629}"/>
    <cellStyle name="Comma 3 5 2 3 2 6 2" xfId="11539" xr:uid="{97216B75-3DA0-435D-862F-2F90D61923A8}"/>
    <cellStyle name="Comma 3 5 2 3 2 7" xfId="3083" xr:uid="{7E587E67-444C-46C9-AFC5-775D1E108AEF}"/>
    <cellStyle name="Comma 3 5 2 3 2 8" xfId="7005" xr:uid="{DAB621FE-D895-4160-9B54-E1135D683632}"/>
    <cellStyle name="Comma 3 5 2 3 2 9" xfId="8529" xr:uid="{F7806F1F-7125-44EA-8DF1-24CA2A8C4B17}"/>
    <cellStyle name="Comma 3 5 2 3 3" xfId="1617" xr:uid="{756508F2-EA27-41B9-A85E-4D31B08A1349}"/>
    <cellStyle name="Comma 3 5 2 3 3 2" xfId="4339" xr:uid="{ACDD0595-E513-4CA0-94D5-9CBF9745AF54}"/>
    <cellStyle name="Comma 3 5 2 3 3 2 2" xfId="9785" xr:uid="{776B04AB-CB89-4704-A2AC-EEAC53D12C6F}"/>
    <cellStyle name="Comma 3 5 2 3 3 3" xfId="3329" xr:uid="{D8C2BCD2-7AF6-43F4-BD07-C9A2FBDA1616}"/>
    <cellStyle name="Comma 3 5 2 3 3 4" xfId="7263" xr:uid="{FE33F0AC-BD3C-4BD6-AB62-3444B3896903}"/>
    <cellStyle name="Comma 3 5 2 3 3 5" xfId="8777" xr:uid="{431E7234-2885-4624-884E-0CD84AF6D78B}"/>
    <cellStyle name="Comma 3 5 2 3 3 6" xfId="12397" xr:uid="{2CABBF85-7EC7-4B13-B5F3-97DD728FD89E}"/>
    <cellStyle name="Comma 3 5 2 3 3 7" xfId="14142" xr:uid="{5E0A05E6-5ACC-444B-AB74-1DF5CF4A4D7D}"/>
    <cellStyle name="Comma 3 5 2 3 4" xfId="2125" xr:uid="{21A9AA9F-A1B7-4564-B6AD-21B22B1E0E12}"/>
    <cellStyle name="Comma 3 5 2 3 4 2" xfId="3845" xr:uid="{6F498755-C81E-4041-9129-86895E11D8B5}"/>
    <cellStyle name="Comma 3 5 2 3 4 3" xfId="7771" xr:uid="{AE5D05AE-CFAD-48A9-82FD-5086F2EB3513}"/>
    <cellStyle name="Comma 3 5 2 3 4 4" xfId="9289" xr:uid="{141B1948-1B7B-4EA5-869A-2FA2BF9242A6}"/>
    <cellStyle name="Comma 3 5 2 3 4 5" xfId="12903" xr:uid="{54CE02A7-81D8-4D7A-9E22-59DF9AD801EA}"/>
    <cellStyle name="Comma 3 5 2 3 4 6" xfId="14648" xr:uid="{3C291CEC-D6CB-40CB-9DDA-79F453A6E7F5}"/>
    <cellStyle name="Comma 3 5 2 3 5" xfId="2555" xr:uid="{B807A7CB-1E6F-455A-8232-39A05EEDF49B}"/>
    <cellStyle name="Comma 3 5 2 3 5 2" xfId="6757" xr:uid="{7E3B5C0A-8C2D-4CA8-AB5C-EB3D97EF30F5}"/>
    <cellStyle name="Comma 3 5 2 3 5 3" xfId="10287" xr:uid="{962DD73E-4AAE-42F9-AAE6-8142113B1F7C}"/>
    <cellStyle name="Comma 3 5 2 3 5 4" xfId="13636" xr:uid="{B21BA018-2AEA-4910-B92B-D02553057D49}"/>
    <cellStyle name="Comma 3 5 2 3 6" xfId="5315" xr:uid="{C5A46488-F3DD-4B0D-BAA6-485C6E4ABAAF}"/>
    <cellStyle name="Comma 3 5 2 3 6 2" xfId="10789" xr:uid="{BCD9CDD7-E3E4-4A71-860D-2FA31813C2E0}"/>
    <cellStyle name="Comma 3 5 2 3 7" xfId="5817" xr:uid="{B000B00D-71BB-4B98-827D-1BCAD331A597}"/>
    <cellStyle name="Comma 3 5 2 3 7 2" xfId="11291" xr:uid="{2181D1B6-F2DA-46B2-BB82-D1DFB93E0B9B}"/>
    <cellStyle name="Comma 3 5 2 3 8" xfId="6323" xr:uid="{DB311892-C4B9-48C6-A422-A79202866D94}"/>
    <cellStyle name="Comma 3 5 2 3 9" xfId="8281" xr:uid="{47E326B6-D713-40AB-B749-6F2FE59658FB}"/>
    <cellStyle name="Comma 3 5 2 4" xfId="399" xr:uid="{00000000-0005-0000-0000-0000CB000000}"/>
    <cellStyle name="Comma 3 5 2 4 10" xfId="13353" xr:uid="{61CE7EB3-5991-43EF-92E7-3A7C4D055AB9}"/>
    <cellStyle name="Comma 3 5 2 4 11" xfId="987" xr:uid="{610E2959-7D72-4FAE-9739-99B2C0832765}"/>
    <cellStyle name="Comma 3 5 2 4 2" xfId="1493" xr:uid="{75BBAF6C-5D09-438E-93E4-0C58932B3679}"/>
    <cellStyle name="Comma 3 5 2 4 2 2" xfId="4463" xr:uid="{FBA86C93-AC3D-4361-9A87-6ACFDB22A0A6}"/>
    <cellStyle name="Comma 3 5 2 4 2 2 2" xfId="9909" xr:uid="{6A162181-F9C4-469D-9DFF-B07CEF3048F6}"/>
    <cellStyle name="Comma 3 5 2 4 2 3" xfId="3453" xr:uid="{761160CC-19B5-4B52-BFD9-A351FFB1CF61}"/>
    <cellStyle name="Comma 3 5 2 4 2 4" xfId="7139" xr:uid="{33DB7590-66AD-4542-9A09-A2130FC6E8A0}"/>
    <cellStyle name="Comma 3 5 2 4 2 5" xfId="8901" xr:uid="{E0C23533-F36A-4772-8C0B-CCA4ECD645C0}"/>
    <cellStyle name="Comma 3 5 2 4 2 6" xfId="12273" xr:uid="{66AA5DB8-9317-4D17-9B4F-933E40266881}"/>
    <cellStyle name="Comma 3 5 2 4 2 7" xfId="14018" xr:uid="{A8ADE010-DB79-4206-AAB0-29B245F32AE0}"/>
    <cellStyle name="Comma 3 5 2 4 3" xfId="2001" xr:uid="{97DC9680-FAFA-4BC3-8CA7-66A112FA0F93}"/>
    <cellStyle name="Comma 3 5 2 4 3 2" xfId="3721" xr:uid="{C72ECF2C-347C-41A6-9594-3B601B2B2761}"/>
    <cellStyle name="Comma 3 5 2 4 3 3" xfId="7647" xr:uid="{710573E0-0704-4074-B44C-B0AFC4CE675C}"/>
    <cellStyle name="Comma 3 5 2 4 3 4" xfId="9165" xr:uid="{AAFE8A08-356A-479A-81E8-166E6B14BE40}"/>
    <cellStyle name="Comma 3 5 2 4 3 5" xfId="12779" xr:uid="{FC9F6D84-C8B6-4FC2-BBC5-F62318929312}"/>
    <cellStyle name="Comma 3 5 2 4 3 6" xfId="14524" xr:uid="{C779F237-4734-4329-849F-31CD29852E5A}"/>
    <cellStyle name="Comma 3 5 2 4 4" xfId="2607" xr:uid="{293D6E3A-A6F6-4339-8123-BBB0AACCBCC1}"/>
    <cellStyle name="Comma 3 5 2 4 4 2" xfId="6633" xr:uid="{4FA39049-6323-4D64-ABA7-F4FD1FC35DC8}"/>
    <cellStyle name="Comma 3 5 2 4 4 3" xfId="10411" xr:uid="{6311118E-659D-434B-9B26-617D0CA14954}"/>
    <cellStyle name="Comma 3 5 2 4 4 4" xfId="13512" xr:uid="{BD769854-8967-443B-B499-03B53D0F80ED}"/>
    <cellStyle name="Comma 3 5 2 4 5" xfId="5439" xr:uid="{CFC12E71-30B5-49D9-8955-2963CC9A4A30}"/>
    <cellStyle name="Comma 3 5 2 4 5 2" xfId="10913" xr:uid="{0D1A9CDA-B2FB-497B-8C60-2D1F1C5D8E33}"/>
    <cellStyle name="Comma 3 5 2 4 6" xfId="5941" xr:uid="{F43F5798-71C1-4F39-84BB-E4E0FE8B60A3}"/>
    <cellStyle name="Comma 3 5 2 4 6 2" xfId="11415" xr:uid="{41196048-6C56-45E2-9148-B900B8786D92}"/>
    <cellStyle name="Comma 3 5 2 4 7" xfId="6374" xr:uid="{ED502BAB-33C0-4C17-BA38-EB0A575637B9}"/>
    <cellStyle name="Comma 3 5 2 4 8" xfId="8157" xr:uid="{06444D9B-8509-4D96-813F-79A1DA4CF8B7}"/>
    <cellStyle name="Comma 3 5 2 4 9" xfId="11767" xr:uid="{43C34D47-8BED-4344-A589-EB5379A4ECEF}"/>
    <cellStyle name="Comma 3 5 2 5" xfId="467" xr:uid="{00000000-0005-0000-0000-0000CC000000}"/>
    <cellStyle name="Comma 3 5 2 5 2" xfId="1741" xr:uid="{CF9CBE69-D029-467C-B094-B17EA4F9967C}"/>
    <cellStyle name="Comma 3 5 2 5 2 2" xfId="3969" xr:uid="{231AADAD-0817-421D-9430-7A49B249370E}"/>
    <cellStyle name="Comma 3 5 2 5 2 3" xfId="7387" xr:uid="{24ACD499-32F7-47C9-81FA-0187C01CE30F}"/>
    <cellStyle name="Comma 3 5 2 5 2 4" xfId="9413" xr:uid="{AC31A7B4-09B9-442A-B4D7-CCA1E99EDD89}"/>
    <cellStyle name="Comma 3 5 2 5 2 5" xfId="12521" xr:uid="{0FA670D4-FA1F-4A43-A50C-61D6AE243533}"/>
    <cellStyle name="Comma 3 5 2 5 2 6" xfId="14266" xr:uid="{43DCA848-86C1-4C0D-8262-09F386DFCE3F}"/>
    <cellStyle name="Comma 3 5 2 5 3" xfId="2249" xr:uid="{691B2ABA-AE43-497E-8C00-BA564BC74E42}"/>
    <cellStyle name="Comma 3 5 2 5 3 2" xfId="7895" xr:uid="{B368AA1B-52C7-46C7-A218-BF7571B15FA2}"/>
    <cellStyle name="Comma 3 5 2 5 3 3" xfId="13027" xr:uid="{D2BB5C14-2246-434F-B16D-BA5243C06BA8}"/>
    <cellStyle name="Comma 3 5 2 5 3 4" xfId="14772" xr:uid="{9C09213E-C424-4CDE-95F4-4B2A70812C9D}"/>
    <cellStyle name="Comma 3 5 2 5 4" xfId="2675" xr:uid="{F46F5DEB-8DFF-4A58-9791-A64FACBD7546}"/>
    <cellStyle name="Comma 3 5 2 5 4 2" xfId="6881" xr:uid="{E23F66BE-0DFC-4D9B-B355-2D837512859C}"/>
    <cellStyle name="Comma 3 5 2 5 4 3" xfId="13760" xr:uid="{54A1F18C-DD48-48A7-A9B0-A444B6689460}"/>
    <cellStyle name="Comma 3 5 2 5 5" xfId="6442" xr:uid="{420F3402-D167-4BFE-BA21-C93BE632D4BD}"/>
    <cellStyle name="Comma 3 5 2 5 6" xfId="8405" xr:uid="{74B468A8-577A-4FA8-ABBC-E40C68019C6E}"/>
    <cellStyle name="Comma 3 5 2 5 7" xfId="12015" xr:uid="{0EC359C2-D6BB-42F9-84A5-9A9B75518E14}"/>
    <cellStyle name="Comma 3 5 2 5 8" xfId="13421" xr:uid="{33C897CE-1157-4DFF-B4BB-33FB67740F51}"/>
    <cellStyle name="Comma 3 5 2 5 9" xfId="1235" xr:uid="{C3E1B513-1D27-4DD6-B01F-7D8409DBAA50}"/>
    <cellStyle name="Comma 3 5 2 6" xfId="550" xr:uid="{83BD256C-72C5-4A67-B320-41FD6ED95E98}"/>
    <cellStyle name="Comma 3 5 2 6 2" xfId="4217" xr:uid="{FA849F88-B971-4EAE-AA29-3DC2E5CF30AF}"/>
    <cellStyle name="Comma 3 5 2 6 2 2" xfId="9661" xr:uid="{E77AA9C8-E5BC-4132-B2DB-77E502D6C7DB}"/>
    <cellStyle name="Comma 3 5 2 6 3" xfId="3207" xr:uid="{D3358C5B-E240-41BC-A618-40A62EDDC888}"/>
    <cellStyle name="Comma 3 5 2 6 4" xfId="6515" xr:uid="{6113543B-57F1-45AC-B686-33ED76C38EB4}"/>
    <cellStyle name="Comma 3 5 2 6 5" xfId="8653" xr:uid="{AAFED8A1-DC8F-49E0-9957-ED4BE7F26370}"/>
    <cellStyle name="Comma 3 5 2 6 6" xfId="11733" xr:uid="{E462C8CD-80E5-49C7-8DE6-BDFAEE8F4E8C}"/>
    <cellStyle name="Comma 3 5 2 6 7" xfId="13478" xr:uid="{37C8C4C3-E935-42C7-928F-39E25899127C}"/>
    <cellStyle name="Comma 3 5 2 7" xfId="1459" xr:uid="{BA98996F-C5B5-4771-81FD-3A6E7711189E}"/>
    <cellStyle name="Comma 3 5 2 7 2" xfId="3687" xr:uid="{B475B51D-1BD6-4582-8AFA-41085BF3F445}"/>
    <cellStyle name="Comma 3 5 2 7 3" xfId="7105" xr:uid="{16283A67-8552-4318-824E-563C1AEDF709}"/>
    <cellStyle name="Comma 3 5 2 7 4" xfId="9131" xr:uid="{78920A64-7B7F-4992-9442-8F85C6846A7B}"/>
    <cellStyle name="Comma 3 5 2 7 5" xfId="12239" xr:uid="{B7EE6331-1424-41B5-93DA-81BE67AAA8E7}"/>
    <cellStyle name="Comma 3 5 2 7 6" xfId="13984" xr:uid="{98DEC0CE-5587-427E-A04D-42276F63E440}"/>
    <cellStyle name="Comma 3 5 2 8" xfId="1966" xr:uid="{32A187CB-DC2C-4C6D-AE54-CBB0A8542709}"/>
    <cellStyle name="Comma 3 5 2 8 2" xfId="4717" xr:uid="{64D066BB-E50F-41B7-9600-F4E57F8DFD6B}"/>
    <cellStyle name="Comma 3 5 2 8 3" xfId="7612" xr:uid="{BAD8B354-8E0E-4F5F-84EE-D1440769B57D}"/>
    <cellStyle name="Comma 3 5 2 8 4" xfId="10163" xr:uid="{EB62ABE8-D54B-49FF-9789-A708236B9601}"/>
    <cellStyle name="Comma 3 5 2 8 5" xfId="12745" xr:uid="{8E42FA75-B234-452F-8BA9-74591CC19475}"/>
    <cellStyle name="Comma 3 5 2 8 6" xfId="14490" xr:uid="{78EDDA35-6116-42F2-92EE-A33F45740B05}"/>
    <cellStyle name="Comma 3 5 2 9" xfId="2492" xr:uid="{3BEA95E1-BD81-43A1-956B-D8E89AA15CE0}"/>
    <cellStyle name="Comma 3 5 2 9 2" xfId="6481" xr:uid="{3FA9B174-3853-4A89-8F14-5A2823F556B2}"/>
    <cellStyle name="Comma 3 5 2 9 3" xfId="10665" xr:uid="{C5E7D323-0BAC-49D4-80C8-DA13A79B82CA}"/>
    <cellStyle name="Comma 3 5 2 9 4" xfId="13457" xr:uid="{C3ECA817-489B-4174-AD6E-BC27AF1DEB24}"/>
    <cellStyle name="Comma 3 5 3" xfId="289" xr:uid="{00000000-0005-0000-0000-0000CD000000}"/>
    <cellStyle name="Comma 3 5 3 10" xfId="6249" xr:uid="{F61757EB-BCB7-429E-8571-CCE83836BEF2}"/>
    <cellStyle name="Comma 3 5 3 10 2" xfId="11690" xr:uid="{89D7A331-0C14-4BAA-B065-7537CCEB98C1}"/>
    <cellStyle name="Comma 3 5 3 11" xfId="6308" xr:uid="{D091ED9F-73AB-4B29-BB5B-87F318A0DD83}"/>
    <cellStyle name="Comma 3 5 3 12" xfId="8177" xr:uid="{14989248-69B7-44EE-9951-5B0B5E985862}"/>
    <cellStyle name="Comma 3 5 3 13" xfId="11787" xr:uid="{67964B18-DAED-4A2D-9462-E5EC709DFD37}"/>
    <cellStyle name="Comma 3 5 3 14" xfId="13287" xr:uid="{DF587065-1C56-4A2A-93ED-B7E7BCE59EC9}"/>
    <cellStyle name="Comma 3 5 3 15" xfId="1007" xr:uid="{CF679935-10E0-4459-9CB8-3848A767C045}"/>
    <cellStyle name="Comma 3 5 3 2" xfId="384" xr:uid="{00000000-0005-0000-0000-0000CE000000}"/>
    <cellStyle name="Comma 3 5 3 2 10" xfId="8204" xr:uid="{EDDC791E-06F3-49AD-9B45-AFFA39953B20}"/>
    <cellStyle name="Comma 3 5 3 2 11" xfId="11814" xr:uid="{9ADFF14C-3EB7-427A-A204-369E4D6F9DF6}"/>
    <cellStyle name="Comma 3 5 3 2 12" xfId="13338" xr:uid="{F99AE807-01E0-4556-9E60-FEC1F72B85B8}"/>
    <cellStyle name="Comma 3 5 3 2 13" xfId="1034" xr:uid="{48CC8A99-04B8-4795-905F-8E0614CB36B1}"/>
    <cellStyle name="Comma 3 5 3 2 2" xfId="1158" xr:uid="{698BBB1D-25AB-46BE-9B2D-2ECB0A8DA0BE}"/>
    <cellStyle name="Comma 3 5 3 2 2 10" xfId="8328" xr:uid="{4221A33B-A573-4936-98A9-2301800BBAE4}"/>
    <cellStyle name="Comma 3 5 3 2 2 11" xfId="11938" xr:uid="{635B2B0A-01AF-4BE9-A4D3-15E56841ACE3}"/>
    <cellStyle name="Comma 3 5 3 2 2 12" xfId="13683" xr:uid="{3C36C73D-A6A0-4546-BA3C-CDD79F95DFCB}"/>
    <cellStyle name="Comma 3 5 3 2 2 2" xfId="1406" xr:uid="{8BFDC1EF-57D1-4A78-8E79-107A2103CC89}"/>
    <cellStyle name="Comma 3 5 3 2 2 2 10" xfId="12186" xr:uid="{627DBACB-853B-43AA-A754-8BF3AD1D74E3}"/>
    <cellStyle name="Comma 3 5 3 2 2 2 11" xfId="13931" xr:uid="{3998FA4E-CDB2-46E6-8EED-FDA92B4F2085}"/>
    <cellStyle name="Comma 3 5 3 2 2 2 2" xfId="1912" xr:uid="{3D7EF8A1-AF76-4250-BAF1-897793092332}"/>
    <cellStyle name="Comma 3 5 3 2 2 2 2 2" xfId="4634" xr:uid="{B3A1ADD5-E6D9-4E8D-983F-7322388F4DAC}"/>
    <cellStyle name="Comma 3 5 3 2 2 2 2 2 2" xfId="10080" xr:uid="{B71DA164-811D-4137-8796-974710138A50}"/>
    <cellStyle name="Comma 3 5 3 2 2 2 2 3" xfId="3624" xr:uid="{3725AC28-9FBC-4A98-90C8-3F29034CA745}"/>
    <cellStyle name="Comma 3 5 3 2 2 2 2 4" xfId="7558" xr:uid="{8F6ACA57-544B-410C-88C5-C4C1A18704B5}"/>
    <cellStyle name="Comma 3 5 3 2 2 2 2 5" xfId="9072" xr:uid="{976EBCF7-BFBD-4CC3-A2FA-153F62A676ED}"/>
    <cellStyle name="Comma 3 5 3 2 2 2 2 6" xfId="12692" xr:uid="{0A83B374-4B4F-45A0-BBFB-5BBF4D49BFD8}"/>
    <cellStyle name="Comma 3 5 3 2 2 2 2 7" xfId="14437" xr:uid="{7F344184-50DF-4034-B6FC-3B0B57841763}"/>
    <cellStyle name="Comma 3 5 3 2 2 2 3" xfId="2420" xr:uid="{176FDBDC-5D21-4A71-BB5A-538CC3EFD087}"/>
    <cellStyle name="Comma 3 5 3 2 2 2 3 2" xfId="4140" xr:uid="{3554B217-CBAE-4188-9291-85EDEA2D9507}"/>
    <cellStyle name="Comma 3 5 3 2 2 2 3 3" xfId="8066" xr:uid="{75310A8A-CC0D-4528-BB5B-265FA7AA98EC}"/>
    <cellStyle name="Comma 3 5 3 2 2 2 3 4" xfId="9584" xr:uid="{BBAF47BE-4C19-41C9-905C-BC5B90DF280B}"/>
    <cellStyle name="Comma 3 5 3 2 2 2 3 5" xfId="13198" xr:uid="{6F436B61-F193-47BA-97CF-043ED0055B4A}"/>
    <cellStyle name="Comma 3 5 3 2 2 2 3 6" xfId="14943" xr:uid="{DB8ACD1A-8285-43DA-9454-46F56AD6849C}"/>
    <cellStyle name="Comma 3 5 3 2 2 2 4" xfId="5112" xr:uid="{A6905120-2DB2-4705-B6F1-EF5998C049D7}"/>
    <cellStyle name="Comma 3 5 3 2 2 2 4 2" xfId="10582" xr:uid="{70349864-A50C-46AE-AB8F-38CC68DFC04C}"/>
    <cellStyle name="Comma 3 5 3 2 2 2 5" xfId="5610" xr:uid="{52EB774B-8B71-4969-8FD7-D65CF9E10836}"/>
    <cellStyle name="Comma 3 5 3 2 2 2 5 2" xfId="11084" xr:uid="{6F3BEFFA-E92A-4534-8FA7-2E7C2A65A2AE}"/>
    <cellStyle name="Comma 3 5 3 2 2 2 6" xfId="6112" xr:uid="{FBFE6688-9E67-4CB5-A95C-8E0C3D934F4E}"/>
    <cellStyle name="Comma 3 5 3 2 2 2 6 2" xfId="11586" xr:uid="{EE38EB55-D846-416F-AD35-4C9CB0B74889}"/>
    <cellStyle name="Comma 3 5 3 2 2 2 7" xfId="3130" xr:uid="{CF5A2589-A19E-4ADF-88B9-B2ECAC07C5F1}"/>
    <cellStyle name="Comma 3 5 3 2 2 2 8" xfId="7052" xr:uid="{622C9BB8-443F-463C-84A8-A59B6DB63FF9}"/>
    <cellStyle name="Comma 3 5 3 2 2 2 9" xfId="8576" xr:uid="{5BDBF69C-58A8-43DA-BC10-B19F789C7A9A}"/>
    <cellStyle name="Comma 3 5 3 2 2 3" xfId="1664" xr:uid="{F4FE9244-C7C6-4269-BC13-5DD1149C429F}"/>
    <cellStyle name="Comma 3 5 3 2 2 3 2" xfId="4386" xr:uid="{A08796E7-CE4D-4D74-8A78-73CAF534B6B0}"/>
    <cellStyle name="Comma 3 5 3 2 2 3 2 2" xfId="9832" xr:uid="{AB4F8B74-CF58-4162-9072-E71EBF50434F}"/>
    <cellStyle name="Comma 3 5 3 2 2 3 3" xfId="3376" xr:uid="{92148EAA-FD4F-472A-B30D-BBCF515B8956}"/>
    <cellStyle name="Comma 3 5 3 2 2 3 4" xfId="7310" xr:uid="{B9DD3E1E-30FF-4D8C-B494-B1CD9DE65A26}"/>
    <cellStyle name="Comma 3 5 3 2 2 3 5" xfId="8824" xr:uid="{05C88614-6510-4622-AAE1-C3F556F67EF1}"/>
    <cellStyle name="Comma 3 5 3 2 2 3 6" xfId="12444" xr:uid="{CC41505E-2011-43D3-8084-F1F4086E3D93}"/>
    <cellStyle name="Comma 3 5 3 2 2 3 7" xfId="14189" xr:uid="{1DC476B7-6803-4C76-9A30-58835664A80D}"/>
    <cellStyle name="Comma 3 5 3 2 2 4" xfId="2172" xr:uid="{F21DFCBD-25BB-45EB-857D-A40895E63E1A}"/>
    <cellStyle name="Comma 3 5 3 2 2 4 2" xfId="3892" xr:uid="{70F6E849-859E-4939-B8E6-4252BC967609}"/>
    <cellStyle name="Comma 3 5 3 2 2 4 3" xfId="7818" xr:uid="{6B645B06-832E-4635-93B2-58C56433E40A}"/>
    <cellStyle name="Comma 3 5 3 2 2 4 4" xfId="9336" xr:uid="{79CE0D86-6D96-42DD-AEE9-43EFDAA01CB2}"/>
    <cellStyle name="Comma 3 5 3 2 2 4 5" xfId="12950" xr:uid="{87F5DB03-C4FE-4A90-9D29-60A19E9EDF38}"/>
    <cellStyle name="Comma 3 5 3 2 2 4 6" xfId="14695" xr:uid="{541FA4BF-0CFD-4388-B246-2AF5B7FD155E}"/>
    <cellStyle name="Comma 3 5 3 2 2 5" xfId="4873" xr:uid="{352773A3-C1C6-407F-BFAA-52420C7CAF81}"/>
    <cellStyle name="Comma 3 5 3 2 2 5 2" xfId="10334" xr:uid="{D6419EB7-267C-4E4A-BAEC-1D24FE1B75F3}"/>
    <cellStyle name="Comma 3 5 3 2 2 6" xfId="5362" xr:uid="{723D635F-5E10-4ED4-91CA-F66413D98A21}"/>
    <cellStyle name="Comma 3 5 3 2 2 6 2" xfId="10836" xr:uid="{547EEF99-C2D8-4990-881D-8F93A0008DC1}"/>
    <cellStyle name="Comma 3 5 3 2 2 7" xfId="5864" xr:uid="{D307BBCA-8DE2-4CC4-A22D-9E2DA656B3EE}"/>
    <cellStyle name="Comma 3 5 3 2 2 7 2" xfId="11338" xr:uid="{B90D777B-23F4-45DB-8EA7-20776EDBA565}"/>
    <cellStyle name="Comma 3 5 3 2 2 8" xfId="2889" xr:uid="{E9D8BAC5-6F09-4433-9A67-DBE9D6FFEFCE}"/>
    <cellStyle name="Comma 3 5 3 2 2 9" xfId="6804" xr:uid="{EA4260C0-0BC5-4ED3-9404-64A3B634F27A}"/>
    <cellStyle name="Comma 3 5 3 2 3" xfId="1282" xr:uid="{C5B4B677-64DC-4C52-B4A4-0750526E8093}"/>
    <cellStyle name="Comma 3 5 3 2 3 10" xfId="12062" xr:uid="{4E5D316D-B786-4B12-BDB6-9CFE1E21EAA5}"/>
    <cellStyle name="Comma 3 5 3 2 3 11" xfId="13807" xr:uid="{A0CCCDDE-4710-4F23-BE83-2A1955444441}"/>
    <cellStyle name="Comma 3 5 3 2 3 2" xfId="1788" xr:uid="{F1E9A611-A0C5-4EC4-9C47-AB3E186D2C02}"/>
    <cellStyle name="Comma 3 5 3 2 3 2 2" xfId="4510" xr:uid="{414AB586-CBCE-4C53-889C-7502A4D77E8A}"/>
    <cellStyle name="Comma 3 5 3 2 3 2 2 2" xfId="9956" xr:uid="{2E65DBBB-0271-412B-8277-96939E63C807}"/>
    <cellStyle name="Comma 3 5 3 2 3 2 3" xfId="3500" xr:uid="{95A275A1-5BE0-415A-96C2-7D96E0553DF3}"/>
    <cellStyle name="Comma 3 5 3 2 3 2 4" xfId="7434" xr:uid="{AC0A50B8-2390-4767-9195-CE40BBF8006C}"/>
    <cellStyle name="Comma 3 5 3 2 3 2 5" xfId="8948" xr:uid="{5B12421F-95D0-4874-9AC0-D15286951246}"/>
    <cellStyle name="Comma 3 5 3 2 3 2 6" xfId="12568" xr:uid="{5A87DEFF-D83A-4254-B7BB-A8019DEC10B0}"/>
    <cellStyle name="Comma 3 5 3 2 3 2 7" xfId="14313" xr:uid="{B4BA5D05-575C-49E0-AA7A-7ABE48E867B7}"/>
    <cellStyle name="Comma 3 5 3 2 3 3" xfId="2296" xr:uid="{EF48961F-8EBA-45B7-884A-3B5C6F9AC84C}"/>
    <cellStyle name="Comma 3 5 3 2 3 3 2" xfId="4016" xr:uid="{76E2C76E-BAD3-4610-8F5C-3F8530B3473E}"/>
    <cellStyle name="Comma 3 5 3 2 3 3 3" xfId="7942" xr:uid="{74185A22-4C0B-4460-BF94-B7A02DA59FAD}"/>
    <cellStyle name="Comma 3 5 3 2 3 3 4" xfId="9460" xr:uid="{08AB412C-125F-4DF6-849E-017A4C43F044}"/>
    <cellStyle name="Comma 3 5 3 2 3 3 5" xfId="13074" xr:uid="{844C364C-112B-40D1-BC77-C8A054BC8063}"/>
    <cellStyle name="Comma 3 5 3 2 3 3 6" xfId="14819" xr:uid="{B98DAE9E-2A2B-414E-9FE6-5DD4671D3368}"/>
    <cellStyle name="Comma 3 5 3 2 3 4" xfId="4989" xr:uid="{2C12FF58-94BF-4C3B-A845-8E93CDB8CA90}"/>
    <cellStyle name="Comma 3 5 3 2 3 4 2" xfId="10458" xr:uid="{A5BD18CD-F6A5-47EE-B84D-18DA416ACFB4}"/>
    <cellStyle name="Comma 3 5 3 2 3 5" xfId="5486" xr:uid="{EE111EB7-F67A-4A5A-92E7-E0D2ED214711}"/>
    <cellStyle name="Comma 3 5 3 2 3 5 2" xfId="10960" xr:uid="{63765AAB-5D2A-4FEB-AD2C-F152FA25B357}"/>
    <cellStyle name="Comma 3 5 3 2 3 6" xfId="5988" xr:uid="{6E18874D-E62F-49C7-9527-1433B1048886}"/>
    <cellStyle name="Comma 3 5 3 2 3 6 2" xfId="11462" xr:uid="{41E1CEC4-45F6-4680-B388-076EE5592400}"/>
    <cellStyle name="Comma 3 5 3 2 3 7" xfId="3007" xr:uid="{1426FF85-DA56-4D74-9BA3-2800A9620BC1}"/>
    <cellStyle name="Comma 3 5 3 2 3 8" xfId="6928" xr:uid="{3B27FDDE-C11A-40FE-9014-605AC4498AFF}"/>
    <cellStyle name="Comma 3 5 3 2 3 9" xfId="8452" xr:uid="{BD3A46A9-CCA1-4E56-9D13-49C0D8DBD7D2}"/>
    <cellStyle name="Comma 3 5 3 2 4" xfId="1540" xr:uid="{316641D6-F9B9-4A29-9B8E-06BC937E846D}"/>
    <cellStyle name="Comma 3 5 3 2 4 2" xfId="4263" xr:uid="{540D0CF4-3AB9-4299-B1EB-BC257FC9E61A}"/>
    <cellStyle name="Comma 3 5 3 2 4 2 2" xfId="9708" xr:uid="{F1497C9C-2FFF-4874-B86E-84763E8821BD}"/>
    <cellStyle name="Comma 3 5 3 2 4 3" xfId="3253" xr:uid="{DB92B5EF-2824-45A3-9E11-F960FAF986EB}"/>
    <cellStyle name="Comma 3 5 3 2 4 4" xfId="7186" xr:uid="{047106DB-FF60-47A7-ADFF-8C6620614A95}"/>
    <cellStyle name="Comma 3 5 3 2 4 5" xfId="8700" xr:uid="{6330CF41-DF26-486C-8EAF-E37E18E36DF7}"/>
    <cellStyle name="Comma 3 5 3 2 4 6" xfId="12320" xr:uid="{23FD9CE2-5967-4CF2-B2DA-7A07ED8349EE}"/>
    <cellStyle name="Comma 3 5 3 2 4 7" xfId="14065" xr:uid="{6AFF1CAB-78E3-4E13-8092-4CBC30C31750}"/>
    <cellStyle name="Comma 3 5 3 2 5" xfId="2048" xr:uid="{9C15149A-E0BC-4607-8D3B-69E707121E60}"/>
    <cellStyle name="Comma 3 5 3 2 5 2" xfId="3768" xr:uid="{050C32B7-C04C-4DEB-AE7E-65AF4C013111}"/>
    <cellStyle name="Comma 3 5 3 2 5 3" xfId="7694" xr:uid="{E6AE24C4-29C6-4B84-B2A6-2532F70B31A8}"/>
    <cellStyle name="Comma 3 5 3 2 5 4" xfId="9212" xr:uid="{2FF2B133-D5C8-408F-943B-2153663AA7A6}"/>
    <cellStyle name="Comma 3 5 3 2 5 5" xfId="12826" xr:uid="{77F5181A-0744-47F8-A5BB-8BBFE33F7FD3}"/>
    <cellStyle name="Comma 3 5 3 2 5 6" xfId="14571" xr:uid="{C80B4488-B889-4202-8C01-F96C1FF36C56}"/>
    <cellStyle name="Comma 3 5 3 2 6" xfId="2592" xr:uid="{86ADCA9C-C4B0-47E6-9AA4-74E8BFF099C9}"/>
    <cellStyle name="Comma 3 5 3 2 6 2" xfId="6680" xr:uid="{EB168724-765D-4D12-8BD1-B38005018DEF}"/>
    <cellStyle name="Comma 3 5 3 2 6 3" xfId="10210" xr:uid="{EE5AADC5-3A40-41EF-97F7-212B756D7984}"/>
    <cellStyle name="Comma 3 5 3 2 6 4" xfId="13559" xr:uid="{A6B4B606-19C5-4ADA-BBBB-BF8AAC877928}"/>
    <cellStyle name="Comma 3 5 3 2 7" xfId="5238" xr:uid="{E1920E6F-E103-4E8F-B4CB-5ACE83AB3D47}"/>
    <cellStyle name="Comma 3 5 3 2 7 2" xfId="10712" xr:uid="{64D789F5-2691-4917-95B6-B98EC51EDF29}"/>
    <cellStyle name="Comma 3 5 3 2 8" xfId="5740" xr:uid="{78315493-1911-40FD-9FA7-25CB5B7AB4BC}"/>
    <cellStyle name="Comma 3 5 3 2 8 2" xfId="11214" xr:uid="{4A087571-F982-4F0A-A155-F380A5A6E033}"/>
    <cellStyle name="Comma 3 5 3 2 9" xfId="6359" xr:uid="{D5D59853-898D-45C0-AF74-5F0469BD5FA4}"/>
    <cellStyle name="Comma 3 5 3 3" xfId="435" xr:uid="{00000000-0005-0000-0000-0000CF000000}"/>
    <cellStyle name="Comma 3 5 3 3 10" xfId="11911" xr:uid="{FD06344B-0F6A-4C16-ABA9-E5B64356AF7F}"/>
    <cellStyle name="Comma 3 5 3 3 11" xfId="13389" xr:uid="{BEE0A973-4569-4008-89CF-98099E6C2CC1}"/>
    <cellStyle name="Comma 3 5 3 3 12" xfId="1131" xr:uid="{19CD33F4-E565-465D-8994-43AA80344568}"/>
    <cellStyle name="Comma 3 5 3 3 2" xfId="1379" xr:uid="{049CD417-36A6-4312-8E4F-479435FA36AF}"/>
    <cellStyle name="Comma 3 5 3 3 2 10" xfId="12159" xr:uid="{CF3EE6D8-F368-458F-8479-594F15AF841F}"/>
    <cellStyle name="Comma 3 5 3 3 2 11" xfId="13904" xr:uid="{2D90600D-E209-48F5-A469-12DA673C087F}"/>
    <cellStyle name="Comma 3 5 3 3 2 2" xfId="1885" xr:uid="{DEB25134-4D77-45E1-9F1B-E5D651EBEA27}"/>
    <cellStyle name="Comma 3 5 3 3 2 2 2" xfId="4607" xr:uid="{F003A0F0-0756-471D-80FD-A6EB91709703}"/>
    <cellStyle name="Comma 3 5 3 3 2 2 2 2" xfId="10053" xr:uid="{968BE13F-2A59-4918-96DC-C4740592D8C4}"/>
    <cellStyle name="Comma 3 5 3 3 2 2 3" xfId="3597" xr:uid="{80F73A90-CD8D-48C1-93B5-9072CCB99655}"/>
    <cellStyle name="Comma 3 5 3 3 2 2 4" xfId="7531" xr:uid="{340395DA-C4E4-4CB8-8B2B-41CAD85C738F}"/>
    <cellStyle name="Comma 3 5 3 3 2 2 5" xfId="9045" xr:uid="{AC4CD777-108C-4845-839A-AEC77105C3A3}"/>
    <cellStyle name="Comma 3 5 3 3 2 2 6" xfId="12665" xr:uid="{BC473F73-3D36-45A7-9452-0DB19297A1F4}"/>
    <cellStyle name="Comma 3 5 3 3 2 2 7" xfId="14410" xr:uid="{7DF5B66A-897E-4155-B535-6CB6CE8870DC}"/>
    <cellStyle name="Comma 3 5 3 3 2 3" xfId="2393" xr:uid="{FE461AAB-0C3A-40D1-A77F-20253F896D80}"/>
    <cellStyle name="Comma 3 5 3 3 2 3 2" xfId="4113" xr:uid="{081133BA-907D-4BB9-B755-AE0C7C853583}"/>
    <cellStyle name="Comma 3 5 3 3 2 3 3" xfId="8039" xr:uid="{31C486B6-2265-452E-B44F-E9D8BC9C06C8}"/>
    <cellStyle name="Comma 3 5 3 3 2 3 4" xfId="9557" xr:uid="{7C32DD7C-15CF-49A1-B153-B19FFB654FC7}"/>
    <cellStyle name="Comma 3 5 3 3 2 3 5" xfId="13171" xr:uid="{CA4206EE-7333-4FAF-AC2D-484B7110D374}"/>
    <cellStyle name="Comma 3 5 3 3 2 3 6" xfId="14916" xr:uid="{B585F216-D613-4269-8D53-9261EA185F16}"/>
    <cellStyle name="Comma 3 5 3 3 2 4" xfId="5085" xr:uid="{A3AD9473-C39A-4A6A-8774-CA31445D9D9F}"/>
    <cellStyle name="Comma 3 5 3 3 2 4 2" xfId="10555" xr:uid="{6123375C-F0C3-4048-9D5E-849F2B9833F3}"/>
    <cellStyle name="Comma 3 5 3 3 2 5" xfId="5583" xr:uid="{E669DAD7-6700-4888-9E3A-852FB96EE9B2}"/>
    <cellStyle name="Comma 3 5 3 3 2 5 2" xfId="11057" xr:uid="{407E49D9-A09F-462B-A608-D515DDD6640D}"/>
    <cellStyle name="Comma 3 5 3 3 2 6" xfId="6085" xr:uid="{B8DE214A-7EAF-4EE9-BC84-8AF1CF63BF8C}"/>
    <cellStyle name="Comma 3 5 3 3 2 6 2" xfId="11559" xr:uid="{0D23D577-FE3E-4155-8E5E-4ADB32F30EAE}"/>
    <cellStyle name="Comma 3 5 3 3 2 7" xfId="3103" xr:uid="{4CAF26FF-A5B7-4EAE-B532-D1C8BF181457}"/>
    <cellStyle name="Comma 3 5 3 3 2 8" xfId="7025" xr:uid="{971396E8-DF6D-4EAB-8E7E-A52A061FF671}"/>
    <cellStyle name="Comma 3 5 3 3 2 9" xfId="8549" xr:uid="{E02B2025-535C-4605-A109-3C870B3A4045}"/>
    <cellStyle name="Comma 3 5 3 3 3" xfId="1637" xr:uid="{F809B6A0-8480-42C6-A9EA-82D475A00B02}"/>
    <cellStyle name="Comma 3 5 3 3 3 2" xfId="4359" xr:uid="{740DAA78-538F-4799-9582-D2EE41626D66}"/>
    <cellStyle name="Comma 3 5 3 3 3 2 2" xfId="9805" xr:uid="{D63B2A15-40AC-4E04-BFA2-632E76EDDB2D}"/>
    <cellStyle name="Comma 3 5 3 3 3 3" xfId="3349" xr:uid="{3B250D0F-6F4C-476A-9C44-15BA75FE78F5}"/>
    <cellStyle name="Comma 3 5 3 3 3 4" xfId="7283" xr:uid="{A70D6A1A-8AD7-4310-9EE9-91E28C633E90}"/>
    <cellStyle name="Comma 3 5 3 3 3 5" xfId="8797" xr:uid="{D5D42B56-C652-4428-88FF-9E7606EF882B}"/>
    <cellStyle name="Comma 3 5 3 3 3 6" xfId="12417" xr:uid="{AFC51852-8E83-48F0-BDDB-3C93BF8859EC}"/>
    <cellStyle name="Comma 3 5 3 3 3 7" xfId="14162" xr:uid="{18F945D2-A1E3-4303-8004-D7ACD728F7AE}"/>
    <cellStyle name="Comma 3 5 3 3 4" xfId="2145" xr:uid="{D5C0F61F-E723-4428-8CA3-704E245E288D}"/>
    <cellStyle name="Comma 3 5 3 3 4 2" xfId="3865" xr:uid="{23249F82-D0C5-467B-B13B-ADF0C528043E}"/>
    <cellStyle name="Comma 3 5 3 3 4 3" xfId="7791" xr:uid="{138AC4E8-D0CA-439B-A022-F3BDDE6A96DD}"/>
    <cellStyle name="Comma 3 5 3 3 4 4" xfId="9309" xr:uid="{E28DF7D1-59BE-4B02-A0B5-AC2076E4B512}"/>
    <cellStyle name="Comma 3 5 3 3 4 5" xfId="12923" xr:uid="{96BEAD11-B83D-439C-AEB4-05302D75D755}"/>
    <cellStyle name="Comma 3 5 3 3 4 6" xfId="14668" xr:uid="{DE8807C8-16F4-489D-80B5-4E785AC30DBA}"/>
    <cellStyle name="Comma 3 5 3 3 5" xfId="2643" xr:uid="{EA421EA8-DAF8-4C1D-8408-0BF7AFD05385}"/>
    <cellStyle name="Comma 3 5 3 3 5 2" xfId="6777" xr:uid="{CFC34C9D-C2ED-4338-8C74-9B8D711C6FEF}"/>
    <cellStyle name="Comma 3 5 3 3 5 3" xfId="10307" xr:uid="{19ECC646-A842-46B3-BC3C-F265A8A8F994}"/>
    <cellStyle name="Comma 3 5 3 3 5 4" xfId="13656" xr:uid="{3F81E39B-A699-4F59-BD5F-E645B2D939AA}"/>
    <cellStyle name="Comma 3 5 3 3 6" xfId="5335" xr:uid="{FF04F7B7-E304-4D65-9548-4BB4165F71CA}"/>
    <cellStyle name="Comma 3 5 3 3 6 2" xfId="10809" xr:uid="{777F5728-EB6A-4362-9069-D453F237DC90}"/>
    <cellStyle name="Comma 3 5 3 3 7" xfId="5837" xr:uid="{01EE9558-B04B-4501-B5C0-C4D8C7B9B480}"/>
    <cellStyle name="Comma 3 5 3 3 7 2" xfId="11311" xr:uid="{33ED058B-114D-4C76-9009-2DC4977978A4}"/>
    <cellStyle name="Comma 3 5 3 3 8" xfId="6410" xr:uid="{2B76210F-4D18-449D-929B-554DA4C6CF4A}"/>
    <cellStyle name="Comma 3 5 3 3 9" xfId="8301" xr:uid="{C7E1C75C-2D63-40F2-98CE-D29A573ED67E}"/>
    <cellStyle name="Comma 3 5 3 4" xfId="492" xr:uid="{00000000-0005-0000-0000-0000D0000000}"/>
    <cellStyle name="Comma 3 5 3 4 10" xfId="13445" xr:uid="{0DC921A7-DF5F-4293-B32A-22D742DAAE4F}"/>
    <cellStyle name="Comma 3 5 3 4 11" xfId="1255" xr:uid="{C61AA7AB-99B7-4248-ACC5-24A06D1CD4B2}"/>
    <cellStyle name="Comma 3 5 3 4 2" xfId="1761" xr:uid="{FF16DDFF-6DFD-4649-917F-C929275FB11B}"/>
    <cellStyle name="Comma 3 5 3 4 2 2" xfId="4483" xr:uid="{594C7FD8-0F95-4EDE-A5FE-D937A2CB814B}"/>
    <cellStyle name="Comma 3 5 3 4 2 2 2" xfId="9929" xr:uid="{1C1A26CD-695F-4892-8612-26B8445FC882}"/>
    <cellStyle name="Comma 3 5 3 4 2 3" xfId="3473" xr:uid="{000DC38C-BA95-4E1A-9CBA-6A35B9D7F05D}"/>
    <cellStyle name="Comma 3 5 3 4 2 4" xfId="7407" xr:uid="{6D503633-A418-4F40-86EF-FA24A10F66B5}"/>
    <cellStyle name="Comma 3 5 3 4 2 5" xfId="8921" xr:uid="{0683DD0A-B06B-4103-8EA0-D4ED274498EE}"/>
    <cellStyle name="Comma 3 5 3 4 2 6" xfId="12541" xr:uid="{E347F3B2-BC3D-41E1-A6C2-F1AC495E6B78}"/>
    <cellStyle name="Comma 3 5 3 4 2 7" xfId="14286" xr:uid="{69D8EFB5-A014-4155-8CF3-2E6D93791358}"/>
    <cellStyle name="Comma 3 5 3 4 3" xfId="2269" xr:uid="{DAC1755E-BF98-4FA8-9E42-1CD5D65A8281}"/>
    <cellStyle name="Comma 3 5 3 4 3 2" xfId="3989" xr:uid="{55850354-ECD8-42EE-A3C5-08E9215C7BEC}"/>
    <cellStyle name="Comma 3 5 3 4 3 3" xfId="7915" xr:uid="{23519B8C-5802-4740-A03E-3AEE9388DE2F}"/>
    <cellStyle name="Comma 3 5 3 4 3 4" xfId="9433" xr:uid="{E4C5670B-86F7-4E6A-BE49-54063D54C356}"/>
    <cellStyle name="Comma 3 5 3 4 3 5" xfId="13047" xr:uid="{82B70829-E86B-4734-9B07-1CE0D8EF6603}"/>
    <cellStyle name="Comma 3 5 3 4 3 6" xfId="14792" xr:uid="{110CA0B4-1214-4DF3-BAB4-381354D069C5}"/>
    <cellStyle name="Comma 3 5 3 4 4" xfId="2699" xr:uid="{3495D485-C825-44FA-B5CA-49BEF3ABF517}"/>
    <cellStyle name="Comma 3 5 3 4 4 2" xfId="6901" xr:uid="{E6BBD61F-9EA7-4821-A7B1-121FEE3EADE7}"/>
    <cellStyle name="Comma 3 5 3 4 4 3" xfId="10431" xr:uid="{432ABFC0-1870-43F1-81C4-4F9818F1A4A6}"/>
    <cellStyle name="Comma 3 5 3 4 4 4" xfId="13780" xr:uid="{4E247B3B-218D-41E3-B9B8-E2021ADB6ECD}"/>
    <cellStyle name="Comma 3 5 3 4 5" xfId="5459" xr:uid="{88E5B716-0011-4B02-A489-40D9F982B734}"/>
    <cellStyle name="Comma 3 5 3 4 5 2" xfId="10933" xr:uid="{68C2D6C1-17F4-4C7D-85D4-E8BCE3CB11DA}"/>
    <cellStyle name="Comma 3 5 3 4 6" xfId="5961" xr:uid="{AA0CB6AA-4B28-4CBC-87F8-EF01632BB7E3}"/>
    <cellStyle name="Comma 3 5 3 4 6 2" xfId="11435" xr:uid="{C6FBE878-0CD8-44FA-BCEC-B67371956463}"/>
    <cellStyle name="Comma 3 5 3 4 7" xfId="6466" xr:uid="{D6B5B373-3427-4812-BFB2-4227C35E977B}"/>
    <cellStyle name="Comma 3 5 3 4 8" xfId="8425" xr:uid="{C9E41CF1-D4A7-42A4-BAC0-A0F2ABBE8CBE}"/>
    <cellStyle name="Comma 3 5 3 4 9" xfId="12035" xr:uid="{AF0C3B4B-0532-404E-A55E-5BA70DEC7CD8}"/>
    <cellStyle name="Comma 3 5 3 5" xfId="1513" xr:uid="{0373B2C1-1C85-4A25-BCAD-2CC4B3485323}"/>
    <cellStyle name="Comma 3 5 3 5 2" xfId="4237" xr:uid="{F3C57AC9-7C17-4DA5-B769-9DAB8124ACF3}"/>
    <cellStyle name="Comma 3 5 3 5 2 2" xfId="9681" xr:uid="{BB32DB59-B9D1-4074-AEC6-076E1ECCB115}"/>
    <cellStyle name="Comma 3 5 3 5 3" xfId="3227" xr:uid="{F0E677B6-98DB-4336-B0BA-B125559DFA5C}"/>
    <cellStyle name="Comma 3 5 3 5 4" xfId="7159" xr:uid="{8B89574A-45AD-43F7-8391-96ECA4B40F0E}"/>
    <cellStyle name="Comma 3 5 3 5 5" xfId="8673" xr:uid="{83CEC619-2EF0-4AD6-82BA-3270DC1E3241}"/>
    <cellStyle name="Comma 3 5 3 5 6" xfId="12293" xr:uid="{ABA9E6FC-0930-4103-9371-D50B3E1AF80F}"/>
    <cellStyle name="Comma 3 5 3 5 7" xfId="14038" xr:uid="{275353BE-1235-43A4-981B-F9807CB4B9F6}"/>
    <cellStyle name="Comma 3 5 3 6" xfId="2021" xr:uid="{E11731C8-C7C4-4309-81E9-FC6684A2F292}"/>
    <cellStyle name="Comma 3 5 3 6 2" xfId="3741" xr:uid="{E4CC9B65-C3AA-4A87-AB23-C4115A19A918}"/>
    <cellStyle name="Comma 3 5 3 6 3" xfId="7667" xr:uid="{70CE4958-B1C6-4F4D-BE41-81E81B4229FA}"/>
    <cellStyle name="Comma 3 5 3 6 4" xfId="9185" xr:uid="{2C2D0B35-9DE5-4D00-812E-3C7715A87018}"/>
    <cellStyle name="Comma 3 5 3 6 5" xfId="12799" xr:uid="{712FEF33-08DF-4E46-A7EB-00FC26E1F4F1}"/>
    <cellStyle name="Comma 3 5 3 6 6" xfId="14544" xr:uid="{BB22FE7F-6A1D-466D-B1FF-B6255AB7A2D1}"/>
    <cellStyle name="Comma 3 5 3 7" xfId="2535" xr:uid="{A815F1E6-347E-4FD0-A941-2720B1201D5D}"/>
    <cellStyle name="Comma 3 5 3 7 2" xfId="6653" xr:uid="{3DC36052-257E-4906-99EB-52CFACE66C3B}"/>
    <cellStyle name="Comma 3 5 3 7 3" xfId="10183" xr:uid="{FFAA925D-912E-444D-A9AD-53794E1C3820}"/>
    <cellStyle name="Comma 3 5 3 7 4" xfId="13532" xr:uid="{43F0EB17-F910-4D5D-941A-6DBEFE2987A3}"/>
    <cellStyle name="Comma 3 5 3 8" xfId="5211" xr:uid="{4210754F-46AE-476D-9E5B-691FC4993332}"/>
    <cellStyle name="Comma 3 5 3 8 2" xfId="10685" xr:uid="{B3BB1A89-0D48-429A-BEBF-C0C0BFD9AFC4}"/>
    <cellStyle name="Comma 3 5 3 9" xfId="5713" xr:uid="{06CCB6B4-7A72-478F-95E4-AC3447748524}"/>
    <cellStyle name="Comma 3 5 3 9 2" xfId="11187" xr:uid="{C5E67C85-F48C-4A17-9055-E9194191A9CC}"/>
    <cellStyle name="Comma 3 5 4" xfId="343" xr:uid="{00000000-0005-0000-0000-0000D1000000}"/>
    <cellStyle name="Comma 3 5 4 10" xfId="8202" xr:uid="{0B2D198F-A141-4754-BD20-1F570DB89A6E}"/>
    <cellStyle name="Comma 3 5 4 11" xfId="11812" xr:uid="{BAF45759-667C-4D12-BCEE-85AAECC7DF98}"/>
    <cellStyle name="Comma 3 5 4 12" xfId="13298" xr:uid="{D8AA428A-FD2E-4AB4-B2B7-3B9E788E784F}"/>
    <cellStyle name="Comma 3 5 4 13" xfId="1032" xr:uid="{CE6FDC27-DB81-424D-BB50-AB951ABD78E6}"/>
    <cellStyle name="Comma 3 5 4 2" xfId="1156" xr:uid="{C689A819-7E0C-4938-9248-2F82561AA135}"/>
    <cellStyle name="Comma 3 5 4 2 10" xfId="8326" xr:uid="{74409235-BC93-4B1F-B45B-A7B93280D830}"/>
    <cellStyle name="Comma 3 5 4 2 11" xfId="11936" xr:uid="{CB33BA53-FB36-44AC-AACD-09C682CC3AAD}"/>
    <cellStyle name="Comma 3 5 4 2 12" xfId="13681" xr:uid="{F1F5270E-A0A8-4696-A6CB-25C8AF9ED07E}"/>
    <cellStyle name="Comma 3 5 4 2 2" xfId="1404" xr:uid="{367C5A4A-5F20-45FD-8E44-FB3E1C197C46}"/>
    <cellStyle name="Comma 3 5 4 2 2 10" xfId="12184" xr:uid="{F0B6A13B-73C7-40AB-AF89-84DB593BA4BF}"/>
    <cellStyle name="Comma 3 5 4 2 2 11" xfId="13929" xr:uid="{44BA41DA-AE8B-479A-80B9-665A9099D1A1}"/>
    <cellStyle name="Comma 3 5 4 2 2 2" xfId="1910" xr:uid="{3C1BA3B9-7564-47DD-A33A-2F36B2DF9004}"/>
    <cellStyle name="Comma 3 5 4 2 2 2 2" xfId="4632" xr:uid="{57A49DCF-49CC-413F-8D82-DD4048733BE1}"/>
    <cellStyle name="Comma 3 5 4 2 2 2 2 2" xfId="10078" xr:uid="{29313265-7FBB-4AB6-BB95-10E33F91765B}"/>
    <cellStyle name="Comma 3 5 4 2 2 2 3" xfId="3622" xr:uid="{8F543DD1-48CF-473D-9515-97F3C895F054}"/>
    <cellStyle name="Comma 3 5 4 2 2 2 4" xfId="7556" xr:uid="{901E7B5F-0660-462A-A11F-89063C8C7407}"/>
    <cellStyle name="Comma 3 5 4 2 2 2 5" xfId="9070" xr:uid="{66C426F8-E3CC-403D-978B-FB7317C79814}"/>
    <cellStyle name="Comma 3 5 4 2 2 2 6" xfId="12690" xr:uid="{A75131B0-4CAC-43A6-96B4-8770A55CFF88}"/>
    <cellStyle name="Comma 3 5 4 2 2 2 7" xfId="14435" xr:uid="{B5ECADF6-7670-477E-ACC4-00F37CCB511F}"/>
    <cellStyle name="Comma 3 5 4 2 2 3" xfId="2418" xr:uid="{73FB1E0B-942E-483E-968D-ECA7A79789D4}"/>
    <cellStyle name="Comma 3 5 4 2 2 3 2" xfId="4138" xr:uid="{6718DE94-2150-4A73-9993-B12587F1B1B9}"/>
    <cellStyle name="Comma 3 5 4 2 2 3 3" xfId="8064" xr:uid="{C14C362D-4E6F-42DC-9901-8B283A4E2BB6}"/>
    <cellStyle name="Comma 3 5 4 2 2 3 4" xfId="9582" xr:uid="{487E450D-8242-4D53-B5E2-8640AFD99A1E}"/>
    <cellStyle name="Comma 3 5 4 2 2 3 5" xfId="13196" xr:uid="{901FF200-01B3-4E56-8926-61F8180615DE}"/>
    <cellStyle name="Comma 3 5 4 2 2 3 6" xfId="14941" xr:uid="{B75D8F3F-6F83-43B5-8E2D-BA3E35D9C59C}"/>
    <cellStyle name="Comma 3 5 4 2 2 4" xfId="5110" xr:uid="{D26E7FF8-CF10-426D-8D62-3C76D71B2E21}"/>
    <cellStyle name="Comma 3 5 4 2 2 4 2" xfId="10580" xr:uid="{DF9F969A-0782-4075-8D0B-729F62330774}"/>
    <cellStyle name="Comma 3 5 4 2 2 5" xfId="5608" xr:uid="{5647CB47-95D0-4D2F-9B14-1CEC8D6B51F0}"/>
    <cellStyle name="Comma 3 5 4 2 2 5 2" xfId="11082" xr:uid="{7DFE4D39-B67E-4A1B-B737-FE903AFCDC01}"/>
    <cellStyle name="Comma 3 5 4 2 2 6" xfId="6110" xr:uid="{8717267A-CE7E-421D-8B3A-E0F1DAFC54B1}"/>
    <cellStyle name="Comma 3 5 4 2 2 6 2" xfId="11584" xr:uid="{702DCF26-3975-4529-9A63-4FDA981E5AB2}"/>
    <cellStyle name="Comma 3 5 4 2 2 7" xfId="3128" xr:uid="{E71A4664-CBBA-45FD-A04A-4050E1AC463E}"/>
    <cellStyle name="Comma 3 5 4 2 2 8" xfId="7050" xr:uid="{09EEF1D7-D446-444F-ABC3-A3154B565D8E}"/>
    <cellStyle name="Comma 3 5 4 2 2 9" xfId="8574" xr:uid="{DBB74DDD-0087-40FE-A090-1AD540A1B65C}"/>
    <cellStyle name="Comma 3 5 4 2 3" xfId="1662" xr:uid="{940B9F0A-0479-4EF7-8F22-9AEE107074DB}"/>
    <cellStyle name="Comma 3 5 4 2 3 2" xfId="4384" xr:uid="{213F1ECC-56D5-406C-8F66-EEEACCAF75A5}"/>
    <cellStyle name="Comma 3 5 4 2 3 2 2" xfId="9830" xr:uid="{8701E59B-CEEF-464D-8678-9B23B2D58282}"/>
    <cellStyle name="Comma 3 5 4 2 3 3" xfId="3374" xr:uid="{0CD772F9-7635-4750-8CB5-AF9B4844A4D4}"/>
    <cellStyle name="Comma 3 5 4 2 3 4" xfId="7308" xr:uid="{EFAFC032-2D2E-420C-8465-895B8ED61713}"/>
    <cellStyle name="Comma 3 5 4 2 3 5" xfId="8822" xr:uid="{198C007A-1AFD-47EA-932B-777123535886}"/>
    <cellStyle name="Comma 3 5 4 2 3 6" xfId="12442" xr:uid="{E3EEC49B-1CF7-4EA8-980C-5F79B3098493}"/>
    <cellStyle name="Comma 3 5 4 2 3 7" xfId="14187" xr:uid="{AC6AE1F5-C9EB-4BF9-8C63-489A5922E677}"/>
    <cellStyle name="Comma 3 5 4 2 4" xfId="2170" xr:uid="{72BE4BEC-D618-425A-861D-A374FA23D178}"/>
    <cellStyle name="Comma 3 5 4 2 4 2" xfId="3890" xr:uid="{48182E22-0CF2-465C-B85F-1A773A16AE4A}"/>
    <cellStyle name="Comma 3 5 4 2 4 3" xfId="7816" xr:uid="{C1190A6B-157F-4C27-BF90-CDFA1ABA11BA}"/>
    <cellStyle name="Comma 3 5 4 2 4 4" xfId="9334" xr:uid="{F9FA7F78-C1E9-4F31-8F29-E1F655386887}"/>
    <cellStyle name="Comma 3 5 4 2 4 5" xfId="12948" xr:uid="{ED1A945B-5678-4180-A774-7788DF6E0E12}"/>
    <cellStyle name="Comma 3 5 4 2 4 6" xfId="14693" xr:uid="{7FDF9658-0D51-4B58-93F7-187135956629}"/>
    <cellStyle name="Comma 3 5 4 2 5" xfId="4872" xr:uid="{F3BA55E0-27F9-4F8F-B664-F636888FE034}"/>
    <cellStyle name="Comma 3 5 4 2 5 2" xfId="10332" xr:uid="{26AF776F-3DAE-499F-9EEE-B5B8EE42F5D1}"/>
    <cellStyle name="Comma 3 5 4 2 6" xfId="5360" xr:uid="{A4A28064-FCBA-4045-A943-97FCE1C9238B}"/>
    <cellStyle name="Comma 3 5 4 2 6 2" xfId="10834" xr:uid="{3D3DCE40-0E7E-4B66-93DE-26DDB809DD74}"/>
    <cellStyle name="Comma 3 5 4 2 7" xfId="5862" xr:uid="{57AF6996-7DC3-44C4-92FF-D775EF34C3AD}"/>
    <cellStyle name="Comma 3 5 4 2 7 2" xfId="11336" xr:uid="{C218C21D-A492-424C-AA27-F23D3D454A0B}"/>
    <cellStyle name="Comma 3 5 4 2 8" xfId="2888" xr:uid="{62EDC9FB-37C0-4A41-85C6-8EF266C35A26}"/>
    <cellStyle name="Comma 3 5 4 2 9" xfId="6802" xr:uid="{62866B5A-2E5B-4EF8-9923-E3BC6083CB52}"/>
    <cellStyle name="Comma 3 5 4 3" xfId="1280" xr:uid="{82267495-3D55-43FD-A077-DB573E45722B}"/>
    <cellStyle name="Comma 3 5 4 3 10" xfId="12060" xr:uid="{C3F1D7A8-6C84-4FC9-98BF-6C1EE89FBBDC}"/>
    <cellStyle name="Comma 3 5 4 3 11" xfId="13805" xr:uid="{6984BC0F-094E-4723-A27B-6D403CEEBAB6}"/>
    <cellStyle name="Comma 3 5 4 3 2" xfId="1786" xr:uid="{EB3F4192-7E64-4A93-B679-44D04F8FE4F2}"/>
    <cellStyle name="Comma 3 5 4 3 2 2" xfId="4508" xr:uid="{D8A7C028-6525-4655-B888-1E77BE7263E6}"/>
    <cellStyle name="Comma 3 5 4 3 2 2 2" xfId="9954" xr:uid="{53A7A056-81D2-4895-B68A-AB0C8E7AC4C8}"/>
    <cellStyle name="Comma 3 5 4 3 2 3" xfId="3498" xr:uid="{BC5892CD-6B31-40F2-9FC6-BD3357BA51D6}"/>
    <cellStyle name="Comma 3 5 4 3 2 4" xfId="7432" xr:uid="{CD80B6AF-7272-4E22-AB9D-F8C461E1CADD}"/>
    <cellStyle name="Comma 3 5 4 3 2 5" xfId="8946" xr:uid="{DFA69511-8068-4432-BE0C-98065E3768FD}"/>
    <cellStyle name="Comma 3 5 4 3 2 6" xfId="12566" xr:uid="{14022C5A-A2E0-43F9-8672-F6C24F9B3EE1}"/>
    <cellStyle name="Comma 3 5 4 3 2 7" xfId="14311" xr:uid="{00CE9D59-4C2C-4120-912F-7B95824B4A4C}"/>
    <cellStyle name="Comma 3 5 4 3 3" xfId="2294" xr:uid="{27A8CD48-DE69-4A4D-95DD-4A2203FEBFB6}"/>
    <cellStyle name="Comma 3 5 4 3 3 2" xfId="4014" xr:uid="{FD347CF0-B359-40CC-90C0-EA0EB62C1297}"/>
    <cellStyle name="Comma 3 5 4 3 3 3" xfId="7940" xr:uid="{7AE7E78B-FA91-4606-9C68-ECEF278CC50E}"/>
    <cellStyle name="Comma 3 5 4 3 3 4" xfId="9458" xr:uid="{E033549B-D2B4-4882-878F-A2B6056B1E0B}"/>
    <cellStyle name="Comma 3 5 4 3 3 5" xfId="13072" xr:uid="{FA779759-C588-4B26-87C3-8EEAB3808F3F}"/>
    <cellStyle name="Comma 3 5 4 3 3 6" xfId="14817" xr:uid="{B9029609-1E10-4D90-B2C2-C24684782519}"/>
    <cellStyle name="Comma 3 5 4 3 4" xfId="4988" xr:uid="{F2619243-B156-401C-B6C6-D0D68FAAC533}"/>
    <cellStyle name="Comma 3 5 4 3 4 2" xfId="10456" xr:uid="{367A6E5E-1034-4A34-B6F4-F49E9D729CB2}"/>
    <cellStyle name="Comma 3 5 4 3 5" xfId="5484" xr:uid="{4274EE30-D524-4BD8-80F2-EC756A34A341}"/>
    <cellStyle name="Comma 3 5 4 3 5 2" xfId="10958" xr:uid="{F4FB2075-D25A-4161-99C2-4F36B4755F65}"/>
    <cellStyle name="Comma 3 5 4 3 6" xfId="5986" xr:uid="{FE246090-21BD-4964-BBA4-389DE2F507AE}"/>
    <cellStyle name="Comma 3 5 4 3 6 2" xfId="11460" xr:uid="{E4BA6AB4-1F29-42E0-A0C4-9F4B2DD1E34C}"/>
    <cellStyle name="Comma 3 5 4 3 7" xfId="3006" xr:uid="{7DD63CB2-3B0F-420F-AD13-85D01A76C2AC}"/>
    <cellStyle name="Comma 3 5 4 3 8" xfId="6926" xr:uid="{9F57A348-4729-4952-9E73-AEC3D2E83055}"/>
    <cellStyle name="Comma 3 5 4 3 9" xfId="8450" xr:uid="{85076215-53B4-492C-86CA-89C1CB39D568}"/>
    <cellStyle name="Comma 3 5 4 4" xfId="1538" xr:uid="{627E1901-401E-4945-81AA-9F77B077CE01}"/>
    <cellStyle name="Comma 3 5 4 4 2" xfId="4262" xr:uid="{FC642D6B-8AEE-4A23-83EB-BF0BF9A71F66}"/>
    <cellStyle name="Comma 3 5 4 4 2 2" xfId="9706" xr:uid="{6E46A9CD-EF33-487B-A8B7-0AA1EF43B0DA}"/>
    <cellStyle name="Comma 3 5 4 4 3" xfId="3252" xr:uid="{B3D82B1F-299A-4FA5-9A92-1E8CEA459DCC}"/>
    <cellStyle name="Comma 3 5 4 4 4" xfId="7184" xr:uid="{F4418447-0E0A-42D1-ABF8-C2B8CA4EB5CA}"/>
    <cellStyle name="Comma 3 5 4 4 5" xfId="8698" xr:uid="{3AA9AEEE-9C1A-4667-9644-59C37855986F}"/>
    <cellStyle name="Comma 3 5 4 4 6" xfId="12318" xr:uid="{478DA9E1-7FBA-4726-BC6B-5BB474395209}"/>
    <cellStyle name="Comma 3 5 4 4 7" xfId="14063" xr:uid="{1464D420-28D3-4C56-8EDA-B80B34BDA893}"/>
    <cellStyle name="Comma 3 5 4 5" xfId="2046" xr:uid="{9BAC4BBC-7597-48CA-BF26-8AE51ED7A2BE}"/>
    <cellStyle name="Comma 3 5 4 5 2" xfId="3766" xr:uid="{45007D43-BAAA-48A1-8D45-E35EEC5F328A}"/>
    <cellStyle name="Comma 3 5 4 5 3" xfId="7692" xr:uid="{0764C660-6BEF-4E02-8653-86E7346C3B08}"/>
    <cellStyle name="Comma 3 5 4 5 4" xfId="9210" xr:uid="{267E1AA9-B964-4E0D-8351-B3F8A2614A14}"/>
    <cellStyle name="Comma 3 5 4 5 5" xfId="12824" xr:uid="{F4A2BA36-8166-4174-8FCD-AE24CA5C53DC}"/>
    <cellStyle name="Comma 3 5 4 5 6" xfId="14569" xr:uid="{4847746D-F567-4A8F-A66E-B995A819BE7B}"/>
    <cellStyle name="Comma 3 5 4 6" xfId="2551" xr:uid="{DADB290D-517F-4438-9C87-540DDD6267CA}"/>
    <cellStyle name="Comma 3 5 4 6 2" xfId="6678" xr:uid="{FA905CCB-2D9A-4A23-BB59-06CF9B4C4223}"/>
    <cellStyle name="Comma 3 5 4 6 3" xfId="10208" xr:uid="{8915E867-B756-4812-AB16-3775C2D9C87F}"/>
    <cellStyle name="Comma 3 5 4 6 4" xfId="13557" xr:uid="{D4AB7723-A5E2-4DBA-B2E6-2EAEF616B5C9}"/>
    <cellStyle name="Comma 3 5 4 7" xfId="5236" xr:uid="{E6618A0D-53FD-4F0C-9E5F-4D38491AB347}"/>
    <cellStyle name="Comma 3 5 4 7 2" xfId="10710" xr:uid="{DC1CDF80-DD51-4294-8540-B9FEC765A26F}"/>
    <cellStyle name="Comma 3 5 4 8" xfId="5738" xr:uid="{728CB57A-F9CD-4D1B-83B1-0420388695FC}"/>
    <cellStyle name="Comma 3 5 4 8 2" xfId="11212" xr:uid="{0AB425E1-CCA9-4CC3-A967-8A282CEF2E51}"/>
    <cellStyle name="Comma 3 5 4 9" xfId="6319" xr:uid="{397BCA7A-D90F-4964-B298-A5E47D555DD6}"/>
    <cellStyle name="Comma 3 5 5" xfId="395" xr:uid="{00000000-0005-0000-0000-0000D2000000}"/>
    <cellStyle name="Comma 3 5 5 10" xfId="11869" xr:uid="{01DE3438-3030-45F0-8739-ECB8E3939DDA}"/>
    <cellStyle name="Comma 3 5 5 11" xfId="13349" xr:uid="{6A3570D2-2D55-4360-8B8A-58C4251439F5}"/>
    <cellStyle name="Comma 3 5 5 12" xfId="1089" xr:uid="{261E506A-DC61-41B9-AEB0-93A0BEDB7BB4}"/>
    <cellStyle name="Comma 3 5 5 2" xfId="1337" xr:uid="{31D91633-3515-461B-B12B-1675CE8D93D5}"/>
    <cellStyle name="Comma 3 5 5 2 10" xfId="12117" xr:uid="{EE561895-9D7D-47C2-9C7C-FD528E28ED14}"/>
    <cellStyle name="Comma 3 5 5 2 11" xfId="13862" xr:uid="{0F879158-6164-4C19-B222-CA6177931C7D}"/>
    <cellStyle name="Comma 3 5 5 2 2" xfId="1843" xr:uid="{B0D5FCFC-8F6E-47B3-BBFF-890C52B7F1F9}"/>
    <cellStyle name="Comma 3 5 5 2 2 2" xfId="4565" xr:uid="{0EBE738D-878E-4D7E-8452-3BD204EE30EC}"/>
    <cellStyle name="Comma 3 5 5 2 2 2 2" xfId="10011" xr:uid="{3AF3A052-01B3-491F-894E-0BDCE0205CFD}"/>
    <cellStyle name="Comma 3 5 5 2 2 3" xfId="3555" xr:uid="{AB79C180-228E-4913-AC46-08E844DF4D9D}"/>
    <cellStyle name="Comma 3 5 5 2 2 4" xfId="7489" xr:uid="{E175ED48-F764-40E9-B858-BB5BC7E52C69}"/>
    <cellStyle name="Comma 3 5 5 2 2 5" xfId="9003" xr:uid="{5DC49C85-9C22-4654-A829-6DA27051B41B}"/>
    <cellStyle name="Comma 3 5 5 2 2 6" xfId="12623" xr:uid="{559F7DCB-983F-45F1-8897-151BB83E5041}"/>
    <cellStyle name="Comma 3 5 5 2 2 7" xfId="14368" xr:uid="{B4515538-5B56-42C7-B390-72E01A4FC1A0}"/>
    <cellStyle name="Comma 3 5 5 2 3" xfId="2351" xr:uid="{182A6E1B-44FC-4AEA-BA1E-BC98C75581EC}"/>
    <cellStyle name="Comma 3 5 5 2 3 2" xfId="4071" xr:uid="{74801E10-340C-435E-9207-196475E69C2A}"/>
    <cellStyle name="Comma 3 5 5 2 3 3" xfId="7997" xr:uid="{A8A0EA49-C400-4801-B881-C9B38550A35A}"/>
    <cellStyle name="Comma 3 5 5 2 3 4" xfId="9515" xr:uid="{0027408B-8547-4A76-8E93-DB6DCAEA2CF0}"/>
    <cellStyle name="Comma 3 5 5 2 3 5" xfId="13129" xr:uid="{27FD1B34-8CFF-4A62-A974-7B311BADE67D}"/>
    <cellStyle name="Comma 3 5 5 2 3 6" xfId="14874" xr:uid="{1B4C6A9B-E80B-41E5-9EB0-2FD647598CA1}"/>
    <cellStyle name="Comma 3 5 5 2 4" xfId="5043" xr:uid="{CA4105DC-9F57-47A0-8B8C-95FCAA1C737D}"/>
    <cellStyle name="Comma 3 5 5 2 4 2" xfId="10513" xr:uid="{FB7EE37E-14D5-41BE-8CEC-0D7B253BC691}"/>
    <cellStyle name="Comma 3 5 5 2 5" xfId="5541" xr:uid="{88A83218-8B36-4414-805D-203B6656B93D}"/>
    <cellStyle name="Comma 3 5 5 2 5 2" xfId="11015" xr:uid="{77CE1D55-42D8-4D2C-81A8-5854B60A4175}"/>
    <cellStyle name="Comma 3 5 5 2 6" xfId="6043" xr:uid="{B357649E-26A9-4189-AF50-88DE3F2A7107}"/>
    <cellStyle name="Comma 3 5 5 2 6 2" xfId="11517" xr:uid="{73F20842-07C7-47DC-AE4B-D09F9F9BB890}"/>
    <cellStyle name="Comma 3 5 5 2 7" xfId="3061" xr:uid="{DBBA43FB-8939-4762-8B9D-A9F3B56C88CF}"/>
    <cellStyle name="Comma 3 5 5 2 8" xfId="6983" xr:uid="{A62D45F6-2A49-4FC8-912F-6BAD2E94BDE9}"/>
    <cellStyle name="Comma 3 5 5 2 9" xfId="8507" xr:uid="{36E1F337-1F7C-4144-BAAA-B2DA323433BE}"/>
    <cellStyle name="Comma 3 5 5 3" xfId="1595" xr:uid="{477FE3F2-E7A8-4D46-B452-FBD1B63C7ACA}"/>
    <cellStyle name="Comma 3 5 5 3 2" xfId="4317" xr:uid="{68AAD34A-59A4-4BB8-B842-8A1E61991B9B}"/>
    <cellStyle name="Comma 3 5 5 3 2 2" xfId="9763" xr:uid="{D0912674-9256-4BDD-98F9-34D37956D775}"/>
    <cellStyle name="Comma 3 5 5 3 3" xfId="3307" xr:uid="{C42A7381-1CF0-4C62-8259-82EF68945618}"/>
    <cellStyle name="Comma 3 5 5 3 4" xfId="7241" xr:uid="{8248B3C6-666C-407D-8DA3-C84884A9EFC1}"/>
    <cellStyle name="Comma 3 5 5 3 5" xfId="8755" xr:uid="{800C1B24-5B16-448E-B701-3DDF947F8BE2}"/>
    <cellStyle name="Comma 3 5 5 3 6" xfId="12375" xr:uid="{93C34EA0-841E-4B37-95AE-AFDB9ADFB5FC}"/>
    <cellStyle name="Comma 3 5 5 3 7" xfId="14120" xr:uid="{232B0BEB-4087-4437-B498-6AA1CF45A000}"/>
    <cellStyle name="Comma 3 5 5 4" xfId="2103" xr:uid="{DA55C39A-F93E-4442-B28E-ABC8811B7D32}"/>
    <cellStyle name="Comma 3 5 5 4 2" xfId="3823" xr:uid="{BCF01D47-019E-4D86-B5CF-6CA5CAFD40A2}"/>
    <cellStyle name="Comma 3 5 5 4 3" xfId="7749" xr:uid="{B8477391-651C-4537-8D61-1A5E76EC06E6}"/>
    <cellStyle name="Comma 3 5 5 4 4" xfId="9267" xr:uid="{E8B97022-40BB-4DA7-93F5-7E8AE0DDF1EB}"/>
    <cellStyle name="Comma 3 5 5 4 5" xfId="12881" xr:uid="{40EA64DD-7AD9-448A-A8FE-5ACFB6C67F41}"/>
    <cellStyle name="Comma 3 5 5 4 6" xfId="14626" xr:uid="{BD200197-F6D4-4FC5-872E-981E5C64564B}"/>
    <cellStyle name="Comma 3 5 5 5" xfId="2603" xr:uid="{06C63E67-8F8B-47E8-9473-ECA85E40B303}"/>
    <cellStyle name="Comma 3 5 5 5 2" xfId="6735" xr:uid="{9C00A5A9-F03D-417F-97CC-7E432EFCA4EC}"/>
    <cellStyle name="Comma 3 5 5 5 3" xfId="10265" xr:uid="{764FA0D8-1E6E-40C4-8BE8-896305A3B6F6}"/>
    <cellStyle name="Comma 3 5 5 5 4" xfId="13614" xr:uid="{D8AA45C9-26D5-4A1E-9D8C-3A2C1BD55D2D}"/>
    <cellStyle name="Comma 3 5 5 6" xfId="5293" xr:uid="{9C05D9F9-F35E-46C2-AF7E-C553F1554329}"/>
    <cellStyle name="Comma 3 5 5 6 2" xfId="10767" xr:uid="{921BD334-887F-4583-87B4-D1893325E50F}"/>
    <cellStyle name="Comma 3 5 5 7" xfId="5795" xr:uid="{1EE4E97D-CD0C-448E-9E4D-EA5676BE6DBE}"/>
    <cellStyle name="Comma 3 5 5 7 2" xfId="11269" xr:uid="{5255DE12-8CCA-45D4-87F8-990B4D55CC51}"/>
    <cellStyle name="Comma 3 5 5 8" xfId="6370" xr:uid="{2B49F403-6A44-4ED6-BA08-84C845854FEF}"/>
    <cellStyle name="Comma 3 5 5 9" xfId="8259" xr:uid="{E2F29014-B24C-4705-8B9F-A17F9F7F8EFA}"/>
    <cellStyle name="Comma 3 5 6" xfId="463" xr:uid="{00000000-0005-0000-0000-0000D3000000}"/>
    <cellStyle name="Comma 3 5 6 10" xfId="13417" xr:uid="{00AF0ADE-974A-4FF0-8DDF-B3AEA0871D7A}"/>
    <cellStyle name="Comma 3 5 6 11" xfId="957" xr:uid="{3645548E-409E-4375-9016-5CC368420A4A}"/>
    <cellStyle name="Comma 3 5 6 2" xfId="1471" xr:uid="{2D93950E-F01C-4E7A-B837-A40562B90A68}"/>
    <cellStyle name="Comma 3 5 6 2 2" xfId="4441" xr:uid="{3305DC03-275F-445B-87C3-6C6FE9D2CA82}"/>
    <cellStyle name="Comma 3 5 6 2 2 2" xfId="9887" xr:uid="{F44E4E15-2E02-4172-A533-4D2CBCAE3553}"/>
    <cellStyle name="Comma 3 5 6 2 3" xfId="3431" xr:uid="{06A07B42-EE54-42B4-8A51-A4761EC5410D}"/>
    <cellStyle name="Comma 3 5 6 2 4" xfId="7117" xr:uid="{804DB585-0DC4-4024-A831-FB5A90964F97}"/>
    <cellStyle name="Comma 3 5 6 2 5" xfId="8879" xr:uid="{757060BA-1451-46C1-8CB7-2263E2D870D6}"/>
    <cellStyle name="Comma 3 5 6 2 6" xfId="12251" xr:uid="{462E862A-3966-43AC-898D-CE76BD81A690}"/>
    <cellStyle name="Comma 3 5 6 2 7" xfId="13996" xr:uid="{9FE37C0F-824D-47C7-BA1D-43390400D516}"/>
    <cellStyle name="Comma 3 5 6 3" xfId="1979" xr:uid="{AE44FC2A-2202-428A-B659-C1B6AD68C265}"/>
    <cellStyle name="Comma 3 5 6 3 2" xfId="3699" xr:uid="{EA2791ED-2851-4F5D-8504-55AC294209ED}"/>
    <cellStyle name="Comma 3 5 6 3 3" xfId="7625" xr:uid="{DEA1D9C1-F2BC-4941-A7CA-2B1385575C80}"/>
    <cellStyle name="Comma 3 5 6 3 4" xfId="9143" xr:uid="{DF98BB17-0140-40BC-B4F4-31A31D5C8184}"/>
    <cellStyle name="Comma 3 5 6 3 5" xfId="12757" xr:uid="{BACBAB48-E48E-4472-A57B-C1A4AC5D9005}"/>
    <cellStyle name="Comma 3 5 6 3 6" xfId="14502" xr:uid="{294F2B24-F2C2-413E-9988-6E3950001854}"/>
    <cellStyle name="Comma 3 5 6 4" xfId="2671" xr:uid="{98E64294-0E3B-4D5E-8121-46194F740A9C}"/>
    <cellStyle name="Comma 3 5 6 4 2" xfId="6608" xr:uid="{0372A0BA-B699-498E-AE72-88850964788E}"/>
    <cellStyle name="Comma 3 5 6 4 3" xfId="10389" xr:uid="{31051C7E-F7B3-4EAB-AAF1-B0F795FBE1FC}"/>
    <cellStyle name="Comma 3 5 6 4 4" xfId="13490" xr:uid="{ABF90C09-B3A8-44C9-8D8D-3C68FFDD3492}"/>
    <cellStyle name="Comma 3 5 6 5" xfId="5417" xr:uid="{57C5DE8D-DED8-4824-9C02-78996D1DD79B}"/>
    <cellStyle name="Comma 3 5 6 5 2" xfId="10891" xr:uid="{D6F363AF-0CBB-4148-B183-17EAB37153A8}"/>
    <cellStyle name="Comma 3 5 6 6" xfId="5919" xr:uid="{0A96D5C8-CE34-4F7C-9EAB-068121BB18F5}"/>
    <cellStyle name="Comma 3 5 6 6 2" xfId="11393" xr:uid="{3D63C5B4-FEC9-4048-B897-22F4B645CAA1}"/>
    <cellStyle name="Comma 3 5 6 7" xfId="6438" xr:uid="{EC3A17D1-AE8C-4CD0-A30B-187DCBD79110}"/>
    <cellStyle name="Comma 3 5 6 8" xfId="8135" xr:uid="{0C6CED5A-63F5-4515-AC22-CA5DC1FFD04D}"/>
    <cellStyle name="Comma 3 5 6 9" xfId="11745" xr:uid="{C1DC05EA-0CC0-45ED-B140-1460B41A1EFB}"/>
    <cellStyle name="Comma 3 5 7" xfId="1213" xr:uid="{D809E511-3ACF-464A-A5AB-41F703AE7938}"/>
    <cellStyle name="Comma 3 5 7 2" xfId="1719" xr:uid="{92A313AA-CF0E-4A2A-9BA1-2BC7C6E11F0D}"/>
    <cellStyle name="Comma 3 5 7 2 2" xfId="3947" xr:uid="{4837A12C-A64C-45A3-A39E-46D22BFB2583}"/>
    <cellStyle name="Comma 3 5 7 2 3" xfId="7365" xr:uid="{BC2D5F9A-591C-432D-A26B-E1A17948821F}"/>
    <cellStyle name="Comma 3 5 7 2 4" xfId="9391" xr:uid="{A4FA4017-ED0B-45F9-AECB-2EE0A8A633DE}"/>
    <cellStyle name="Comma 3 5 7 2 5" xfId="12499" xr:uid="{4B317750-D653-4573-97C8-C660640D66EF}"/>
    <cellStyle name="Comma 3 5 7 2 6" xfId="14244" xr:uid="{03A84DA7-45BB-45F1-9FA8-CB4213FA8B45}"/>
    <cellStyle name="Comma 3 5 7 3" xfId="2227" xr:uid="{16D5ADA1-D7DF-41EC-A422-4564E5939BCD}"/>
    <cellStyle name="Comma 3 5 7 3 2" xfId="7873" xr:uid="{9EDC7DB0-D319-430A-91FF-1D780DF42D52}"/>
    <cellStyle name="Comma 3 5 7 3 3" xfId="13005" xr:uid="{C42F3A65-32B9-4B96-97A1-8AC5D9A08D00}"/>
    <cellStyle name="Comma 3 5 7 3 4" xfId="14750" xr:uid="{DA710FED-30A1-4C12-B499-3DD021A023B6}"/>
    <cellStyle name="Comma 3 5 7 4" xfId="2943" xr:uid="{A30EA773-C927-4AD3-B1C7-C3C9A2834D36}"/>
    <cellStyle name="Comma 3 5 7 5" xfId="6859" xr:uid="{3C526D07-742A-4EB0-8A81-3D11812C8C53}"/>
    <cellStyle name="Comma 3 5 7 6" xfId="8383" xr:uid="{FFE75354-4278-4BC1-A3F1-FE6C2AE6A639}"/>
    <cellStyle name="Comma 3 5 7 7" xfId="11993" xr:uid="{C57BCD22-AFD1-483B-93E4-EDC78E647F2C}"/>
    <cellStyle name="Comma 3 5 7 8" xfId="13738" xr:uid="{8FFA3077-4EF9-4556-B47B-1B516E7B9FB5}"/>
    <cellStyle name="Comma 3 5 8" xfId="546" xr:uid="{450B0C81-1009-40F6-BB4F-AA1A071B907D}"/>
    <cellStyle name="Comma 3 5 8 2" xfId="4195" xr:uid="{5EC4D710-084E-4A3F-9256-6E946524D5A8}"/>
    <cellStyle name="Comma 3 5 8 2 2" xfId="9639" xr:uid="{3C0F77E1-CBDF-4172-8747-4E5F13996CE6}"/>
    <cellStyle name="Comma 3 5 8 3" xfId="3185" xr:uid="{5956F2C6-922F-4669-BFA3-3E838ED10515}"/>
    <cellStyle name="Comma 3 5 8 4" xfId="6511" xr:uid="{44D3CB4A-6A78-4525-A605-114E338DAA4B}"/>
    <cellStyle name="Comma 3 5 8 5" xfId="8631" xr:uid="{04EB9625-A9F8-4A84-9A79-F78918DD081A}"/>
    <cellStyle name="Comma 3 5 8 6" xfId="11729" xr:uid="{EE100EAC-001C-4878-87E3-2A921FD24511}"/>
    <cellStyle name="Comma 3 5 8 7" xfId="13474" xr:uid="{BA82628C-C44F-497D-ADBE-C798FDFB9DF8}"/>
    <cellStyle name="Comma 3 5 9" xfId="1455" xr:uid="{C657938C-2FCE-42ED-A097-3038951F8204}"/>
    <cellStyle name="Comma 3 5 9 2" xfId="3683" xr:uid="{457143A2-D54D-4EBC-9EF2-2A240535B36E}"/>
    <cellStyle name="Comma 3 5 9 3" xfId="7101" xr:uid="{C1C0E253-1B22-42E1-8513-97C0C046B16C}"/>
    <cellStyle name="Comma 3 5 9 4" xfId="9127" xr:uid="{08861144-D60B-451B-9BB4-9177C32EEC1D}"/>
    <cellStyle name="Comma 3 5 9 5" xfId="12235" xr:uid="{43756C74-2089-4CB8-BB81-CDDDC749E1EB}"/>
    <cellStyle name="Comma 3 5 9 6" xfId="13980" xr:uid="{07B97923-2D03-455C-9133-FE26B1F92839}"/>
    <cellStyle name="Comma 3 6" xfId="247" xr:uid="{00000000-0005-0000-0000-0000D4000000}"/>
    <cellStyle name="Comma 3 6 10" xfId="2521" xr:uid="{F894E47F-88A2-411E-95D4-0E54DD07D913}"/>
    <cellStyle name="Comma 3 6 10 2" xfId="4697" xr:uid="{D9872D31-9F13-4A00-A433-493EE0D330B0}"/>
    <cellStyle name="Comma 3 6 10 3" xfId="6518" xr:uid="{7D10B3F9-F4A5-4FD4-B2CB-F73900BEC73D}"/>
    <cellStyle name="Comma 3 6 10 4" xfId="10143" xr:uid="{185300C6-66BA-421D-B95E-2970EC5405E8}"/>
    <cellStyle name="Comma 3 6 10 5" xfId="13480" xr:uid="{55E78DF2-A2DC-4BE6-A010-479EDE111ECE}"/>
    <cellStyle name="Comma 3 6 11" xfId="5173" xr:uid="{5C9ED968-44CA-4209-AD1B-BA47282BBBFD}"/>
    <cellStyle name="Comma 3 6 11 2" xfId="10645" xr:uid="{A8761A41-1DCB-4226-B3D1-9A5472FA7024}"/>
    <cellStyle name="Comma 3 6 12" xfId="5673" xr:uid="{6D86E632-0883-415E-96F8-87772B932CB7}"/>
    <cellStyle name="Comma 3 6 12 2" xfId="11147" xr:uid="{0386B21C-8874-4807-AC6A-314C0AC26A51}"/>
    <cellStyle name="Comma 3 6 13" xfId="6246" xr:uid="{FC9FCC0F-CEEA-48DF-9426-D034EFB2C20F}"/>
    <cellStyle name="Comma 3 6 14" xfId="2709" xr:uid="{62664D31-DA41-46ED-981A-E00EC8FC7439}"/>
    <cellStyle name="Comma 3 6 15" xfId="8125" xr:uid="{78D1FCE6-A917-4FE9-9A4B-697F38DA2DF2}"/>
    <cellStyle name="Comma 3 6 16" xfId="11735" xr:uid="{BC2E9094-24AA-4E6C-9EB3-3FDD997AD109}"/>
    <cellStyle name="Comma 3 6 17" xfId="555" xr:uid="{78C6F89B-D7BB-420A-85B8-5334F1ACFE72}"/>
    <cellStyle name="Comma 3 6 2" xfId="989" xr:uid="{CD92CCEE-337B-455E-8DA5-3EB720EB73DC}"/>
    <cellStyle name="Comma 3 6 2 10" xfId="2735" xr:uid="{81615A2E-948F-4E13-8F01-7E467EE90705}"/>
    <cellStyle name="Comma 3 6 2 11" xfId="6635" xr:uid="{9CCD20D6-758A-4036-A632-8394F1817638}"/>
    <cellStyle name="Comma 3 6 2 12" xfId="8159" xr:uid="{2B143D26-AC3B-4714-8B33-239213FC6D38}"/>
    <cellStyle name="Comma 3 6 2 13" xfId="11769" xr:uid="{023444A0-066F-4262-895B-AA6855765258}"/>
    <cellStyle name="Comma 3 6 2 14" xfId="13514" xr:uid="{075F0478-C9A7-49A9-BBED-E08A1E6BE4FB}"/>
    <cellStyle name="Comma 3 6 2 2" xfId="1036" xr:uid="{7FF260E3-78F4-4609-A4D3-DCB94AF233B5}"/>
    <cellStyle name="Comma 3 6 2 2 10" xfId="6682" xr:uid="{BB94D087-A166-4FD5-BCFA-D6F527CF0216}"/>
    <cellStyle name="Comma 3 6 2 2 11" xfId="8206" xr:uid="{C0214C76-2CDB-4608-8559-3E80EC800366}"/>
    <cellStyle name="Comma 3 6 2 2 12" xfId="11816" xr:uid="{74063EAF-69C4-4599-87BB-448D877FB7D9}"/>
    <cellStyle name="Comma 3 6 2 2 13" xfId="13561" xr:uid="{2E73BC14-BE4A-46A9-A6D4-4AF7C55F19B0}"/>
    <cellStyle name="Comma 3 6 2 2 2" xfId="1160" xr:uid="{068B2608-697C-42F5-B67F-A7838ACFCC7D}"/>
    <cellStyle name="Comma 3 6 2 2 2 10" xfId="8330" xr:uid="{39F56ADA-08F4-4D57-9197-2E82FD446592}"/>
    <cellStyle name="Comma 3 6 2 2 2 11" xfId="11940" xr:uid="{5DB590EF-C73D-4A41-8DCD-1C2837970351}"/>
    <cellStyle name="Comma 3 6 2 2 2 12" xfId="13685" xr:uid="{7376AE61-A196-4C0E-A3DB-D6A0D24296E8}"/>
    <cellStyle name="Comma 3 6 2 2 2 2" xfId="1408" xr:uid="{20A750CD-4240-4143-B96F-5D76A83BEC60}"/>
    <cellStyle name="Comma 3 6 2 2 2 2 10" xfId="12188" xr:uid="{F6DED721-CCD9-4B09-BF2C-EE397AF28E2A}"/>
    <cellStyle name="Comma 3 6 2 2 2 2 11" xfId="13933" xr:uid="{1E6793B0-1FB7-4D08-8010-22F535899697}"/>
    <cellStyle name="Comma 3 6 2 2 2 2 2" xfId="1914" xr:uid="{8CEB4AB5-4E3F-4118-9628-793389B0E975}"/>
    <cellStyle name="Comma 3 6 2 2 2 2 2 2" xfId="4636" xr:uid="{3DA1B97F-082F-40C8-ADA3-8DD53B6EBA63}"/>
    <cellStyle name="Comma 3 6 2 2 2 2 2 2 2" xfId="10082" xr:uid="{38C906E3-E6F8-439B-8DC1-E2A0F432B93B}"/>
    <cellStyle name="Comma 3 6 2 2 2 2 2 3" xfId="3626" xr:uid="{393390D2-B4A7-4B9B-9DB6-DBEC7F6A35A2}"/>
    <cellStyle name="Comma 3 6 2 2 2 2 2 4" xfId="7560" xr:uid="{857273CF-A0B8-4223-9876-443A34521F02}"/>
    <cellStyle name="Comma 3 6 2 2 2 2 2 5" xfId="9074" xr:uid="{C890219F-BB56-4EC3-914A-844F87C61EFC}"/>
    <cellStyle name="Comma 3 6 2 2 2 2 2 6" xfId="12694" xr:uid="{E2E30A35-3627-4C4D-BCBE-BCF5ED2CF11C}"/>
    <cellStyle name="Comma 3 6 2 2 2 2 2 7" xfId="14439" xr:uid="{4B3CC822-0528-4033-A171-55E7AE4E6D47}"/>
    <cellStyle name="Comma 3 6 2 2 2 2 3" xfId="2422" xr:uid="{7E3E9A2A-362B-46BC-9F0F-6883A5B33306}"/>
    <cellStyle name="Comma 3 6 2 2 2 2 3 2" xfId="4142" xr:uid="{10173316-5B9D-495A-9F07-C7DE2075F015}"/>
    <cellStyle name="Comma 3 6 2 2 2 2 3 3" xfId="8068" xr:uid="{ADDDBFCB-D7A7-48EE-8A1B-B697F1384CE4}"/>
    <cellStyle name="Comma 3 6 2 2 2 2 3 4" xfId="9586" xr:uid="{39237C52-FD67-45DA-8B56-D10F6ECF0A8D}"/>
    <cellStyle name="Comma 3 6 2 2 2 2 3 5" xfId="13200" xr:uid="{28F42468-CD56-4F0C-9154-A8CA6BBFDA9D}"/>
    <cellStyle name="Comma 3 6 2 2 2 2 3 6" xfId="14945" xr:uid="{78874673-67E6-4749-B7E4-1D02F3DBCDA2}"/>
    <cellStyle name="Comma 3 6 2 2 2 2 4" xfId="5114" xr:uid="{6FF296D3-A513-467C-8D7E-BFDCCBAEA141}"/>
    <cellStyle name="Comma 3 6 2 2 2 2 4 2" xfId="10584" xr:uid="{29D9094A-F248-4472-8FF4-D087FF00E60C}"/>
    <cellStyle name="Comma 3 6 2 2 2 2 5" xfId="5612" xr:uid="{FE0A8FB1-87B7-4C43-8E01-403DB5D20032}"/>
    <cellStyle name="Comma 3 6 2 2 2 2 5 2" xfId="11086" xr:uid="{2C5D6CF2-6E40-4C83-A250-204DD6525C37}"/>
    <cellStyle name="Comma 3 6 2 2 2 2 6" xfId="6114" xr:uid="{31690E7E-478A-48BA-B58F-DFF25D7EADD7}"/>
    <cellStyle name="Comma 3 6 2 2 2 2 6 2" xfId="11588" xr:uid="{B36E6708-37EE-4D59-9785-FF6DDA82DED5}"/>
    <cellStyle name="Comma 3 6 2 2 2 2 7" xfId="3132" xr:uid="{01EE1D40-48C7-4065-8138-C9988A88805E}"/>
    <cellStyle name="Comma 3 6 2 2 2 2 8" xfId="7054" xr:uid="{03E431F7-91A8-42CB-81A1-A7A89F34C6D5}"/>
    <cellStyle name="Comma 3 6 2 2 2 2 9" xfId="8578" xr:uid="{4DA28014-C895-4127-8CEF-68DFC7EC0C56}"/>
    <cellStyle name="Comma 3 6 2 2 2 3" xfId="1666" xr:uid="{16CF27CA-C8F0-48BF-8A9F-6FD89C51E271}"/>
    <cellStyle name="Comma 3 6 2 2 2 3 2" xfId="4388" xr:uid="{5942F689-A29D-40BB-B8E7-7F8B82AF2299}"/>
    <cellStyle name="Comma 3 6 2 2 2 3 2 2" xfId="9834" xr:uid="{F3BD43A4-5950-499E-B55F-61D585CC2708}"/>
    <cellStyle name="Comma 3 6 2 2 2 3 3" xfId="3378" xr:uid="{07F7057C-CB0A-4D96-BEF7-2E402A16085B}"/>
    <cellStyle name="Comma 3 6 2 2 2 3 4" xfId="7312" xr:uid="{D16C8174-717D-4BB9-9748-6FC8EED92B05}"/>
    <cellStyle name="Comma 3 6 2 2 2 3 5" xfId="8826" xr:uid="{072C470C-DEF8-4625-AFAC-71754874B4AE}"/>
    <cellStyle name="Comma 3 6 2 2 2 3 6" xfId="12446" xr:uid="{385CC87F-72C9-4DCA-BB84-665B072B5C75}"/>
    <cellStyle name="Comma 3 6 2 2 2 3 7" xfId="14191" xr:uid="{FC2D76EA-0EA8-4C37-ADCA-9E50647F27BA}"/>
    <cellStyle name="Comma 3 6 2 2 2 4" xfId="2174" xr:uid="{B647AA17-D27F-4CB0-9109-5599C5AE0F64}"/>
    <cellStyle name="Comma 3 6 2 2 2 4 2" xfId="3894" xr:uid="{6427221B-5B89-44D5-AAD8-E31B56626ADE}"/>
    <cellStyle name="Comma 3 6 2 2 2 4 3" xfId="7820" xr:uid="{81F78D49-BAA3-4AAF-8D65-E67364699C33}"/>
    <cellStyle name="Comma 3 6 2 2 2 4 4" xfId="9338" xr:uid="{F1858B26-45BC-41CC-B546-DC502FA461E2}"/>
    <cellStyle name="Comma 3 6 2 2 2 4 5" xfId="12952" xr:uid="{86F5A424-C5F2-4EDD-ABEF-AF9F221ADADA}"/>
    <cellStyle name="Comma 3 6 2 2 2 4 6" xfId="14697" xr:uid="{040FA5D4-F9ED-4B43-BEB1-5C0B89730EB0}"/>
    <cellStyle name="Comma 3 6 2 2 2 5" xfId="4875" xr:uid="{453D0A32-28D3-48AD-8CE7-58D566564C7E}"/>
    <cellStyle name="Comma 3 6 2 2 2 5 2" xfId="10336" xr:uid="{CD0777DF-7C72-4EA9-A1E7-DD89EC043B4A}"/>
    <cellStyle name="Comma 3 6 2 2 2 6" xfId="5364" xr:uid="{68E816FC-0526-4B78-8776-94B09739DCF0}"/>
    <cellStyle name="Comma 3 6 2 2 2 6 2" xfId="10838" xr:uid="{5694C235-98D9-4340-AD5F-96284B00F331}"/>
    <cellStyle name="Comma 3 6 2 2 2 7" xfId="5866" xr:uid="{62F129C9-4DE8-42C6-99C6-D00C4D5E6ADD}"/>
    <cellStyle name="Comma 3 6 2 2 2 7 2" xfId="11340" xr:uid="{3701CE8B-B3EF-4A25-8065-3B3BFFF5056A}"/>
    <cellStyle name="Comma 3 6 2 2 2 8" xfId="2891" xr:uid="{EF35F506-FDB5-499A-B0E7-46A27C9919C9}"/>
    <cellStyle name="Comma 3 6 2 2 2 9" xfId="6806" xr:uid="{EE77CFEE-4E9A-4BA0-9ECB-4739093F35C5}"/>
    <cellStyle name="Comma 3 6 2 2 3" xfId="1284" xr:uid="{CC4F0062-F34F-4C76-A6E6-510AA717AC8C}"/>
    <cellStyle name="Comma 3 6 2 2 3 10" xfId="12064" xr:uid="{B8573CE6-29C9-49A4-90D8-FA07652A3CCC}"/>
    <cellStyle name="Comma 3 6 2 2 3 11" xfId="13809" xr:uid="{46504868-10D2-4E5A-956F-FE1DE2A80372}"/>
    <cellStyle name="Comma 3 6 2 2 3 2" xfId="1790" xr:uid="{9F9E5475-9F8D-479D-9014-8DD5B98D3EAC}"/>
    <cellStyle name="Comma 3 6 2 2 3 2 2" xfId="4512" xr:uid="{8748DCE9-19D8-4BED-B019-373B40F3972B}"/>
    <cellStyle name="Comma 3 6 2 2 3 2 2 2" xfId="9958" xr:uid="{C5649478-E0A3-42B2-ACE5-213731C7CC30}"/>
    <cellStyle name="Comma 3 6 2 2 3 2 3" xfId="3502" xr:uid="{7381F53E-BEB7-4538-A8C5-4CE34B078942}"/>
    <cellStyle name="Comma 3 6 2 2 3 2 4" xfId="7436" xr:uid="{045B3FA5-02B2-46F2-B610-97BD12F38861}"/>
    <cellStyle name="Comma 3 6 2 2 3 2 5" xfId="8950" xr:uid="{12E19D1C-F421-4207-98C7-728AEE68210E}"/>
    <cellStyle name="Comma 3 6 2 2 3 2 6" xfId="12570" xr:uid="{42CEC2CB-290C-4C24-8060-0871CB186234}"/>
    <cellStyle name="Comma 3 6 2 2 3 2 7" xfId="14315" xr:uid="{46B7C7CE-A1E6-4EC2-B795-6439E57F0F57}"/>
    <cellStyle name="Comma 3 6 2 2 3 3" xfId="2298" xr:uid="{824F6EA5-5D2A-4982-988D-A7B6AF57F317}"/>
    <cellStyle name="Comma 3 6 2 2 3 3 2" xfId="4018" xr:uid="{E4A47DA6-19B7-43BF-8FB0-1A633C6E56BC}"/>
    <cellStyle name="Comma 3 6 2 2 3 3 3" xfId="7944" xr:uid="{2179D7AB-DE88-4360-AAE8-13B65EE46999}"/>
    <cellStyle name="Comma 3 6 2 2 3 3 4" xfId="9462" xr:uid="{9624E47D-6E49-48C7-95BD-1C4F4D5EEC51}"/>
    <cellStyle name="Comma 3 6 2 2 3 3 5" xfId="13076" xr:uid="{93989AF9-EAB3-4D48-A381-53D886162FB6}"/>
    <cellStyle name="Comma 3 6 2 2 3 3 6" xfId="14821" xr:uid="{04068373-E7C3-469F-B862-6F621A72FB1B}"/>
    <cellStyle name="Comma 3 6 2 2 3 4" xfId="4991" xr:uid="{5CE31446-C8BD-40EC-8219-7FCFE6F81F76}"/>
    <cellStyle name="Comma 3 6 2 2 3 4 2" xfId="10460" xr:uid="{A314F429-0512-4A68-AF0D-CEEF75049218}"/>
    <cellStyle name="Comma 3 6 2 2 3 5" xfId="5488" xr:uid="{42AEEE0F-C4DB-40AE-B7CA-A5CE085B6152}"/>
    <cellStyle name="Comma 3 6 2 2 3 5 2" xfId="10962" xr:uid="{DBBB4EED-A230-42C3-8E53-4E2254320D35}"/>
    <cellStyle name="Comma 3 6 2 2 3 6" xfId="5990" xr:uid="{0014698C-2D19-4E0D-99E5-D8E3ED1173DF}"/>
    <cellStyle name="Comma 3 6 2 2 3 6 2" xfId="11464" xr:uid="{A0A55316-A283-4814-AF8A-E8ED159392F6}"/>
    <cellStyle name="Comma 3 6 2 2 3 7" xfId="3009" xr:uid="{C0C874ED-21F8-4165-8769-3E5E55E81814}"/>
    <cellStyle name="Comma 3 6 2 2 3 8" xfId="6930" xr:uid="{A8541295-3760-4BB2-9DB7-3F46BA536ED9}"/>
    <cellStyle name="Comma 3 6 2 2 3 9" xfId="8454" xr:uid="{3AE778F4-A665-4C4F-AB37-78D97F3F9EC2}"/>
    <cellStyle name="Comma 3 6 2 2 4" xfId="1542" xr:uid="{974C018D-530F-46E7-8B71-12C204059BDD}"/>
    <cellStyle name="Comma 3 6 2 2 4 2" xfId="4265" xr:uid="{A984921C-934A-4434-8298-BCBD0FFF4A0F}"/>
    <cellStyle name="Comma 3 6 2 2 4 2 2" xfId="9710" xr:uid="{466EFFD7-B24E-48A1-A068-41A8A5BD22D7}"/>
    <cellStyle name="Comma 3 6 2 2 4 3" xfId="3255" xr:uid="{BCC92A21-5AE5-473D-B32F-B8F86C3D4134}"/>
    <cellStyle name="Comma 3 6 2 2 4 4" xfId="7188" xr:uid="{AC726420-B0AF-4AB2-9561-44AD47508FC8}"/>
    <cellStyle name="Comma 3 6 2 2 4 5" xfId="8702" xr:uid="{EC261EA1-3441-4BD8-A0A1-82AE91778AE8}"/>
    <cellStyle name="Comma 3 6 2 2 4 6" xfId="12322" xr:uid="{CA090B55-BBAD-409F-AB95-78CDFA8F7A05}"/>
    <cellStyle name="Comma 3 6 2 2 4 7" xfId="14067" xr:uid="{D711A907-358D-49BB-AA86-5EC6063CA30D}"/>
    <cellStyle name="Comma 3 6 2 2 5" xfId="2050" xr:uid="{71CC1716-F8F0-4E3B-8DC9-29E6AB26482C}"/>
    <cellStyle name="Comma 3 6 2 2 5 2" xfId="3770" xr:uid="{FF90505B-6B9D-42F3-80D0-E9444AA0F025}"/>
    <cellStyle name="Comma 3 6 2 2 5 3" xfId="7696" xr:uid="{AF7214E4-B642-4C02-A7A2-FCD347A11493}"/>
    <cellStyle name="Comma 3 6 2 2 5 4" xfId="9214" xr:uid="{B76BDCD3-F315-416C-805A-CD7C6A98F6AF}"/>
    <cellStyle name="Comma 3 6 2 2 5 5" xfId="12828" xr:uid="{59E11EA1-F09A-40C0-819D-A58D38E93366}"/>
    <cellStyle name="Comma 3 6 2 2 5 6" xfId="14573" xr:uid="{F6CDE029-6D79-44A7-887D-482CED039BED}"/>
    <cellStyle name="Comma 3 6 2 2 6" xfId="4761" xr:uid="{EF8F327A-5980-4053-8C9A-294B9B31DB2C}"/>
    <cellStyle name="Comma 3 6 2 2 6 2" xfId="10212" xr:uid="{F700AAEE-7C13-424E-A431-0902FF4F8687}"/>
    <cellStyle name="Comma 3 6 2 2 7" xfId="5240" xr:uid="{3A95E881-EBF7-49F9-8EB5-89E85BE638EA}"/>
    <cellStyle name="Comma 3 6 2 2 7 2" xfId="10714" xr:uid="{8C72A380-CED7-4C9A-8725-097902267EC8}"/>
    <cellStyle name="Comma 3 6 2 2 8" xfId="5742" xr:uid="{6D1302F5-BEE1-4E2C-91B0-3A5E6C0493FE}"/>
    <cellStyle name="Comma 3 6 2 2 8 2" xfId="11216" xr:uid="{CE65A9D7-9271-4016-B1C3-1721BC3BCA1E}"/>
    <cellStyle name="Comma 3 6 2 2 9" xfId="2777" xr:uid="{A95F0AAB-EEC7-4FEE-AC8C-444C140599E0}"/>
    <cellStyle name="Comma 3 6 2 3" xfId="1113" xr:uid="{28305463-3879-4C7D-B122-2033195956F0}"/>
    <cellStyle name="Comma 3 6 2 3 10" xfId="8283" xr:uid="{C477F4C3-155D-4879-A8B9-BE5E2086EB11}"/>
    <cellStyle name="Comma 3 6 2 3 11" xfId="11893" xr:uid="{003318A8-84EE-4409-801D-2930504E304D}"/>
    <cellStyle name="Comma 3 6 2 3 12" xfId="13638" xr:uid="{7BF307F4-213E-4D36-909D-CFAF50AF770B}"/>
    <cellStyle name="Comma 3 6 2 3 2" xfId="1361" xr:uid="{06AF3500-F9EF-40CF-9895-EDF5F227E67A}"/>
    <cellStyle name="Comma 3 6 2 3 2 10" xfId="12141" xr:uid="{8E4894FF-B438-4305-A8E1-AB07CBBA4C7F}"/>
    <cellStyle name="Comma 3 6 2 3 2 11" xfId="13886" xr:uid="{5056A1D1-927B-4189-A5D5-C9B7A865208D}"/>
    <cellStyle name="Comma 3 6 2 3 2 2" xfId="1867" xr:uid="{D1F335DD-1551-4CB1-A8CB-AB77604B580D}"/>
    <cellStyle name="Comma 3 6 2 3 2 2 2" xfId="4589" xr:uid="{6EB9FEC6-285C-4A43-819C-EA3F7B3A1ED1}"/>
    <cellStyle name="Comma 3 6 2 3 2 2 2 2" xfId="10035" xr:uid="{7F50A9DC-1884-4B44-974C-55DF23FE2842}"/>
    <cellStyle name="Comma 3 6 2 3 2 2 3" xfId="3579" xr:uid="{F387AED8-9AE0-4BFE-9FE7-D4511D527B18}"/>
    <cellStyle name="Comma 3 6 2 3 2 2 4" xfId="7513" xr:uid="{9E75CDD4-A7E4-493A-8EEB-26926338B332}"/>
    <cellStyle name="Comma 3 6 2 3 2 2 5" xfId="9027" xr:uid="{CB0ECF5E-3C35-457E-8335-1A4817DD0E78}"/>
    <cellStyle name="Comma 3 6 2 3 2 2 6" xfId="12647" xr:uid="{D58E9B6D-F04B-43EE-B181-6E60E2F5E95F}"/>
    <cellStyle name="Comma 3 6 2 3 2 2 7" xfId="14392" xr:uid="{55E1898C-AA59-4B3D-B295-A7A0D0D97AD6}"/>
    <cellStyle name="Comma 3 6 2 3 2 3" xfId="2375" xr:uid="{6B91BF96-7106-40EB-B27F-5CBDF40CFB88}"/>
    <cellStyle name="Comma 3 6 2 3 2 3 2" xfId="4095" xr:uid="{218337A0-A733-4300-9B89-A9BF00020C20}"/>
    <cellStyle name="Comma 3 6 2 3 2 3 3" xfId="8021" xr:uid="{682FCFE1-2188-49E1-8684-34E5638D0DE4}"/>
    <cellStyle name="Comma 3 6 2 3 2 3 4" xfId="9539" xr:uid="{13A640C3-2B6D-44BC-A7F2-56DBCD492EA2}"/>
    <cellStyle name="Comma 3 6 2 3 2 3 5" xfId="13153" xr:uid="{3D98275E-6DAF-4BF2-A76A-459B01CA064C}"/>
    <cellStyle name="Comma 3 6 2 3 2 3 6" xfId="14898" xr:uid="{8C955406-BCDC-4511-9F0F-A1B887621D9F}"/>
    <cellStyle name="Comma 3 6 2 3 2 4" xfId="5067" xr:uid="{6C146CA5-7992-41AA-A54B-4BE0BFDF4293}"/>
    <cellStyle name="Comma 3 6 2 3 2 4 2" xfId="10537" xr:uid="{FDC86709-3A1E-4F1C-90EA-B4730F97656D}"/>
    <cellStyle name="Comma 3 6 2 3 2 5" xfId="5565" xr:uid="{CDE43A14-3C63-4F4C-9763-4AECE72DB003}"/>
    <cellStyle name="Comma 3 6 2 3 2 5 2" xfId="11039" xr:uid="{E1393338-8359-4420-B699-B34F4660B46B}"/>
    <cellStyle name="Comma 3 6 2 3 2 6" xfId="6067" xr:uid="{A36C2E0B-4F76-4726-AB04-9076063E6981}"/>
    <cellStyle name="Comma 3 6 2 3 2 6 2" xfId="11541" xr:uid="{50610B18-F875-4A6D-873E-BF977FAF32AF}"/>
    <cellStyle name="Comma 3 6 2 3 2 7" xfId="3085" xr:uid="{E6E8C9E7-FD9C-4F27-A65F-F626F7BD2219}"/>
    <cellStyle name="Comma 3 6 2 3 2 8" xfId="7007" xr:uid="{64E6E18E-F99F-406A-9424-A8B64C227514}"/>
    <cellStyle name="Comma 3 6 2 3 2 9" xfId="8531" xr:uid="{B1B241A2-2B5F-4DAD-964B-DFC87E84193E}"/>
    <cellStyle name="Comma 3 6 2 3 3" xfId="1619" xr:uid="{5BB834F5-41CF-4D05-9246-634101628263}"/>
    <cellStyle name="Comma 3 6 2 3 3 2" xfId="4341" xr:uid="{966CDEC9-88B0-4975-9C75-97145DD1F459}"/>
    <cellStyle name="Comma 3 6 2 3 3 2 2" xfId="9787" xr:uid="{0904435C-F7B0-49D6-8F82-2BE5F9AE4B58}"/>
    <cellStyle name="Comma 3 6 2 3 3 3" xfId="3331" xr:uid="{61CEDB7E-79E4-41C5-8565-8047D8EF70AA}"/>
    <cellStyle name="Comma 3 6 2 3 3 4" xfId="7265" xr:uid="{28F2D0BF-0919-4870-9C5A-C1F9BC5E9696}"/>
    <cellStyle name="Comma 3 6 2 3 3 5" xfId="8779" xr:uid="{7C4B067B-B8C9-4643-BD16-F5AC1641A016}"/>
    <cellStyle name="Comma 3 6 2 3 3 6" xfId="12399" xr:uid="{23C7E1B2-43C4-4EAC-ACD7-4D050A7976A4}"/>
    <cellStyle name="Comma 3 6 2 3 3 7" xfId="14144" xr:uid="{334874F3-7367-4995-8296-9120BF84A17B}"/>
    <cellStyle name="Comma 3 6 2 3 4" xfId="2127" xr:uid="{5E86815B-7F0D-49EA-B94D-C682A5678325}"/>
    <cellStyle name="Comma 3 6 2 3 4 2" xfId="3847" xr:uid="{D2D6A228-C55D-423B-BAF1-82C76704F848}"/>
    <cellStyle name="Comma 3 6 2 3 4 3" xfId="7773" xr:uid="{A8F06D42-8702-4D48-A2C5-7BCB3F0081ED}"/>
    <cellStyle name="Comma 3 6 2 3 4 4" xfId="9291" xr:uid="{97EFE31C-0F93-4E88-8E53-80F895D5ADF6}"/>
    <cellStyle name="Comma 3 6 2 3 4 5" xfId="12905" xr:uid="{3C249BCA-936D-4A3C-8AA4-41D3E68FDA27}"/>
    <cellStyle name="Comma 3 6 2 3 4 6" xfId="14650" xr:uid="{3184DAF5-B010-4F6D-8F7E-4F2338596337}"/>
    <cellStyle name="Comma 3 6 2 3 5" xfId="4831" xr:uid="{7AF24A6D-344F-455A-9BFF-F98E0ACCE511}"/>
    <cellStyle name="Comma 3 6 2 3 5 2" xfId="10289" xr:uid="{71AABCD7-7F9A-4474-88F2-04AEF5DF99D9}"/>
    <cellStyle name="Comma 3 6 2 3 6" xfId="5317" xr:uid="{1DCC9EB5-EAF0-42F3-BFB9-D48FB1AB3206}"/>
    <cellStyle name="Comma 3 6 2 3 6 2" xfId="10791" xr:uid="{A6DDB415-51CB-4609-9C69-A65DCCF0D227}"/>
    <cellStyle name="Comma 3 6 2 3 7" xfId="5819" xr:uid="{3985DED0-E581-4B88-A88A-E3F6055130F0}"/>
    <cellStyle name="Comma 3 6 2 3 7 2" xfId="11293" xr:uid="{DFBBB5D4-26AA-4D5F-88C4-F38C1709ACB8}"/>
    <cellStyle name="Comma 3 6 2 3 8" xfId="2847" xr:uid="{7907D136-582E-4D2B-9C5D-67B6840424D5}"/>
    <cellStyle name="Comma 3 6 2 3 9" xfId="6759" xr:uid="{EBCF5F96-90CA-45C9-9346-E67E44963376}"/>
    <cellStyle name="Comma 3 6 2 4" xfId="1237" xr:uid="{5CA77F9E-EA8E-4924-A99E-231432297C0E}"/>
    <cellStyle name="Comma 3 6 2 4 10" xfId="12017" xr:uid="{BCD53910-DC08-4D58-8595-7585E4DAFCA6}"/>
    <cellStyle name="Comma 3 6 2 4 11" xfId="13762" xr:uid="{585DE08C-EAE3-4F8C-A334-1B1851F2341F}"/>
    <cellStyle name="Comma 3 6 2 4 2" xfId="1743" xr:uid="{41BFCF3B-4385-4A5A-89CC-A112FA86B0B2}"/>
    <cellStyle name="Comma 3 6 2 4 2 2" xfId="4465" xr:uid="{7E87FD44-9201-440C-B882-F0FB9ECBE9FA}"/>
    <cellStyle name="Comma 3 6 2 4 2 2 2" xfId="9911" xr:uid="{BA8B72FC-FD90-4A58-827A-41DE153F17B6}"/>
    <cellStyle name="Comma 3 6 2 4 2 3" xfId="3455" xr:uid="{C2506310-8E89-4DE6-8018-13BF5FCDED3B}"/>
    <cellStyle name="Comma 3 6 2 4 2 4" xfId="7389" xr:uid="{E124C64F-6837-4677-818F-A2FEA675D6FB}"/>
    <cellStyle name="Comma 3 6 2 4 2 5" xfId="8903" xr:uid="{1F608D49-166E-4518-B131-316F01FE3237}"/>
    <cellStyle name="Comma 3 6 2 4 2 6" xfId="12523" xr:uid="{206FA54D-DB94-488C-95DF-863FCFF81677}"/>
    <cellStyle name="Comma 3 6 2 4 2 7" xfId="14268" xr:uid="{1A25A8DE-0E76-40CE-A74B-3F479DB19D60}"/>
    <cellStyle name="Comma 3 6 2 4 3" xfId="2251" xr:uid="{590DF4EC-2DF1-46F5-A775-774929F03B73}"/>
    <cellStyle name="Comma 3 6 2 4 3 2" xfId="3971" xr:uid="{DF36933A-37BB-486B-A658-8FB5440BE688}"/>
    <cellStyle name="Comma 3 6 2 4 3 3" xfId="7897" xr:uid="{01FDA018-4E28-4EBD-A523-F2B8A645B034}"/>
    <cellStyle name="Comma 3 6 2 4 3 4" xfId="9415" xr:uid="{1272BDAE-E166-4607-BE6C-99229EA1EFF8}"/>
    <cellStyle name="Comma 3 6 2 4 3 5" xfId="13029" xr:uid="{11C324D1-0006-4EEE-9092-A2518FC7153A}"/>
    <cellStyle name="Comma 3 6 2 4 3 6" xfId="14774" xr:uid="{902C41F5-19ED-4610-96FD-25DD1E06890E}"/>
    <cellStyle name="Comma 3 6 2 4 4" xfId="4947" xr:uid="{52AFE8ED-9D56-40FD-AF22-97638C82181D}"/>
    <cellStyle name="Comma 3 6 2 4 4 2" xfId="10413" xr:uid="{0F14F252-56A2-4693-B13B-483BC0026727}"/>
    <cellStyle name="Comma 3 6 2 4 5" xfId="5441" xr:uid="{368B2B6E-FEBB-4E5B-9936-4E25B75EF39F}"/>
    <cellStyle name="Comma 3 6 2 4 5 2" xfId="10915" xr:uid="{020C05DF-DFCE-4E0F-893C-80CE481EDD2A}"/>
    <cellStyle name="Comma 3 6 2 4 6" xfId="5943" xr:uid="{A1577C40-232D-46DF-9DEB-913C18FE19A4}"/>
    <cellStyle name="Comma 3 6 2 4 6 2" xfId="11417" xr:uid="{A91DDEB7-990C-4D87-8927-453A284D7844}"/>
    <cellStyle name="Comma 3 6 2 4 7" xfId="2965" xr:uid="{BE703589-46AC-41B3-9ED1-F2E06D71E1B7}"/>
    <cellStyle name="Comma 3 6 2 4 8" xfId="6883" xr:uid="{1AAB8B2C-993F-494D-A3E0-22E2AF88462A}"/>
    <cellStyle name="Comma 3 6 2 4 9" xfId="8407" xr:uid="{88B93B1B-A078-43C8-B8E1-37F41AB28ABD}"/>
    <cellStyle name="Comma 3 6 2 5" xfId="1495" xr:uid="{DD780196-48C6-49C2-AE53-0DA4C866CB7E}"/>
    <cellStyle name="Comma 3 6 2 5 2" xfId="4219" xr:uid="{99F16830-D399-4DA8-8024-9E78F5F3ACB3}"/>
    <cellStyle name="Comma 3 6 2 5 2 2" xfId="9663" xr:uid="{D0BEA908-548E-44FA-AB7D-2A64A6BA3540}"/>
    <cellStyle name="Comma 3 6 2 5 3" xfId="3209" xr:uid="{6347E9D2-701C-4AFC-9F49-56BD7CD41CEB}"/>
    <cellStyle name="Comma 3 6 2 5 4" xfId="7141" xr:uid="{4ABD8D23-800C-4F86-9800-943501879EF5}"/>
    <cellStyle name="Comma 3 6 2 5 5" xfId="8655" xr:uid="{531F4235-E4B0-47CB-B7E6-F3DBCBB4648D}"/>
    <cellStyle name="Comma 3 6 2 5 6" xfId="12275" xr:uid="{6574CAB5-4137-49E1-8307-13D49C4F0EA9}"/>
    <cellStyle name="Comma 3 6 2 5 7" xfId="14020" xr:uid="{D3D05EAD-D195-4B57-921D-BAB7A33EB71D}"/>
    <cellStyle name="Comma 3 6 2 6" xfId="2003" xr:uid="{7FB272C5-7796-4770-B507-3DC5AFECADEB}"/>
    <cellStyle name="Comma 3 6 2 6 2" xfId="3723" xr:uid="{D27AF8B3-335C-489B-A4AD-869BF1CA5648}"/>
    <cellStyle name="Comma 3 6 2 6 3" xfId="7649" xr:uid="{3F98C066-6DD8-4BFF-9C3C-0EE556EC759C}"/>
    <cellStyle name="Comma 3 6 2 6 4" xfId="9167" xr:uid="{93A38EBC-D884-4C6F-9455-589A30A65B4A}"/>
    <cellStyle name="Comma 3 6 2 6 5" xfId="12781" xr:uid="{D2CAC0F5-33CD-4617-B543-B0ACFBE4D976}"/>
    <cellStyle name="Comma 3 6 2 6 6" xfId="14526" xr:uid="{B86CCC69-FED3-4294-BBA5-D30D4A9FDF12}"/>
    <cellStyle name="Comma 3 6 2 7" xfId="4719" xr:uid="{01180593-23E9-4FB4-8482-13E16FD208FC}"/>
    <cellStyle name="Comma 3 6 2 7 2" xfId="10165" xr:uid="{7C8FED33-F7C4-4C0E-B368-CE822AE27CFA}"/>
    <cellStyle name="Comma 3 6 2 8" xfId="5193" xr:uid="{BADC75D6-402B-4261-BDEB-90EDB24CE10B}"/>
    <cellStyle name="Comma 3 6 2 8 2" xfId="10667" xr:uid="{DE66F3F1-DBA9-4315-B429-5C05C3E6229E}"/>
    <cellStyle name="Comma 3 6 2 9" xfId="5695" xr:uid="{2EC5859D-5084-471E-ACE3-2BFAD7A9457A}"/>
    <cellStyle name="Comma 3 6 2 9 2" xfId="11169" xr:uid="{A1CEDB18-E89A-4C9A-A203-7919876BB391}"/>
    <cellStyle name="Comma 3 6 3" xfId="1009" xr:uid="{B7D0ADF8-CE4D-4A64-AE36-AE6D1FCAD38F}"/>
    <cellStyle name="Comma 3 6 3 10" xfId="2753" xr:uid="{61E8307E-4E8F-45E2-9C18-0E0EE13BEA3A}"/>
    <cellStyle name="Comma 3 6 3 11" xfId="6655" xr:uid="{C66BF911-7856-41C1-AE0C-CFABF4E6BE90}"/>
    <cellStyle name="Comma 3 6 3 12" xfId="8179" xr:uid="{00FDCA90-C2CB-45AB-B576-D25023EE1D42}"/>
    <cellStyle name="Comma 3 6 3 13" xfId="11789" xr:uid="{C14C4CA3-FB21-45DD-A944-C7805E67B1C7}"/>
    <cellStyle name="Comma 3 6 3 14" xfId="13534" xr:uid="{FE485111-2EC5-4088-9A42-F699DB1155A6}"/>
    <cellStyle name="Comma 3 6 3 2" xfId="1037" xr:uid="{EB60AF19-452A-45BA-BB84-718E33987B7D}"/>
    <cellStyle name="Comma 3 6 3 2 10" xfId="6683" xr:uid="{AF0CA82B-88CF-4CA2-B435-7CC1966CD7F5}"/>
    <cellStyle name="Comma 3 6 3 2 11" xfId="8207" xr:uid="{B2A19A3A-44DA-45CD-9A09-843D5CD470BF}"/>
    <cellStyle name="Comma 3 6 3 2 12" xfId="11817" xr:uid="{12AB61C4-2CA6-43B6-B1E6-62307EE522A6}"/>
    <cellStyle name="Comma 3 6 3 2 13" xfId="13562" xr:uid="{56BA23B8-D3F4-45C3-B81B-23B593C96021}"/>
    <cellStyle name="Comma 3 6 3 2 2" xfId="1161" xr:uid="{58B634CB-0CC1-4158-AC55-8CA1B0D558C6}"/>
    <cellStyle name="Comma 3 6 3 2 2 10" xfId="8331" xr:uid="{4CF44D0E-26AC-46F5-AD91-4A2984203114}"/>
    <cellStyle name="Comma 3 6 3 2 2 11" xfId="11941" xr:uid="{BE83EEDD-4BB3-4FF5-9E53-90F0F8960200}"/>
    <cellStyle name="Comma 3 6 3 2 2 12" xfId="13686" xr:uid="{7E577D47-F6E9-4418-9B9F-80702646F995}"/>
    <cellStyle name="Comma 3 6 3 2 2 2" xfId="1409" xr:uid="{8BB85F1E-D542-4ACD-AC17-C4C48BB6C5E9}"/>
    <cellStyle name="Comma 3 6 3 2 2 2 10" xfId="12189" xr:uid="{8FE8EB82-B26F-4036-8860-557083C0C7DA}"/>
    <cellStyle name="Comma 3 6 3 2 2 2 11" xfId="13934" xr:uid="{015B7722-8CB9-4420-B251-DEF806419DD4}"/>
    <cellStyle name="Comma 3 6 3 2 2 2 2" xfId="1915" xr:uid="{5CBC327F-1198-4C05-A7A2-E980E71FA37E}"/>
    <cellStyle name="Comma 3 6 3 2 2 2 2 2" xfId="4637" xr:uid="{2EA6D72A-54E5-412E-B8CD-392EB929D17C}"/>
    <cellStyle name="Comma 3 6 3 2 2 2 2 2 2" xfId="10083" xr:uid="{00FCE844-F24B-4C9A-8775-616CBF0F6FB5}"/>
    <cellStyle name="Comma 3 6 3 2 2 2 2 3" xfId="3627" xr:uid="{9BAE4006-2D6A-4867-B320-A388532A7DDE}"/>
    <cellStyle name="Comma 3 6 3 2 2 2 2 4" xfId="7561" xr:uid="{E046366B-5FB1-49B5-BF17-BE0C9F3C9671}"/>
    <cellStyle name="Comma 3 6 3 2 2 2 2 5" xfId="9075" xr:uid="{69E0C5BD-583B-413D-AF9A-9DA67AC8485C}"/>
    <cellStyle name="Comma 3 6 3 2 2 2 2 6" xfId="12695" xr:uid="{73211FA4-1EFF-459E-860C-CED56C736EFB}"/>
    <cellStyle name="Comma 3 6 3 2 2 2 2 7" xfId="14440" xr:uid="{12FFC30C-1167-4751-A9F6-06E6D2DEC6B3}"/>
    <cellStyle name="Comma 3 6 3 2 2 2 3" xfId="2423" xr:uid="{E82A90A3-4502-4936-8A30-3B9DAF07AAE1}"/>
    <cellStyle name="Comma 3 6 3 2 2 2 3 2" xfId="4143" xr:uid="{F05BA803-1C50-4CD1-A856-BC99113FF600}"/>
    <cellStyle name="Comma 3 6 3 2 2 2 3 3" xfId="8069" xr:uid="{1D641F4F-C0B2-4664-B897-EC417E443A01}"/>
    <cellStyle name="Comma 3 6 3 2 2 2 3 4" xfId="9587" xr:uid="{78003D69-A68B-4F0D-BD89-7F011276AD1B}"/>
    <cellStyle name="Comma 3 6 3 2 2 2 3 5" xfId="13201" xr:uid="{59ED2976-906A-41E9-9CAD-E6238275DD90}"/>
    <cellStyle name="Comma 3 6 3 2 2 2 3 6" xfId="14946" xr:uid="{758C9D2B-A9A3-4CE0-9EF0-BB53F1029E52}"/>
    <cellStyle name="Comma 3 6 3 2 2 2 4" xfId="5115" xr:uid="{88ED2A7B-4D04-4D33-B15D-ABC7BE2B4A73}"/>
    <cellStyle name="Comma 3 6 3 2 2 2 4 2" xfId="10585" xr:uid="{D2249958-980E-4A77-94CC-9B136438400B}"/>
    <cellStyle name="Comma 3 6 3 2 2 2 5" xfId="5613" xr:uid="{134CE014-BCE6-4938-93AE-3B9ABF683F75}"/>
    <cellStyle name="Comma 3 6 3 2 2 2 5 2" xfId="11087" xr:uid="{64CEEE43-6C11-4433-A044-95404B06A579}"/>
    <cellStyle name="Comma 3 6 3 2 2 2 6" xfId="6115" xr:uid="{0FC6138A-DE7D-4B5E-905A-BBC58C3D74E4}"/>
    <cellStyle name="Comma 3 6 3 2 2 2 6 2" xfId="11589" xr:uid="{1CF833E7-287E-4E14-B65D-03510EB3EDBF}"/>
    <cellStyle name="Comma 3 6 3 2 2 2 7" xfId="3133" xr:uid="{D13E8F8C-2C90-4253-BE31-3438E4ECB920}"/>
    <cellStyle name="Comma 3 6 3 2 2 2 8" xfId="7055" xr:uid="{BBB0D950-386D-4FC0-A01A-FFCD828025C9}"/>
    <cellStyle name="Comma 3 6 3 2 2 2 9" xfId="8579" xr:uid="{D1F39E17-29F6-4C2E-9585-BF64395E9B19}"/>
    <cellStyle name="Comma 3 6 3 2 2 3" xfId="1667" xr:uid="{C30B6D03-E960-4692-8912-0205A176682F}"/>
    <cellStyle name="Comma 3 6 3 2 2 3 2" xfId="4389" xr:uid="{AC016D1A-2D27-4EF9-8046-D823CF2C2DAE}"/>
    <cellStyle name="Comma 3 6 3 2 2 3 2 2" xfId="9835" xr:uid="{DA5F8771-5F72-4633-ADCF-47B00BE08603}"/>
    <cellStyle name="Comma 3 6 3 2 2 3 3" xfId="3379" xr:uid="{44D9E261-DEC9-4632-8611-1CB54B49C53B}"/>
    <cellStyle name="Comma 3 6 3 2 2 3 4" xfId="7313" xr:uid="{BC10F799-091A-4274-A0FE-3BE7044E791A}"/>
    <cellStyle name="Comma 3 6 3 2 2 3 5" xfId="8827" xr:uid="{5C1970C5-5045-420C-B634-F8010B9DA4D3}"/>
    <cellStyle name="Comma 3 6 3 2 2 3 6" xfId="12447" xr:uid="{122A7BEB-A633-4E08-BF9E-F3BAD2397F45}"/>
    <cellStyle name="Comma 3 6 3 2 2 3 7" xfId="14192" xr:uid="{56D155A3-2A2F-40E9-82A7-AAD0BC44FB97}"/>
    <cellStyle name="Comma 3 6 3 2 2 4" xfId="2175" xr:uid="{B2DC3801-EB0B-4A66-B25E-D9E3066DFB30}"/>
    <cellStyle name="Comma 3 6 3 2 2 4 2" xfId="3895" xr:uid="{17E70FAE-12BF-444B-8D43-786414A5E05E}"/>
    <cellStyle name="Comma 3 6 3 2 2 4 3" xfId="7821" xr:uid="{F60F940E-2408-4785-9B79-007C0522B5D0}"/>
    <cellStyle name="Comma 3 6 3 2 2 4 4" xfId="9339" xr:uid="{A33224C8-FF0B-4ADF-8147-9A5CC1B6E090}"/>
    <cellStyle name="Comma 3 6 3 2 2 4 5" xfId="12953" xr:uid="{0F672366-DF76-4964-8DD1-12822270F31D}"/>
    <cellStyle name="Comma 3 6 3 2 2 4 6" xfId="14698" xr:uid="{42F109CF-7039-419A-BE71-CAC80DBA9554}"/>
    <cellStyle name="Comma 3 6 3 2 2 5" xfId="4876" xr:uid="{12DC0EA9-E8AE-46FB-AEEE-4795B177B857}"/>
    <cellStyle name="Comma 3 6 3 2 2 5 2" xfId="10337" xr:uid="{CE0FC5E9-0136-4E2D-B842-61104792E109}"/>
    <cellStyle name="Comma 3 6 3 2 2 6" xfId="5365" xr:uid="{43877A49-514A-4E18-AFA5-B8DA20CA0D97}"/>
    <cellStyle name="Comma 3 6 3 2 2 6 2" xfId="10839" xr:uid="{99E75C95-F19F-4B13-B761-17881855F4AF}"/>
    <cellStyle name="Comma 3 6 3 2 2 7" xfId="5867" xr:uid="{9BFD3C03-20F1-4359-A858-6E02809ECBE7}"/>
    <cellStyle name="Comma 3 6 3 2 2 7 2" xfId="11341" xr:uid="{4BFE2EE8-2F1E-4E10-B251-F7A80FDBC0E5}"/>
    <cellStyle name="Comma 3 6 3 2 2 8" xfId="2892" xr:uid="{625290A3-E80E-443D-8B0F-8199B3FFB293}"/>
    <cellStyle name="Comma 3 6 3 2 2 9" xfId="6807" xr:uid="{104BBDB8-B2A4-416F-A0CF-77D111BC05F5}"/>
    <cellStyle name="Comma 3 6 3 2 3" xfId="1285" xr:uid="{9481F63B-0841-4D67-8C70-74B44902D694}"/>
    <cellStyle name="Comma 3 6 3 2 3 10" xfId="12065" xr:uid="{33682555-DA5F-417E-9EF0-2721940F8AA3}"/>
    <cellStyle name="Comma 3 6 3 2 3 11" xfId="13810" xr:uid="{18C0B5D1-EAA5-474A-B5A4-CD29C0416C05}"/>
    <cellStyle name="Comma 3 6 3 2 3 2" xfId="1791" xr:uid="{99AC1B97-D5D1-48D6-B9D0-4D1E90EA884D}"/>
    <cellStyle name="Comma 3 6 3 2 3 2 2" xfId="4513" xr:uid="{6EC843A4-B253-450B-AC12-97E41F849B3C}"/>
    <cellStyle name="Comma 3 6 3 2 3 2 2 2" xfId="9959" xr:uid="{934FBC13-7EE2-4661-B7B2-871C8D2CEF95}"/>
    <cellStyle name="Comma 3 6 3 2 3 2 3" xfId="3503" xr:uid="{1831C8A2-3E49-4BF4-9A15-67F660F98935}"/>
    <cellStyle name="Comma 3 6 3 2 3 2 4" xfId="7437" xr:uid="{DC788960-F28E-43A7-9D8D-9336994593E6}"/>
    <cellStyle name="Comma 3 6 3 2 3 2 5" xfId="8951" xr:uid="{5B9E9F8C-624E-478B-984E-3E1A80358054}"/>
    <cellStyle name="Comma 3 6 3 2 3 2 6" xfId="12571" xr:uid="{B2175CA4-83AB-4969-8722-07D89AC942D0}"/>
    <cellStyle name="Comma 3 6 3 2 3 2 7" xfId="14316" xr:uid="{4662F397-058F-4FB2-9119-C09F9E1573DB}"/>
    <cellStyle name="Comma 3 6 3 2 3 3" xfId="2299" xr:uid="{0374AA26-4D17-4472-B743-9072E2970C73}"/>
    <cellStyle name="Comma 3 6 3 2 3 3 2" xfId="4019" xr:uid="{77756EB9-CC08-4C74-8AAB-156659CDA24A}"/>
    <cellStyle name="Comma 3 6 3 2 3 3 3" xfId="7945" xr:uid="{7E39C165-EE1C-440D-AA08-8C3007683460}"/>
    <cellStyle name="Comma 3 6 3 2 3 3 4" xfId="9463" xr:uid="{CAD89052-9867-4421-9BBE-2DDA7B6D8741}"/>
    <cellStyle name="Comma 3 6 3 2 3 3 5" xfId="13077" xr:uid="{F8390BE2-9CA6-430D-9FB0-55CA7B42E2F5}"/>
    <cellStyle name="Comma 3 6 3 2 3 3 6" xfId="14822" xr:uid="{2591D835-8048-4F31-9A17-A5D01E014C58}"/>
    <cellStyle name="Comma 3 6 3 2 3 4" xfId="4992" xr:uid="{6F273BBE-8456-4F44-8D1C-144382E90F82}"/>
    <cellStyle name="Comma 3 6 3 2 3 4 2" xfId="10461" xr:uid="{F7B4A206-CC2F-4A97-B39C-E29C55B313CA}"/>
    <cellStyle name="Comma 3 6 3 2 3 5" xfId="5489" xr:uid="{7089C244-9340-4952-B561-24727FB3385C}"/>
    <cellStyle name="Comma 3 6 3 2 3 5 2" xfId="10963" xr:uid="{44FB7799-32D2-4316-B6A9-B2870C35B709}"/>
    <cellStyle name="Comma 3 6 3 2 3 6" xfId="5991" xr:uid="{AF7547DE-884C-48AF-94B2-17E456834E02}"/>
    <cellStyle name="Comma 3 6 3 2 3 6 2" xfId="11465" xr:uid="{8880B606-6269-409E-ACAF-EABF99242F2D}"/>
    <cellStyle name="Comma 3 6 3 2 3 7" xfId="3010" xr:uid="{D542EB81-99A5-4AEF-A6ED-B01B4EFEE7C3}"/>
    <cellStyle name="Comma 3 6 3 2 3 8" xfId="6931" xr:uid="{EC487FBB-DACD-4A72-850F-A3EB177929E0}"/>
    <cellStyle name="Comma 3 6 3 2 3 9" xfId="8455" xr:uid="{CB46DD95-2AEC-4954-B181-24ED529E4690}"/>
    <cellStyle name="Comma 3 6 3 2 4" xfId="1543" xr:uid="{F458BAAF-CBA3-4785-875A-F7FF16DF870C}"/>
    <cellStyle name="Comma 3 6 3 2 4 2" xfId="4266" xr:uid="{48A4533F-3BAA-4716-8728-BC1D1A4EA19F}"/>
    <cellStyle name="Comma 3 6 3 2 4 2 2" xfId="9711" xr:uid="{6E3C4268-A962-47F4-9097-CFC00C8CA9E6}"/>
    <cellStyle name="Comma 3 6 3 2 4 3" xfId="3256" xr:uid="{3373D183-3BE7-4BFB-BEEB-37BE5815CDF4}"/>
    <cellStyle name="Comma 3 6 3 2 4 4" xfId="7189" xr:uid="{4600E751-5B6A-40E9-82E2-69752728A6DC}"/>
    <cellStyle name="Comma 3 6 3 2 4 5" xfId="8703" xr:uid="{75128D6B-195B-4CA2-8FB4-7F08ABF8BE25}"/>
    <cellStyle name="Comma 3 6 3 2 4 6" xfId="12323" xr:uid="{A6D1578A-C2A3-4839-A99D-FADA39BD3A5B}"/>
    <cellStyle name="Comma 3 6 3 2 4 7" xfId="14068" xr:uid="{310AF98D-5421-4E2B-AF97-A6824FDF8DEC}"/>
    <cellStyle name="Comma 3 6 3 2 5" xfId="2051" xr:uid="{835EB06A-2CEF-4DA5-8704-CE9E217AEB97}"/>
    <cellStyle name="Comma 3 6 3 2 5 2" xfId="3771" xr:uid="{6BAB4AA2-BE09-403F-ACDF-B8C369A534F1}"/>
    <cellStyle name="Comma 3 6 3 2 5 3" xfId="7697" xr:uid="{9BCB49E6-B466-45D7-9DCA-FDCE881D0926}"/>
    <cellStyle name="Comma 3 6 3 2 5 4" xfId="9215" xr:uid="{E078044B-1578-48B5-AE43-072CC2151E11}"/>
    <cellStyle name="Comma 3 6 3 2 5 5" xfId="12829" xr:uid="{AB63BE71-F67E-493C-AD94-B36729F321DD}"/>
    <cellStyle name="Comma 3 6 3 2 5 6" xfId="14574" xr:uid="{C21CA083-2EB9-4B97-9A36-D8D502369760}"/>
    <cellStyle name="Comma 3 6 3 2 6" xfId="4762" xr:uid="{56F94105-3466-4240-82D3-3884A57E4435}"/>
    <cellStyle name="Comma 3 6 3 2 6 2" xfId="10213" xr:uid="{B6087400-8EAA-4E08-BE6E-DEF706DA946A}"/>
    <cellStyle name="Comma 3 6 3 2 7" xfId="5241" xr:uid="{99E87C48-670C-427A-ABCF-40D5EBD02FA2}"/>
    <cellStyle name="Comma 3 6 3 2 7 2" xfId="10715" xr:uid="{6262FC25-D7AF-4A31-90C5-A1300CACECBC}"/>
    <cellStyle name="Comma 3 6 3 2 8" xfId="5743" xr:uid="{7529EDA0-F0E7-4C98-A644-48273BC83F6E}"/>
    <cellStyle name="Comma 3 6 3 2 8 2" xfId="11217" xr:uid="{E62D466F-EDE8-4AAF-BF06-F871CCE2DE4D}"/>
    <cellStyle name="Comma 3 6 3 2 9" xfId="2778" xr:uid="{818DFAAB-C7CD-4194-A72F-6BB9D2EA83DA}"/>
    <cellStyle name="Comma 3 6 3 3" xfId="1133" xr:uid="{3C180AC6-F4A4-4823-9FDB-5BF8B6AE79F4}"/>
    <cellStyle name="Comma 3 6 3 3 10" xfId="8303" xr:uid="{9095C9F9-EA46-49C0-9E5D-02122E1E71B2}"/>
    <cellStyle name="Comma 3 6 3 3 11" xfId="11913" xr:uid="{5F6D9868-7F93-4FA8-B070-63710F1D84A0}"/>
    <cellStyle name="Comma 3 6 3 3 12" xfId="13658" xr:uid="{C4E5E40F-3A1F-4693-B589-D77EDBA2775D}"/>
    <cellStyle name="Comma 3 6 3 3 2" xfId="1381" xr:uid="{8153D588-B160-401B-87A6-5006D149157A}"/>
    <cellStyle name="Comma 3 6 3 3 2 10" xfId="12161" xr:uid="{657D1769-4D42-4FA6-B61D-C8236798878A}"/>
    <cellStyle name="Comma 3 6 3 3 2 11" xfId="13906" xr:uid="{C5587AA8-B472-48EB-8111-EAFF9CD31D6F}"/>
    <cellStyle name="Comma 3 6 3 3 2 2" xfId="1887" xr:uid="{3F3009F5-F852-4355-9374-215300EFBBDF}"/>
    <cellStyle name="Comma 3 6 3 3 2 2 2" xfId="4609" xr:uid="{8102B0A5-9BB1-4C2F-834C-F13B1D3F53FE}"/>
    <cellStyle name="Comma 3 6 3 3 2 2 2 2" xfId="10055" xr:uid="{8388F106-48F7-4A56-B640-DC563B95DCE5}"/>
    <cellStyle name="Comma 3 6 3 3 2 2 3" xfId="3599" xr:uid="{794F865A-9341-48FD-95B7-DF3BCCAA0008}"/>
    <cellStyle name="Comma 3 6 3 3 2 2 4" xfId="7533" xr:uid="{EE50F296-3563-414C-A820-2F699B54534C}"/>
    <cellStyle name="Comma 3 6 3 3 2 2 5" xfId="9047" xr:uid="{71E31131-9A57-4E45-8995-362BB51C02AB}"/>
    <cellStyle name="Comma 3 6 3 3 2 2 6" xfId="12667" xr:uid="{28531DB4-6627-4463-9EBF-9D2800B741BF}"/>
    <cellStyle name="Comma 3 6 3 3 2 2 7" xfId="14412" xr:uid="{E0243B1F-D9DD-47B6-915C-8BED295BF114}"/>
    <cellStyle name="Comma 3 6 3 3 2 3" xfId="2395" xr:uid="{AA4D4C08-6EFB-4A8D-99E6-1C2F78C8BDDC}"/>
    <cellStyle name="Comma 3 6 3 3 2 3 2" xfId="4115" xr:uid="{C6631F10-10C0-4B43-B093-3AD6E36D33B6}"/>
    <cellStyle name="Comma 3 6 3 3 2 3 3" xfId="8041" xr:uid="{C507C46C-6CBE-4856-94BF-8FA8D7501C13}"/>
    <cellStyle name="Comma 3 6 3 3 2 3 4" xfId="9559" xr:uid="{29CEF4BA-FE83-4AB4-8EBF-FCAB42483EAE}"/>
    <cellStyle name="Comma 3 6 3 3 2 3 5" xfId="13173" xr:uid="{B8738695-0051-4EA6-9AE9-658C7C2CDEC9}"/>
    <cellStyle name="Comma 3 6 3 3 2 3 6" xfId="14918" xr:uid="{D8D124B4-8FB6-42CF-AB1D-FFC524139416}"/>
    <cellStyle name="Comma 3 6 3 3 2 4" xfId="5087" xr:uid="{28232F60-21B4-4191-81B2-5B408C13EC8A}"/>
    <cellStyle name="Comma 3 6 3 3 2 4 2" xfId="10557" xr:uid="{36D4A9AC-5864-481D-8481-CB1F5DBB8320}"/>
    <cellStyle name="Comma 3 6 3 3 2 5" xfId="5585" xr:uid="{8D471FAD-97E3-4EE8-977B-34B48F1B758A}"/>
    <cellStyle name="Comma 3 6 3 3 2 5 2" xfId="11059" xr:uid="{C1D8854E-266C-4263-9E2F-7FB96805AA9E}"/>
    <cellStyle name="Comma 3 6 3 3 2 6" xfId="6087" xr:uid="{6B5CC099-B047-4D16-AA40-AA1B1E7FDF71}"/>
    <cellStyle name="Comma 3 6 3 3 2 6 2" xfId="11561" xr:uid="{0EB54A7F-30BB-49BD-AC9C-0E1ECAAB9252}"/>
    <cellStyle name="Comma 3 6 3 3 2 7" xfId="3105" xr:uid="{6B005D55-AC82-4039-BCA4-763649D9E76F}"/>
    <cellStyle name="Comma 3 6 3 3 2 8" xfId="7027" xr:uid="{CF5966B5-6511-4BDF-AC58-5E93AD073D6F}"/>
    <cellStyle name="Comma 3 6 3 3 2 9" xfId="8551" xr:uid="{6D1A410C-57CF-4561-BD6B-427E2521D36E}"/>
    <cellStyle name="Comma 3 6 3 3 3" xfId="1639" xr:uid="{BF468B3E-CA6A-4C6D-8EEE-E9CB789380AF}"/>
    <cellStyle name="Comma 3 6 3 3 3 2" xfId="4361" xr:uid="{05A5C1B4-3749-4898-985E-DF128CA264F2}"/>
    <cellStyle name="Comma 3 6 3 3 3 2 2" xfId="9807" xr:uid="{36F53E49-78C2-45FB-9DB4-A231FD3FB6CD}"/>
    <cellStyle name="Comma 3 6 3 3 3 3" xfId="3351" xr:uid="{B95B5710-D7FA-4825-9FE0-1A18CC90BF90}"/>
    <cellStyle name="Comma 3 6 3 3 3 4" xfId="7285" xr:uid="{03B723DB-6649-472F-854D-68FD052FE639}"/>
    <cellStyle name="Comma 3 6 3 3 3 5" xfId="8799" xr:uid="{64FA4DCA-60FB-4048-9471-5C060E858297}"/>
    <cellStyle name="Comma 3 6 3 3 3 6" xfId="12419" xr:uid="{8E0F997A-BC57-43DF-9521-30314A3C1936}"/>
    <cellStyle name="Comma 3 6 3 3 3 7" xfId="14164" xr:uid="{41623528-6E31-4FC8-B6AC-54B8831A9026}"/>
    <cellStyle name="Comma 3 6 3 3 4" xfId="2147" xr:uid="{1322D3C4-3DD8-44FD-99CF-4A8D1220B560}"/>
    <cellStyle name="Comma 3 6 3 3 4 2" xfId="3867" xr:uid="{960C31FD-E9EB-4B08-B14F-18DAC4816EC1}"/>
    <cellStyle name="Comma 3 6 3 3 4 3" xfId="7793" xr:uid="{6848DB4E-B7D6-40D0-BC2A-700DD1D642B7}"/>
    <cellStyle name="Comma 3 6 3 3 4 4" xfId="9311" xr:uid="{A2719A3D-028D-4D0D-94B0-BB518C694DBC}"/>
    <cellStyle name="Comma 3 6 3 3 4 5" xfId="12925" xr:uid="{4BAFB05E-1989-4426-8C37-7406FD8FB2C5}"/>
    <cellStyle name="Comma 3 6 3 3 4 6" xfId="14670" xr:uid="{7B5D3B64-77DD-42A4-AE2B-0586F46E40F5}"/>
    <cellStyle name="Comma 3 6 3 3 5" xfId="4849" xr:uid="{4A176944-C858-4B94-B8AA-96B2F774D0A9}"/>
    <cellStyle name="Comma 3 6 3 3 5 2" xfId="10309" xr:uid="{D1337AFA-1FC8-46C4-949D-9360DE6398F1}"/>
    <cellStyle name="Comma 3 6 3 3 6" xfId="5337" xr:uid="{1A9C5069-10BD-4FF4-816B-26A87ACBD576}"/>
    <cellStyle name="Comma 3 6 3 3 6 2" xfId="10811" xr:uid="{4BA5395A-60A1-4329-BB4D-5B8E0ACC1A6C}"/>
    <cellStyle name="Comma 3 6 3 3 7" xfId="5839" xr:uid="{06F85DF2-5A33-47BF-8EC8-87E8C8E95599}"/>
    <cellStyle name="Comma 3 6 3 3 7 2" xfId="11313" xr:uid="{A90AB8F8-09E2-4B0B-BCAC-1991D24729FB}"/>
    <cellStyle name="Comma 3 6 3 3 8" xfId="2865" xr:uid="{1B851D6D-2CC1-4479-8C3F-FF7FA292634D}"/>
    <cellStyle name="Comma 3 6 3 3 9" xfId="6779" xr:uid="{2FD4F34A-A0A7-4432-90B8-A7BFEC5F0789}"/>
    <cellStyle name="Comma 3 6 3 4" xfId="1257" xr:uid="{1E7C57B3-B556-4BB9-A02A-3D8F98936682}"/>
    <cellStyle name="Comma 3 6 3 4 10" xfId="12037" xr:uid="{F4ECF50C-25ED-4EED-A102-BAC23B8C7EB4}"/>
    <cellStyle name="Comma 3 6 3 4 11" xfId="13782" xr:uid="{C45A5028-8AE9-4FE1-A37D-0AF62C5D8F6C}"/>
    <cellStyle name="Comma 3 6 3 4 2" xfId="1763" xr:uid="{95F61ED4-E88D-4867-A8BB-1EB3515515EC}"/>
    <cellStyle name="Comma 3 6 3 4 2 2" xfId="4485" xr:uid="{324B68B4-6A56-49D1-A8AD-CCE6C8EED5F3}"/>
    <cellStyle name="Comma 3 6 3 4 2 2 2" xfId="9931" xr:uid="{7EF7EA26-8DFC-4ACD-BAAD-78366DE377DE}"/>
    <cellStyle name="Comma 3 6 3 4 2 3" xfId="3475" xr:uid="{4484ACF8-E00C-43D0-A8D1-F1B6F811DE0C}"/>
    <cellStyle name="Comma 3 6 3 4 2 4" xfId="7409" xr:uid="{C964339B-AD4C-42BA-B585-7E38744A5FE0}"/>
    <cellStyle name="Comma 3 6 3 4 2 5" xfId="8923" xr:uid="{890A9894-7BD2-4422-A0D2-3C1F4D2B28FA}"/>
    <cellStyle name="Comma 3 6 3 4 2 6" xfId="12543" xr:uid="{7B90B84E-D791-46F9-BDDD-5E9F6886DFFB}"/>
    <cellStyle name="Comma 3 6 3 4 2 7" xfId="14288" xr:uid="{DC5A431A-D19C-49C1-B903-1E861313C588}"/>
    <cellStyle name="Comma 3 6 3 4 3" xfId="2271" xr:uid="{4D1C0E09-EE14-40B2-BA83-63DCA923B2FF}"/>
    <cellStyle name="Comma 3 6 3 4 3 2" xfId="3991" xr:uid="{C8F2E15F-8F1B-498B-8CA6-7F02C6E948DD}"/>
    <cellStyle name="Comma 3 6 3 4 3 3" xfId="7917" xr:uid="{2BCE5B31-CBE5-4041-A0C3-44C6F1A504A9}"/>
    <cellStyle name="Comma 3 6 3 4 3 4" xfId="9435" xr:uid="{71270667-FCAB-4EA8-8CB7-80790BCEDA26}"/>
    <cellStyle name="Comma 3 6 3 4 3 5" xfId="13049" xr:uid="{48084DEA-918E-4EDF-9D03-F4E0D25FAADC}"/>
    <cellStyle name="Comma 3 6 3 4 3 6" xfId="14794" xr:uid="{5C21AEDC-52CA-4D9A-9A71-BCE43C467DD3}"/>
    <cellStyle name="Comma 3 6 3 4 4" xfId="4965" xr:uid="{E7C1BC68-D144-4E7F-A0F1-89F4D3F4513D}"/>
    <cellStyle name="Comma 3 6 3 4 4 2" xfId="10433" xr:uid="{DB858835-FB01-4F55-A45F-803C0FE1CF2C}"/>
    <cellStyle name="Comma 3 6 3 4 5" xfId="5461" xr:uid="{9FDCE46F-4FE6-439D-B950-9A7E9B1820B4}"/>
    <cellStyle name="Comma 3 6 3 4 5 2" xfId="10935" xr:uid="{95435233-9A5F-429D-87BE-3722BC8494AA}"/>
    <cellStyle name="Comma 3 6 3 4 6" xfId="5963" xr:uid="{60B3E61A-642B-4BA1-9F21-9863E44E9532}"/>
    <cellStyle name="Comma 3 6 3 4 6 2" xfId="11437" xr:uid="{E656D37B-8371-4719-B917-984B71EB4A1D}"/>
    <cellStyle name="Comma 3 6 3 4 7" xfId="2983" xr:uid="{C08CDA5F-DAAC-420D-9F0C-FDB554D52B20}"/>
    <cellStyle name="Comma 3 6 3 4 8" xfId="6903" xr:uid="{5D154BF3-3FB0-4F2F-9BD1-BB2FD47F1465}"/>
    <cellStyle name="Comma 3 6 3 4 9" xfId="8427" xr:uid="{954748D1-7BCE-4CF9-B7B9-1A7016238728}"/>
    <cellStyle name="Comma 3 6 3 5" xfId="1515" xr:uid="{820557AA-A507-479F-8077-E55A610EA9E5}"/>
    <cellStyle name="Comma 3 6 3 5 2" xfId="4239" xr:uid="{9AD0EA33-5E08-47F6-87FE-FFA41A36C5BF}"/>
    <cellStyle name="Comma 3 6 3 5 2 2" xfId="9683" xr:uid="{76A82205-B222-41F0-B75F-A030C3557512}"/>
    <cellStyle name="Comma 3 6 3 5 3" xfId="3229" xr:uid="{5F5C3942-18C9-4201-AAB8-EC2E8D88F748}"/>
    <cellStyle name="Comma 3 6 3 5 4" xfId="7161" xr:uid="{152288B8-8FCA-4CB7-A4C7-984270AFB105}"/>
    <cellStyle name="Comma 3 6 3 5 5" xfId="8675" xr:uid="{8EAD8240-7CEF-4612-B206-A60371FF72A5}"/>
    <cellStyle name="Comma 3 6 3 5 6" xfId="12295" xr:uid="{D2E172A8-A289-4289-BD0B-9A103864B42A}"/>
    <cellStyle name="Comma 3 6 3 5 7" xfId="14040" xr:uid="{E698ACEB-A85E-46E9-82B2-F8185F5D07E8}"/>
    <cellStyle name="Comma 3 6 3 6" xfId="2023" xr:uid="{E909B300-F733-4E8E-ABE1-6AF8BF561A35}"/>
    <cellStyle name="Comma 3 6 3 6 2" xfId="3743" xr:uid="{69ECD838-8CB7-4112-86E0-D105A6A2133D}"/>
    <cellStyle name="Comma 3 6 3 6 3" xfId="7669" xr:uid="{D77244EF-EB48-4303-B68F-EC8A63D9DA2E}"/>
    <cellStyle name="Comma 3 6 3 6 4" xfId="9187" xr:uid="{DF5DA5B1-1121-4BD8-A263-ACA3A766DC2B}"/>
    <cellStyle name="Comma 3 6 3 6 5" xfId="12801" xr:uid="{FF18597D-1518-4A41-9A1D-BD858AE2881B}"/>
    <cellStyle name="Comma 3 6 3 6 6" xfId="14546" xr:uid="{4DCC948C-676C-4BB3-85E4-C0E466D537EA}"/>
    <cellStyle name="Comma 3 6 3 7" xfId="4737" xr:uid="{A3B620CD-6486-4128-91D3-FC3E0DC69194}"/>
    <cellStyle name="Comma 3 6 3 7 2" xfId="10185" xr:uid="{F671ECBD-1C70-49C7-82CB-EF96B2E4968B}"/>
    <cellStyle name="Comma 3 6 3 8" xfId="5213" xr:uid="{846E7612-FF78-47C5-9F6F-9376F969143F}"/>
    <cellStyle name="Comma 3 6 3 8 2" xfId="10687" xr:uid="{5B5336E4-009F-4AF8-8C1E-408432CB617B}"/>
    <cellStyle name="Comma 3 6 3 9" xfId="5715" xr:uid="{A5CB4267-4A15-4566-A60E-AB496E71CA7F}"/>
    <cellStyle name="Comma 3 6 3 9 2" xfId="11189" xr:uid="{A41D1F92-DF48-4F54-98B9-CA2DB897A3E4}"/>
    <cellStyle name="Comma 3 6 4" xfId="1035" xr:uid="{1AF33F2C-9FD4-4351-AF29-4B78C0AA18D4}"/>
    <cellStyle name="Comma 3 6 4 10" xfId="6681" xr:uid="{2DB6E130-F664-4B4B-A1FF-0DCBF6FC79AD}"/>
    <cellStyle name="Comma 3 6 4 11" xfId="8205" xr:uid="{67E33F20-3008-4AE5-8C45-E793A772803E}"/>
    <cellStyle name="Comma 3 6 4 12" xfId="11815" xr:uid="{6A0E3081-AABF-4813-B035-25C8FBA15C79}"/>
    <cellStyle name="Comma 3 6 4 13" xfId="13560" xr:uid="{1FD60553-0071-44B6-BDFF-FC50238191DA}"/>
    <cellStyle name="Comma 3 6 4 2" xfId="1159" xr:uid="{DC666C0A-4777-4C97-993C-C07FDF6920FA}"/>
    <cellStyle name="Comma 3 6 4 2 10" xfId="8329" xr:uid="{CE33C5CA-1F2B-42A9-8E67-580C134DDA01}"/>
    <cellStyle name="Comma 3 6 4 2 11" xfId="11939" xr:uid="{1CEF4C85-C9B5-453D-82B5-5BFF6F02A87B}"/>
    <cellStyle name="Comma 3 6 4 2 12" xfId="13684" xr:uid="{70AD1CF0-989A-4C18-AE03-BD695CA753B3}"/>
    <cellStyle name="Comma 3 6 4 2 2" xfId="1407" xr:uid="{5EF94EB8-C27A-4706-BFD8-64B931EC9CCC}"/>
    <cellStyle name="Comma 3 6 4 2 2 10" xfId="12187" xr:uid="{03340181-EE76-4E6B-AD8E-0EAC6334181B}"/>
    <cellStyle name="Comma 3 6 4 2 2 11" xfId="13932" xr:uid="{37ADDF2D-F28D-4B63-91AF-74E3D6D20646}"/>
    <cellStyle name="Comma 3 6 4 2 2 2" xfId="1913" xr:uid="{13D2FCAE-50CA-4C54-A00A-879E842821CC}"/>
    <cellStyle name="Comma 3 6 4 2 2 2 2" xfId="4635" xr:uid="{B54A74EB-E3ED-426D-9EE4-B1696566C5DD}"/>
    <cellStyle name="Comma 3 6 4 2 2 2 2 2" xfId="10081" xr:uid="{B576D09E-633F-4AC5-A51E-D01479C275FB}"/>
    <cellStyle name="Comma 3 6 4 2 2 2 3" xfId="3625" xr:uid="{22E7D3F8-5858-4B84-AA81-A38E1C083395}"/>
    <cellStyle name="Comma 3 6 4 2 2 2 4" xfId="7559" xr:uid="{EA9C57A0-215E-4158-9A2F-724857CAFE92}"/>
    <cellStyle name="Comma 3 6 4 2 2 2 5" xfId="9073" xr:uid="{C143B6BB-D05D-40E4-AB61-F73B7E76A6D3}"/>
    <cellStyle name="Comma 3 6 4 2 2 2 6" xfId="12693" xr:uid="{458AFF82-9EEA-4038-AF8A-BC5C87844F46}"/>
    <cellStyle name="Comma 3 6 4 2 2 2 7" xfId="14438" xr:uid="{06A71703-4EB3-4724-9BE3-1C48FB8BFC2C}"/>
    <cellStyle name="Comma 3 6 4 2 2 3" xfId="2421" xr:uid="{C679ABF1-36BA-44A9-ABDD-30AFE9A1A253}"/>
    <cellStyle name="Comma 3 6 4 2 2 3 2" xfId="4141" xr:uid="{9AC0098B-F1EA-4DA8-AAFC-3125A5761F1E}"/>
    <cellStyle name="Comma 3 6 4 2 2 3 3" xfId="8067" xr:uid="{5C658D2A-718B-4D98-8A7C-C7677FFC83F4}"/>
    <cellStyle name="Comma 3 6 4 2 2 3 4" xfId="9585" xr:uid="{B7AF09C1-C2DA-4F9F-9E76-A147103CE8DD}"/>
    <cellStyle name="Comma 3 6 4 2 2 3 5" xfId="13199" xr:uid="{FA425797-A195-4B3B-9701-D01868BC4E40}"/>
    <cellStyle name="Comma 3 6 4 2 2 3 6" xfId="14944" xr:uid="{BD604EEC-6169-46E5-B20D-888A8ABC1337}"/>
    <cellStyle name="Comma 3 6 4 2 2 4" xfId="5113" xr:uid="{AE613DB5-7A93-456D-B7C7-3F0E74E46036}"/>
    <cellStyle name="Comma 3 6 4 2 2 4 2" xfId="10583" xr:uid="{FE3B64A4-254C-4FA5-8A3A-866EF628E86A}"/>
    <cellStyle name="Comma 3 6 4 2 2 5" xfId="5611" xr:uid="{493A3C6F-BFE7-4A22-9FB9-8BB76FE3C08E}"/>
    <cellStyle name="Comma 3 6 4 2 2 5 2" xfId="11085" xr:uid="{BF2D9920-31DD-4F14-AB66-D9D586C25CB6}"/>
    <cellStyle name="Comma 3 6 4 2 2 6" xfId="6113" xr:uid="{1EED4D7A-78CF-46C6-B762-5B11A54FE3BC}"/>
    <cellStyle name="Comma 3 6 4 2 2 6 2" xfId="11587" xr:uid="{EA8D5B8D-320E-4D6D-B737-711CC12F41F6}"/>
    <cellStyle name="Comma 3 6 4 2 2 7" xfId="3131" xr:uid="{22E2AF96-0469-4D02-8F23-93336834705A}"/>
    <cellStyle name="Comma 3 6 4 2 2 8" xfId="7053" xr:uid="{8422D311-D2C7-4F75-BDD2-B13F5A923290}"/>
    <cellStyle name="Comma 3 6 4 2 2 9" xfId="8577" xr:uid="{F49ACC24-541A-4812-A9FF-04274C81064B}"/>
    <cellStyle name="Comma 3 6 4 2 3" xfId="1665" xr:uid="{1316859D-1E9D-4A1F-8F15-9ED0E4995169}"/>
    <cellStyle name="Comma 3 6 4 2 3 2" xfId="4387" xr:uid="{D56573A7-A262-42C7-BE09-ED7E3B1E6D4E}"/>
    <cellStyle name="Comma 3 6 4 2 3 2 2" xfId="9833" xr:uid="{BA67D5DB-C21A-495E-B550-64E09E8D2FFC}"/>
    <cellStyle name="Comma 3 6 4 2 3 3" xfId="3377" xr:uid="{4457361D-B8A0-4C60-A04B-1717BF103609}"/>
    <cellStyle name="Comma 3 6 4 2 3 4" xfId="7311" xr:uid="{5E6B5811-FD46-4A11-865D-645C9641377C}"/>
    <cellStyle name="Comma 3 6 4 2 3 5" xfId="8825" xr:uid="{AE8540CB-C3DB-42BA-8540-A1AF387F5D94}"/>
    <cellStyle name="Comma 3 6 4 2 3 6" xfId="12445" xr:uid="{16C9A52F-9FA9-404C-88B1-B71AEB254CF6}"/>
    <cellStyle name="Comma 3 6 4 2 3 7" xfId="14190" xr:uid="{6C52DD47-5545-48CC-8472-352CAA712A57}"/>
    <cellStyle name="Comma 3 6 4 2 4" xfId="2173" xr:uid="{222CDC97-C977-410F-82D6-DFD4BD20EEED}"/>
    <cellStyle name="Comma 3 6 4 2 4 2" xfId="3893" xr:uid="{404E0760-6CD6-456A-8142-15E584BAAF2D}"/>
    <cellStyle name="Comma 3 6 4 2 4 3" xfId="7819" xr:uid="{05D2A9BE-8C75-4DF6-B0CD-E0571689F1A1}"/>
    <cellStyle name="Comma 3 6 4 2 4 4" xfId="9337" xr:uid="{D617F725-3346-44B3-8CF1-23A639BF33DE}"/>
    <cellStyle name="Comma 3 6 4 2 4 5" xfId="12951" xr:uid="{7E5AF3DD-B8D3-4426-95A8-E0B0754DE75F}"/>
    <cellStyle name="Comma 3 6 4 2 4 6" xfId="14696" xr:uid="{2F208B6F-6171-4358-8598-E283B04FD505}"/>
    <cellStyle name="Comma 3 6 4 2 5" xfId="4874" xr:uid="{AD6C1ECD-3623-41CC-B23E-F8260D1AEFC8}"/>
    <cellStyle name="Comma 3 6 4 2 5 2" xfId="10335" xr:uid="{E9D72A6D-0756-4A04-8880-003745A846DF}"/>
    <cellStyle name="Comma 3 6 4 2 6" xfId="5363" xr:uid="{5A4AFBF7-73D8-4199-947D-E8B7EE6DF5C4}"/>
    <cellStyle name="Comma 3 6 4 2 6 2" xfId="10837" xr:uid="{033D421C-704C-4A96-B594-8E756674937E}"/>
    <cellStyle name="Comma 3 6 4 2 7" xfId="5865" xr:uid="{D6B4A772-C6E0-4CAC-9969-3E2428E83B18}"/>
    <cellStyle name="Comma 3 6 4 2 7 2" xfId="11339" xr:uid="{42188DE3-DD6A-4A2A-BDD5-13C44029FC6C}"/>
    <cellStyle name="Comma 3 6 4 2 8" xfId="2890" xr:uid="{B2E20237-06EC-418B-A137-B3D99F046813}"/>
    <cellStyle name="Comma 3 6 4 2 9" xfId="6805" xr:uid="{8D15B6C4-D5E4-4070-9881-1802201364D0}"/>
    <cellStyle name="Comma 3 6 4 3" xfId="1283" xr:uid="{4093DADD-57AD-4A3B-9B80-5B10313542FD}"/>
    <cellStyle name="Comma 3 6 4 3 10" xfId="12063" xr:uid="{85E81DA6-E4E0-48F1-B7D2-9D09B209F504}"/>
    <cellStyle name="Comma 3 6 4 3 11" xfId="13808" xr:uid="{1DFF607B-A90F-41D7-B1BD-E3741C7F63C1}"/>
    <cellStyle name="Comma 3 6 4 3 2" xfId="1789" xr:uid="{434FFEC8-4E5C-476B-90C0-F1707DCD122F}"/>
    <cellStyle name="Comma 3 6 4 3 2 2" xfId="4511" xr:uid="{667AA4D6-A9CB-4658-8274-53EB2D0AAAF5}"/>
    <cellStyle name="Comma 3 6 4 3 2 2 2" xfId="9957" xr:uid="{F906A270-EF84-4E29-8AC8-D478527413F0}"/>
    <cellStyle name="Comma 3 6 4 3 2 3" xfId="3501" xr:uid="{96D1AFD8-8BC2-4F79-B9AF-008CF9EDEB97}"/>
    <cellStyle name="Comma 3 6 4 3 2 4" xfId="7435" xr:uid="{E360F38D-6EDA-481A-9F58-30FFA5AF64A6}"/>
    <cellStyle name="Comma 3 6 4 3 2 5" xfId="8949" xr:uid="{94EE5920-967B-43D2-9A79-F3BC9FB9660C}"/>
    <cellStyle name="Comma 3 6 4 3 2 6" xfId="12569" xr:uid="{9389E0AE-A5B8-4AF5-BA08-BFB1B79466F8}"/>
    <cellStyle name="Comma 3 6 4 3 2 7" xfId="14314" xr:uid="{4D664DB4-1F16-4404-A776-205157C7EBA7}"/>
    <cellStyle name="Comma 3 6 4 3 3" xfId="2297" xr:uid="{E0A72008-2F80-4456-997A-F782E5F1B856}"/>
    <cellStyle name="Comma 3 6 4 3 3 2" xfId="4017" xr:uid="{17460155-D8D8-4546-B1D0-3FEBBA62F037}"/>
    <cellStyle name="Comma 3 6 4 3 3 3" xfId="7943" xr:uid="{CC05BDB5-8D5B-4BF5-B35C-07ED44245EF5}"/>
    <cellStyle name="Comma 3 6 4 3 3 4" xfId="9461" xr:uid="{589023B5-EFB8-4327-9129-DAC6CE208B2F}"/>
    <cellStyle name="Comma 3 6 4 3 3 5" xfId="13075" xr:uid="{73788702-C5CD-4442-B60B-3251C7104D31}"/>
    <cellStyle name="Comma 3 6 4 3 3 6" xfId="14820" xr:uid="{A010A6CF-1464-4E64-A393-0C4E375F5D86}"/>
    <cellStyle name="Comma 3 6 4 3 4" xfId="4990" xr:uid="{3A34EF34-6B71-4820-9986-52BD6E945341}"/>
    <cellStyle name="Comma 3 6 4 3 4 2" xfId="10459" xr:uid="{214ED426-E48C-4CDD-9663-370706260D6B}"/>
    <cellStyle name="Comma 3 6 4 3 5" xfId="5487" xr:uid="{89065953-05A1-4B6F-A9D0-44BB47304CA6}"/>
    <cellStyle name="Comma 3 6 4 3 5 2" xfId="10961" xr:uid="{9F3C3A05-75B5-4857-9897-63B2F6096E27}"/>
    <cellStyle name="Comma 3 6 4 3 6" xfId="5989" xr:uid="{4F5D9937-EE7B-4E44-9F84-D8A5E59E1C63}"/>
    <cellStyle name="Comma 3 6 4 3 6 2" xfId="11463" xr:uid="{E8D8F022-41E0-4C79-89E2-0A5034A107C0}"/>
    <cellStyle name="Comma 3 6 4 3 7" xfId="3008" xr:uid="{46E1B91E-C9D3-44BA-BCCE-EBB493089DF3}"/>
    <cellStyle name="Comma 3 6 4 3 8" xfId="6929" xr:uid="{2695C70E-77B4-4CE8-9C47-F5EE036EEBE3}"/>
    <cellStyle name="Comma 3 6 4 3 9" xfId="8453" xr:uid="{EBD821E8-5CF5-4F74-B59F-E40D874BFCB7}"/>
    <cellStyle name="Comma 3 6 4 4" xfId="1541" xr:uid="{969433DB-9FD8-489B-956F-BB7C657E994D}"/>
    <cellStyle name="Comma 3 6 4 4 2" xfId="4264" xr:uid="{795D5096-344A-4736-9055-3924903759B5}"/>
    <cellStyle name="Comma 3 6 4 4 2 2" xfId="9709" xr:uid="{37DE72F2-BA5C-440E-B920-84FD562F6C90}"/>
    <cellStyle name="Comma 3 6 4 4 3" xfId="3254" xr:uid="{CB71335D-14ED-4885-B597-42238F118555}"/>
    <cellStyle name="Comma 3 6 4 4 4" xfId="7187" xr:uid="{9E9048D3-495B-45A8-A94C-BB65AFCDE4E8}"/>
    <cellStyle name="Comma 3 6 4 4 5" xfId="8701" xr:uid="{3BE69EBA-2B70-4EDC-80FB-48582180AD51}"/>
    <cellStyle name="Comma 3 6 4 4 6" xfId="12321" xr:uid="{F0927C69-0329-483B-B0DF-995329403213}"/>
    <cellStyle name="Comma 3 6 4 4 7" xfId="14066" xr:uid="{7629707F-3D3F-4FB6-8A56-09F9C09E684F}"/>
    <cellStyle name="Comma 3 6 4 5" xfId="2049" xr:uid="{77841718-5388-45CF-AB60-CCC64C551CE0}"/>
    <cellStyle name="Comma 3 6 4 5 2" xfId="3769" xr:uid="{FB08BBE7-745B-4B95-847C-A4883048570E}"/>
    <cellStyle name="Comma 3 6 4 5 3" xfId="7695" xr:uid="{76C3F3EC-B337-473D-8111-D89C276D4F06}"/>
    <cellStyle name="Comma 3 6 4 5 4" xfId="9213" xr:uid="{2D518101-4297-42A4-8DE9-80156563C14B}"/>
    <cellStyle name="Comma 3 6 4 5 5" xfId="12827" xr:uid="{07CBAB2F-0FFC-42D3-90BE-5F11F171CDCE}"/>
    <cellStyle name="Comma 3 6 4 5 6" xfId="14572" xr:uid="{FDBEE4F2-98D0-482F-B69E-7C8CE6056E30}"/>
    <cellStyle name="Comma 3 6 4 6" xfId="4760" xr:uid="{C289B0DD-5247-4A7D-A5B3-4473410122D1}"/>
    <cellStyle name="Comma 3 6 4 6 2" xfId="10211" xr:uid="{7E632F65-2555-445F-AAA9-866E7ACC5C62}"/>
    <cellStyle name="Comma 3 6 4 7" xfId="5239" xr:uid="{0E873C05-F54C-44C0-AF15-F58C678A75D1}"/>
    <cellStyle name="Comma 3 6 4 7 2" xfId="10713" xr:uid="{BA64A010-1460-47A3-8924-F1F43EA24064}"/>
    <cellStyle name="Comma 3 6 4 8" xfId="5741" xr:uid="{FCB9ECBB-CD05-4306-98D6-161A05853884}"/>
    <cellStyle name="Comma 3 6 4 8 2" xfId="11215" xr:uid="{B8D4D240-70E2-433A-B3A4-F6A2496FFFE7}"/>
    <cellStyle name="Comma 3 6 4 9" xfId="2776" xr:uid="{7703FD3F-9D37-4FF2-9886-74832B82A963}"/>
    <cellStyle name="Comma 3 6 5" xfId="1091" xr:uid="{A52CE3DB-B9D3-4444-913D-8251CDF13B59}"/>
    <cellStyle name="Comma 3 6 5 10" xfId="8261" xr:uid="{5DACF4BB-9D45-4348-B811-EBF0E28425C9}"/>
    <cellStyle name="Comma 3 6 5 11" xfId="11871" xr:uid="{78E84DFD-1E43-457C-97EF-0B11C8368DDC}"/>
    <cellStyle name="Comma 3 6 5 12" xfId="13616" xr:uid="{65FD06A0-FCE4-407F-85CE-36EB22187569}"/>
    <cellStyle name="Comma 3 6 5 2" xfId="1339" xr:uid="{00F22910-550E-4C42-8A68-E0099D086D73}"/>
    <cellStyle name="Comma 3 6 5 2 10" xfId="12119" xr:uid="{5A481DD8-C1A9-4139-B141-54FD2CE2BF77}"/>
    <cellStyle name="Comma 3 6 5 2 11" xfId="13864" xr:uid="{6D7AF4D7-27F1-4971-A65D-BA72D4B2580C}"/>
    <cellStyle name="Comma 3 6 5 2 2" xfId="1845" xr:uid="{C236F932-7FCD-48AB-9F13-68CE40117A3D}"/>
    <cellStyle name="Comma 3 6 5 2 2 2" xfId="4567" xr:uid="{6AEFF53C-87A9-4EF3-A232-EAECA6A51EB0}"/>
    <cellStyle name="Comma 3 6 5 2 2 2 2" xfId="10013" xr:uid="{6F7D146F-0A4E-4BBC-8515-09BE7DC81FAD}"/>
    <cellStyle name="Comma 3 6 5 2 2 3" xfId="3557" xr:uid="{4CE0304B-224F-4824-A016-D1F0459F4667}"/>
    <cellStyle name="Comma 3 6 5 2 2 4" xfId="7491" xr:uid="{603C8591-FBAE-449F-AFF7-9764F90C7A2E}"/>
    <cellStyle name="Comma 3 6 5 2 2 5" xfId="9005" xr:uid="{59A7070D-35DA-4238-90EF-327F0D2B35FA}"/>
    <cellStyle name="Comma 3 6 5 2 2 6" xfId="12625" xr:uid="{1F8DD8D9-9749-40F3-921B-6C04D09A315A}"/>
    <cellStyle name="Comma 3 6 5 2 2 7" xfId="14370" xr:uid="{939A7B65-0E8D-4183-A615-0CE972F48A85}"/>
    <cellStyle name="Comma 3 6 5 2 3" xfId="2353" xr:uid="{5FE1AA84-D607-44C3-9FC5-B476058C365E}"/>
    <cellStyle name="Comma 3 6 5 2 3 2" xfId="4073" xr:uid="{E8E5136F-F4F0-4D1A-895D-86278ED801EB}"/>
    <cellStyle name="Comma 3 6 5 2 3 3" xfId="7999" xr:uid="{C3FA392E-DBF7-48C0-833A-9500EE628B88}"/>
    <cellStyle name="Comma 3 6 5 2 3 4" xfId="9517" xr:uid="{E7D80D6B-B93E-4363-B9BB-41111E68D0A7}"/>
    <cellStyle name="Comma 3 6 5 2 3 5" xfId="13131" xr:uid="{39BA4B9B-87A4-4244-B68B-DB65FCC95143}"/>
    <cellStyle name="Comma 3 6 5 2 3 6" xfId="14876" xr:uid="{AE97A71C-EEB2-48B5-961C-B85D99776EB8}"/>
    <cellStyle name="Comma 3 6 5 2 4" xfId="5045" xr:uid="{4A651F6F-7BC2-4971-AB10-ADFF121C73E7}"/>
    <cellStyle name="Comma 3 6 5 2 4 2" xfId="10515" xr:uid="{44A707AD-BD77-478E-ABB8-F2CB6FE03E2D}"/>
    <cellStyle name="Comma 3 6 5 2 5" xfId="5543" xr:uid="{731A8A85-112E-468E-B0E1-56538B34EEB7}"/>
    <cellStyle name="Comma 3 6 5 2 5 2" xfId="11017" xr:uid="{295A2571-F704-4295-9583-892E18DC072F}"/>
    <cellStyle name="Comma 3 6 5 2 6" xfId="6045" xr:uid="{16E61067-DA72-406A-8A48-A2079721537F}"/>
    <cellStyle name="Comma 3 6 5 2 6 2" xfId="11519" xr:uid="{D126BED9-1A25-4AB1-B736-A5A46077986E}"/>
    <cellStyle name="Comma 3 6 5 2 7" xfId="3063" xr:uid="{EEE4A002-2C60-4341-ADB6-B2C07BFDC7E3}"/>
    <cellStyle name="Comma 3 6 5 2 8" xfId="6985" xr:uid="{3D6F963D-F6CB-4D47-A38F-4C0B9F305717}"/>
    <cellStyle name="Comma 3 6 5 2 9" xfId="8509" xr:uid="{797F7FCF-113A-43A8-9363-1BA92A0B7FE6}"/>
    <cellStyle name="Comma 3 6 5 3" xfId="1597" xr:uid="{046888E4-B496-4A27-93F3-E0D356A75924}"/>
    <cellStyle name="Comma 3 6 5 3 2" xfId="4319" xr:uid="{CF6409F7-C2E3-4231-AED9-3B7F096B9C2C}"/>
    <cellStyle name="Comma 3 6 5 3 2 2" xfId="9765" xr:uid="{62F28DE2-7D50-4B10-B0A4-A4A17FDAF941}"/>
    <cellStyle name="Comma 3 6 5 3 3" xfId="3309" xr:uid="{5C3BD44B-E441-4FEB-90F9-24809BEA9C3A}"/>
    <cellStyle name="Comma 3 6 5 3 4" xfId="7243" xr:uid="{543FABBD-590D-42EA-8A14-92EFF1E3B070}"/>
    <cellStyle name="Comma 3 6 5 3 5" xfId="8757" xr:uid="{3399EDBD-0F43-4F42-86F3-C56F8E55927B}"/>
    <cellStyle name="Comma 3 6 5 3 6" xfId="12377" xr:uid="{0A50190C-EF07-4E29-9B24-4FACEFB744AE}"/>
    <cellStyle name="Comma 3 6 5 3 7" xfId="14122" xr:uid="{E0671DB5-B64E-4818-9BEE-916974D7DD3B}"/>
    <cellStyle name="Comma 3 6 5 4" xfId="2105" xr:uid="{8C90504A-D6CE-4E7B-B597-45C87D40A050}"/>
    <cellStyle name="Comma 3 6 5 4 2" xfId="3825" xr:uid="{CE9A7017-6BDF-4CE1-B452-19BEF9462B34}"/>
    <cellStyle name="Comma 3 6 5 4 3" xfId="7751" xr:uid="{68C59541-F984-40C5-B797-0CA7F3DFD043}"/>
    <cellStyle name="Comma 3 6 5 4 4" xfId="9269" xr:uid="{ADED5169-4E7A-454A-861E-75F4EA56259A}"/>
    <cellStyle name="Comma 3 6 5 4 5" xfId="12883" xr:uid="{1DB09ADE-0B31-4BC5-B488-B30BF7093BE7}"/>
    <cellStyle name="Comma 3 6 5 4 6" xfId="14628" xr:uid="{7F16BBD0-F5FE-4620-B496-E09DF69B9109}"/>
    <cellStyle name="Comma 3 6 5 5" xfId="4811" xr:uid="{5B382481-A77A-4B86-8302-B1BF298E4697}"/>
    <cellStyle name="Comma 3 6 5 5 2" xfId="10267" xr:uid="{5E7D02BE-D3D1-475D-81BF-514E46450CBE}"/>
    <cellStyle name="Comma 3 6 5 6" xfId="5295" xr:uid="{60E38753-54B1-459C-88E2-51953F6F2BB2}"/>
    <cellStyle name="Comma 3 6 5 6 2" xfId="10769" xr:uid="{EF627423-0A4F-4F8A-9F8A-E7E0892DE582}"/>
    <cellStyle name="Comma 3 6 5 7" xfId="5797" xr:uid="{EF2F453B-5C91-4DC2-8785-05FADC583448}"/>
    <cellStyle name="Comma 3 6 5 7 2" xfId="11271" xr:uid="{6269CF1D-917C-4C51-828D-4563703D57C8}"/>
    <cellStyle name="Comma 3 6 5 8" xfId="2827" xr:uid="{FFD98C3D-82BD-4664-8630-05F1E29D4B6D}"/>
    <cellStyle name="Comma 3 6 5 9" xfId="6737" xr:uid="{60FFB8A3-9084-49AB-A4F4-B846CAA2F513}"/>
    <cellStyle name="Comma 3 6 6" xfId="959" xr:uid="{30D6A6AF-F0BF-4784-B810-4F529F1C3FF9}"/>
    <cellStyle name="Comma 3 6 6 10" xfId="11747" xr:uid="{48E4FAC1-361F-4B7A-BD91-20590652CBDF}"/>
    <cellStyle name="Comma 3 6 6 11" xfId="13492" xr:uid="{69F7AE14-8AB5-4054-A323-1174CECAD733}"/>
    <cellStyle name="Comma 3 6 6 2" xfId="1473" xr:uid="{A05836BD-0DA3-4E0A-964F-DAFFD55826F7}"/>
    <cellStyle name="Comma 3 6 6 2 2" xfId="4443" xr:uid="{935EFF87-E7E5-4184-BAC4-E3D584488CD6}"/>
    <cellStyle name="Comma 3 6 6 2 2 2" xfId="9889" xr:uid="{1AFFD89F-52C7-4064-9C8F-F7B5F9BD7B37}"/>
    <cellStyle name="Comma 3 6 6 2 3" xfId="3433" xr:uid="{B34E6654-396E-44C6-B98D-99363D76D317}"/>
    <cellStyle name="Comma 3 6 6 2 4" xfId="7119" xr:uid="{07315CC6-0C39-4BF0-AF08-D10C7B3CC12B}"/>
    <cellStyle name="Comma 3 6 6 2 5" xfId="8881" xr:uid="{381D4086-F679-43B7-A785-AAAFC62D5BA7}"/>
    <cellStyle name="Comma 3 6 6 2 6" xfId="12253" xr:uid="{16009230-5304-491A-A41B-B071DEADDBAE}"/>
    <cellStyle name="Comma 3 6 6 2 7" xfId="13998" xr:uid="{7A679415-B78D-4E4C-9157-1ADCD3FB73FA}"/>
    <cellStyle name="Comma 3 6 6 3" xfId="1981" xr:uid="{81B32723-3960-45A2-8B06-4E35BD0D8BD2}"/>
    <cellStyle name="Comma 3 6 6 3 2" xfId="3701" xr:uid="{4A2A409D-00FF-4016-9ED2-A2E091483491}"/>
    <cellStyle name="Comma 3 6 6 3 3" xfId="7627" xr:uid="{F05AE3B6-93D5-41EF-96A8-8A52BE73418A}"/>
    <cellStyle name="Comma 3 6 6 3 4" xfId="9145" xr:uid="{9B5DCC7F-D56F-4795-8432-87712C6822F4}"/>
    <cellStyle name="Comma 3 6 6 3 5" xfId="12759" xr:uid="{723197D2-4325-4956-94A8-EB6F68D0F485}"/>
    <cellStyle name="Comma 3 6 6 3 6" xfId="14504" xr:uid="{88E349C4-D1B8-4461-B1F0-F571D64B173D}"/>
    <cellStyle name="Comma 3 6 6 4" xfId="4927" xr:uid="{17914CB5-3535-4024-AAD4-A81ABA407DF2}"/>
    <cellStyle name="Comma 3 6 6 4 2" xfId="10391" xr:uid="{1FE5E2E4-9B17-41AA-9536-A0F30FF65C20}"/>
    <cellStyle name="Comma 3 6 6 5" xfId="5419" xr:uid="{1DF19607-6C6F-408B-A455-71335BA44F2D}"/>
    <cellStyle name="Comma 3 6 6 5 2" xfId="10893" xr:uid="{F31F8D60-9BD3-4CE1-ABEB-77DD64F66CF7}"/>
    <cellStyle name="Comma 3 6 6 6" xfId="5921" xr:uid="{23901BAA-2D51-45FB-8942-DFF3574E1C2D}"/>
    <cellStyle name="Comma 3 6 6 6 2" xfId="11395" xr:uid="{0DDFB6E0-2752-4CE9-A0BD-E433FDF01905}"/>
    <cellStyle name="Comma 3 6 6 7" xfId="2715" xr:uid="{AB697FE8-7363-400B-BFD1-D6093DAECD64}"/>
    <cellStyle name="Comma 3 6 6 8" xfId="6610" xr:uid="{135D5EA2-24AB-45BB-8AA8-B3FD0363577A}"/>
    <cellStyle name="Comma 3 6 6 9" xfId="8137" xr:uid="{12EDEB92-6DCF-4109-9C77-71760774B620}"/>
    <cellStyle name="Comma 3 6 7" xfId="1215" xr:uid="{D9FD81B9-EF1A-4B0C-88BF-B21D71216BFD}"/>
    <cellStyle name="Comma 3 6 7 2" xfId="1721" xr:uid="{1DDF7CAB-EE6A-485C-894F-429A80F2E91D}"/>
    <cellStyle name="Comma 3 6 7 2 2" xfId="3949" xr:uid="{C9261EF2-9148-41AC-9ECA-86D3ACD1B694}"/>
    <cellStyle name="Comma 3 6 7 2 3" xfId="7367" xr:uid="{B3E82CD1-5BA1-43FA-8BA3-700EEAC965FD}"/>
    <cellStyle name="Comma 3 6 7 2 4" xfId="9393" xr:uid="{B960C470-F3F2-40E6-8178-E04ECF45946A}"/>
    <cellStyle name="Comma 3 6 7 2 5" xfId="12501" xr:uid="{71794EA2-4C69-407F-AE63-3584EDCF7013}"/>
    <cellStyle name="Comma 3 6 7 2 6" xfId="14246" xr:uid="{D1A02868-8185-408B-86AE-3BAA5ADE7938}"/>
    <cellStyle name="Comma 3 6 7 3" xfId="2229" xr:uid="{8C5F279B-2E27-47E4-BB32-6FD79FD57D06}"/>
    <cellStyle name="Comma 3 6 7 3 2" xfId="7875" xr:uid="{30CCC67F-34C2-4705-A669-D5F3A02F7E31}"/>
    <cellStyle name="Comma 3 6 7 3 3" xfId="13007" xr:uid="{B2E469A1-B971-4EFD-BFF1-9A4F4DA9D653}"/>
    <cellStyle name="Comma 3 6 7 3 4" xfId="14752" xr:uid="{C7F668FA-9DBB-4C9A-A096-5E7CF596669D}"/>
    <cellStyle name="Comma 3 6 7 4" xfId="2945" xr:uid="{2E5D38A9-F888-4756-B79A-94AC7DB723B3}"/>
    <cellStyle name="Comma 3 6 7 5" xfId="6861" xr:uid="{D1FD1526-5BFC-4F2B-9811-390B36BF93BB}"/>
    <cellStyle name="Comma 3 6 7 6" xfId="8385" xr:uid="{071AFA6A-2C78-4A8F-84F1-55864088725F}"/>
    <cellStyle name="Comma 3 6 7 7" xfId="11995" xr:uid="{50B3EDC7-D261-4CFF-99BB-ADF73D322C2A}"/>
    <cellStyle name="Comma 3 6 7 8" xfId="13740" xr:uid="{7B961756-899D-4CB4-A0C6-564D4BD2BA93}"/>
    <cellStyle name="Comma 3 6 8" xfId="1461" xr:uid="{8A5AA3F7-5F00-43D9-8BCF-D3EEB3833594}"/>
    <cellStyle name="Comma 3 6 8 2" xfId="4197" xr:uid="{9EFCFC39-2FC9-440C-8552-AD081B423B09}"/>
    <cellStyle name="Comma 3 6 8 2 2" xfId="9641" xr:uid="{CB1D8586-C9D9-40DB-98B9-C0BD42929B6C}"/>
    <cellStyle name="Comma 3 6 8 3" xfId="3187" xr:uid="{6AB9A92D-FA9B-4F8E-8A25-AFCB5A485C47}"/>
    <cellStyle name="Comma 3 6 8 4" xfId="7107" xr:uid="{9E8FF8BE-1A1E-49A1-BE7D-E41AA606DDA7}"/>
    <cellStyle name="Comma 3 6 8 5" xfId="8633" xr:uid="{6FD035EA-1F35-45D1-B3E7-0D0E2BF569B4}"/>
    <cellStyle name="Comma 3 6 8 6" xfId="12241" xr:uid="{1E640955-C25C-4AA9-832E-9CDB8E8D3586}"/>
    <cellStyle name="Comma 3 6 8 7" xfId="13986" xr:uid="{56ECDCDC-1B00-4886-88B1-C3822330381E}"/>
    <cellStyle name="Comma 3 6 9" xfId="1968" xr:uid="{5B0378A8-D6C2-4906-980B-4AD403F1D5DC}"/>
    <cellStyle name="Comma 3 6 9 2" xfId="3689" xr:uid="{635DCEE3-B87A-46F1-AA32-E4A78A507383}"/>
    <cellStyle name="Comma 3 6 9 3" xfId="7614" xr:uid="{8FA45CCC-85F7-4090-8B21-7D69BEB514D4}"/>
    <cellStyle name="Comma 3 6 9 4" xfId="9133" xr:uid="{9A80A380-43F3-4464-83D7-1A841723AE51}"/>
    <cellStyle name="Comma 3 6 9 5" xfId="12747" xr:uid="{61630A10-924B-4B30-BE20-1E4F0D2EC403}"/>
    <cellStyle name="Comma 3 6 9 6" xfId="14492" xr:uid="{00311B9E-6612-42E0-B3FF-A7F7BCE8F63B}"/>
    <cellStyle name="Comma 3 7" xfId="961" xr:uid="{31C71755-8857-46DC-A964-2215317C8762}"/>
    <cellStyle name="Comma 3 7 10" xfId="5175" xr:uid="{A256002D-7ACD-4DB0-9D48-F17250B8C2A7}"/>
    <cellStyle name="Comma 3 7 10 2" xfId="10647" xr:uid="{F6A64D6D-0DFC-4D9F-AE6D-4A3DD749D1FC}"/>
    <cellStyle name="Comma 3 7 11" xfId="5675" xr:uid="{12A3CF58-3C1B-4CA1-AA53-5DF569D3278E}"/>
    <cellStyle name="Comma 3 7 11 2" xfId="11149" xr:uid="{6E3112AB-609E-4A2A-9B7C-1F22553506A3}"/>
    <cellStyle name="Comma 3 7 12" xfId="2717" xr:uid="{2A3C9CAB-41B3-4B30-92B6-6B0E8BD978B9}"/>
    <cellStyle name="Comma 3 7 13" xfId="6612" xr:uid="{DD9BA161-EB62-469A-96BD-9E389DF1119D}"/>
    <cellStyle name="Comma 3 7 14" xfId="8139" xr:uid="{CAE39859-8A92-471F-B8C5-15C742EFD667}"/>
    <cellStyle name="Comma 3 7 15" xfId="11749" xr:uid="{E7574E9D-CBE9-46B3-864F-F49F50FB7341}"/>
    <cellStyle name="Comma 3 7 16" xfId="13494" xr:uid="{32DD5EAC-6A02-4674-91CF-ABA9F0F19AC3}"/>
    <cellStyle name="Comma 3 7 2" xfId="991" xr:uid="{B09DCC05-E092-4C4B-B649-562CEBAD7D38}"/>
    <cellStyle name="Comma 3 7 2 10" xfId="2737" xr:uid="{663C81FE-CF6F-40F2-BCB7-D723338F3DA0}"/>
    <cellStyle name="Comma 3 7 2 11" xfId="6637" xr:uid="{C4B71593-86C3-411F-88EB-D603990E2B54}"/>
    <cellStyle name="Comma 3 7 2 12" xfId="8161" xr:uid="{7579EE30-3FFC-4C5C-949E-6A9265B914C4}"/>
    <cellStyle name="Comma 3 7 2 13" xfId="11771" xr:uid="{39D3A87A-E397-4E36-A66C-8A4A03FA67E7}"/>
    <cellStyle name="Comma 3 7 2 14" xfId="13516" xr:uid="{535D24E6-6F70-458F-9CD5-D1D55A653904}"/>
    <cellStyle name="Comma 3 7 2 2" xfId="1039" xr:uid="{03C016BE-8632-4CA6-BA01-857652353BC8}"/>
    <cellStyle name="Comma 3 7 2 2 10" xfId="6685" xr:uid="{CB3A5BD9-0497-4D31-8299-7CBA601C294A}"/>
    <cellStyle name="Comma 3 7 2 2 11" xfId="8209" xr:uid="{207A1E5D-A24E-42B7-874B-68545E56ACDA}"/>
    <cellStyle name="Comma 3 7 2 2 12" xfId="11819" xr:uid="{F554F238-365B-45FC-8CD6-4435255FF495}"/>
    <cellStyle name="Comma 3 7 2 2 13" xfId="13564" xr:uid="{CF43A860-1F35-4B20-8ED6-8A5605F4E9A5}"/>
    <cellStyle name="Comma 3 7 2 2 2" xfId="1163" xr:uid="{C868AD27-9D06-48C0-9349-CC65F249C6EA}"/>
    <cellStyle name="Comma 3 7 2 2 2 10" xfId="8333" xr:uid="{4FF9F36D-7DF2-4520-A9C7-1EB8C85EAFF9}"/>
    <cellStyle name="Comma 3 7 2 2 2 11" xfId="11943" xr:uid="{2D347103-A77A-4366-8DA3-6F8394A38CE1}"/>
    <cellStyle name="Comma 3 7 2 2 2 12" xfId="13688" xr:uid="{2BAD288C-B83B-4B93-829F-4FC57FE75FD4}"/>
    <cellStyle name="Comma 3 7 2 2 2 2" xfId="1411" xr:uid="{65003CC9-3DAD-43B0-811A-C643EFECAA8C}"/>
    <cellStyle name="Comma 3 7 2 2 2 2 10" xfId="12191" xr:uid="{BD76483B-F459-4A56-9FC5-22C69E0845C8}"/>
    <cellStyle name="Comma 3 7 2 2 2 2 11" xfId="13936" xr:uid="{5F58E947-5509-44B0-A625-7258A9A08E83}"/>
    <cellStyle name="Comma 3 7 2 2 2 2 2" xfId="1917" xr:uid="{7E143082-D0E7-4B55-AF8D-0A84721171EF}"/>
    <cellStyle name="Comma 3 7 2 2 2 2 2 2" xfId="4639" xr:uid="{EAFFC830-2D09-4D18-B579-666CD73AF9E1}"/>
    <cellStyle name="Comma 3 7 2 2 2 2 2 2 2" xfId="10085" xr:uid="{395C413F-2107-47DB-9796-211A12AFBC17}"/>
    <cellStyle name="Comma 3 7 2 2 2 2 2 3" xfId="3629" xr:uid="{1855F37A-D7A7-440D-9C84-5A6AFDBEB5E9}"/>
    <cellStyle name="Comma 3 7 2 2 2 2 2 4" xfId="7563" xr:uid="{D0239366-CC9B-4097-A353-33ED52450222}"/>
    <cellStyle name="Comma 3 7 2 2 2 2 2 5" xfId="9077" xr:uid="{A7DFCA40-7D1D-4B7A-B5CC-A96FCF8EE027}"/>
    <cellStyle name="Comma 3 7 2 2 2 2 2 6" xfId="12697" xr:uid="{14436B3C-998E-4A54-9C32-6B225EE62911}"/>
    <cellStyle name="Comma 3 7 2 2 2 2 2 7" xfId="14442" xr:uid="{CBEE6093-0CD2-4DE4-88DF-8E2F87859A8A}"/>
    <cellStyle name="Comma 3 7 2 2 2 2 3" xfId="2425" xr:uid="{5F751C81-99C5-45BA-BDBC-00F9C42C13DC}"/>
    <cellStyle name="Comma 3 7 2 2 2 2 3 2" xfId="4145" xr:uid="{1607F694-83D9-420D-9D95-CCA7C56EAC75}"/>
    <cellStyle name="Comma 3 7 2 2 2 2 3 3" xfId="8071" xr:uid="{90C3B9B2-F6F7-45DC-BC08-B2EE73765BA5}"/>
    <cellStyle name="Comma 3 7 2 2 2 2 3 4" xfId="9589" xr:uid="{11A132E7-2E8E-4356-A138-775B0951D398}"/>
    <cellStyle name="Comma 3 7 2 2 2 2 3 5" xfId="13203" xr:uid="{B1839E45-A412-4439-8DF8-392CD7F48F2B}"/>
    <cellStyle name="Comma 3 7 2 2 2 2 3 6" xfId="14948" xr:uid="{04963721-810E-47C4-BAAE-15BCBECCB7BA}"/>
    <cellStyle name="Comma 3 7 2 2 2 2 4" xfId="5117" xr:uid="{AE78A116-B408-42DB-B528-66F889034125}"/>
    <cellStyle name="Comma 3 7 2 2 2 2 4 2" xfId="10587" xr:uid="{4E1E3753-9FC5-4C97-8D04-16EE14700C74}"/>
    <cellStyle name="Comma 3 7 2 2 2 2 5" xfId="5615" xr:uid="{316B728B-0BA3-494E-8E3A-6C24A1ED00BD}"/>
    <cellStyle name="Comma 3 7 2 2 2 2 5 2" xfId="11089" xr:uid="{8417C478-B87C-4B38-AB88-E518BA82FBDC}"/>
    <cellStyle name="Comma 3 7 2 2 2 2 6" xfId="6117" xr:uid="{903D4E4A-76DC-4FA7-9C20-DC1577C2AE7B}"/>
    <cellStyle name="Comma 3 7 2 2 2 2 6 2" xfId="11591" xr:uid="{A4B38C81-82EE-482D-8DE7-474B8BE033AE}"/>
    <cellStyle name="Comma 3 7 2 2 2 2 7" xfId="3135" xr:uid="{36D50588-C00D-492F-B179-FD5B17ED011A}"/>
    <cellStyle name="Comma 3 7 2 2 2 2 8" xfId="7057" xr:uid="{C5EB2AB1-8638-475B-8B79-BF497E643684}"/>
    <cellStyle name="Comma 3 7 2 2 2 2 9" xfId="8581" xr:uid="{734E86B0-56AA-4816-AC6A-E0CF8B277ADA}"/>
    <cellStyle name="Comma 3 7 2 2 2 3" xfId="1669" xr:uid="{3E804784-63FE-4EF6-A800-9A5E10E38866}"/>
    <cellStyle name="Comma 3 7 2 2 2 3 2" xfId="4391" xr:uid="{EE3BD555-3E4D-443E-A976-430BEF563176}"/>
    <cellStyle name="Comma 3 7 2 2 2 3 2 2" xfId="9837" xr:uid="{97E1B4E1-276C-4AC3-8FD9-C5AD1F4181BC}"/>
    <cellStyle name="Comma 3 7 2 2 2 3 3" xfId="3381" xr:uid="{DBA2357C-CEE8-4150-818F-A6ECCF77083E}"/>
    <cellStyle name="Comma 3 7 2 2 2 3 4" xfId="7315" xr:uid="{1409335D-7B9B-4582-AAA4-F2A74B35A780}"/>
    <cellStyle name="Comma 3 7 2 2 2 3 5" xfId="8829" xr:uid="{6AAE71A9-609A-4ED9-979E-454C76EBF9A0}"/>
    <cellStyle name="Comma 3 7 2 2 2 3 6" xfId="12449" xr:uid="{A70DF798-91EE-4C5D-8CAE-D37935E1FAE0}"/>
    <cellStyle name="Comma 3 7 2 2 2 3 7" xfId="14194" xr:uid="{6366290C-AD8F-44B1-88DF-C1F8C6759177}"/>
    <cellStyle name="Comma 3 7 2 2 2 4" xfId="2177" xr:uid="{2E22F297-ACC0-4093-88CF-861F1D96C3E4}"/>
    <cellStyle name="Comma 3 7 2 2 2 4 2" xfId="3897" xr:uid="{3D959BA3-CA80-4E10-82A5-F74735CEB148}"/>
    <cellStyle name="Comma 3 7 2 2 2 4 3" xfId="7823" xr:uid="{9BB7A0B6-19B9-429F-9378-59C6F29527FF}"/>
    <cellStyle name="Comma 3 7 2 2 2 4 4" xfId="9341" xr:uid="{6B28ECE8-8F3C-4AB9-86EF-991522D49273}"/>
    <cellStyle name="Comma 3 7 2 2 2 4 5" xfId="12955" xr:uid="{8D7AC895-0637-4789-91D9-0AA433FF98C1}"/>
    <cellStyle name="Comma 3 7 2 2 2 4 6" xfId="14700" xr:uid="{D042C2BE-9AC9-478E-B360-AD2B2C3A097B}"/>
    <cellStyle name="Comma 3 7 2 2 2 5" xfId="4878" xr:uid="{02978F87-7E76-4CD1-8792-29510952084C}"/>
    <cellStyle name="Comma 3 7 2 2 2 5 2" xfId="10339" xr:uid="{9F31A50E-5E5B-4743-85ED-75F831FB51C3}"/>
    <cellStyle name="Comma 3 7 2 2 2 6" xfId="5367" xr:uid="{ABAEA86D-90E8-454F-8131-0A6815228300}"/>
    <cellStyle name="Comma 3 7 2 2 2 6 2" xfId="10841" xr:uid="{46A2C88F-86FD-48C8-898E-5F10D77805E7}"/>
    <cellStyle name="Comma 3 7 2 2 2 7" xfId="5869" xr:uid="{F54D3525-904F-4A64-B7C4-2E450FB6511A}"/>
    <cellStyle name="Comma 3 7 2 2 2 7 2" xfId="11343" xr:uid="{455017B6-E074-4B14-8194-C6A1EE24E009}"/>
    <cellStyle name="Comma 3 7 2 2 2 8" xfId="2894" xr:uid="{8E282D80-0275-4AF5-983E-8574BF6A0EE1}"/>
    <cellStyle name="Comma 3 7 2 2 2 9" xfId="6809" xr:uid="{5DC57271-38DB-434B-994C-FC3DD350908C}"/>
    <cellStyle name="Comma 3 7 2 2 3" xfId="1287" xr:uid="{6F2C3A42-3FB5-4103-A497-FDE4BDE3FD73}"/>
    <cellStyle name="Comma 3 7 2 2 3 10" xfId="12067" xr:uid="{F58E1B4F-AE61-4939-8C37-A9B4C5FC25AF}"/>
    <cellStyle name="Comma 3 7 2 2 3 11" xfId="13812" xr:uid="{5FCB5A2B-2C98-4A97-9573-BF6058A2F7CC}"/>
    <cellStyle name="Comma 3 7 2 2 3 2" xfId="1793" xr:uid="{EB07535F-4B7F-4C98-A727-ACBFA8233DA2}"/>
    <cellStyle name="Comma 3 7 2 2 3 2 2" xfId="4515" xr:uid="{2515C05D-2309-4E6E-8DE1-C7464681DAC2}"/>
    <cellStyle name="Comma 3 7 2 2 3 2 2 2" xfId="9961" xr:uid="{300CCA0F-8CCF-45D5-A82F-97C9292F4EDD}"/>
    <cellStyle name="Comma 3 7 2 2 3 2 3" xfId="3505" xr:uid="{D01F66DB-568D-40F1-AC6D-52188F8DBEFA}"/>
    <cellStyle name="Comma 3 7 2 2 3 2 4" xfId="7439" xr:uid="{C2765D49-FB2F-4074-8633-66F0C7802C00}"/>
    <cellStyle name="Comma 3 7 2 2 3 2 5" xfId="8953" xr:uid="{8AF6B340-D32A-48EC-94C0-E1E61A5B771F}"/>
    <cellStyle name="Comma 3 7 2 2 3 2 6" xfId="12573" xr:uid="{8DE1B33E-4C5B-4FE6-99FE-D9A38A847184}"/>
    <cellStyle name="Comma 3 7 2 2 3 2 7" xfId="14318" xr:uid="{88375A79-9699-45FD-8BA2-59EFF7DD10C4}"/>
    <cellStyle name="Comma 3 7 2 2 3 3" xfId="2301" xr:uid="{F608B0C3-3FDA-4F95-8DA9-B996E4B012D8}"/>
    <cellStyle name="Comma 3 7 2 2 3 3 2" xfId="4021" xr:uid="{89B6EF88-D3A2-4269-9257-33C6B32CC15D}"/>
    <cellStyle name="Comma 3 7 2 2 3 3 3" xfId="7947" xr:uid="{DBF850FA-4CBA-441D-9A1C-C99EC63D4A62}"/>
    <cellStyle name="Comma 3 7 2 2 3 3 4" xfId="9465" xr:uid="{880C35E4-587D-45DA-9120-F0A5A655DF1D}"/>
    <cellStyle name="Comma 3 7 2 2 3 3 5" xfId="13079" xr:uid="{05A24612-23E1-479D-96E0-6299FB8421DF}"/>
    <cellStyle name="Comma 3 7 2 2 3 3 6" xfId="14824" xr:uid="{E384A7FD-2373-4C97-BD45-8B397054A4BB}"/>
    <cellStyle name="Comma 3 7 2 2 3 4" xfId="4994" xr:uid="{51305235-3170-411A-8201-570694B54FC6}"/>
    <cellStyle name="Comma 3 7 2 2 3 4 2" xfId="10463" xr:uid="{3BDE3D10-5E37-4E21-8C88-E593A6FAC629}"/>
    <cellStyle name="Comma 3 7 2 2 3 5" xfId="5491" xr:uid="{19E74BB4-4C45-474E-A656-D422F71B032C}"/>
    <cellStyle name="Comma 3 7 2 2 3 5 2" xfId="10965" xr:uid="{F701348A-9050-49AA-96CE-0B13A85FF26F}"/>
    <cellStyle name="Comma 3 7 2 2 3 6" xfId="5993" xr:uid="{D573DF75-93FE-4CAB-928D-34EC3C9E6E53}"/>
    <cellStyle name="Comma 3 7 2 2 3 6 2" xfId="11467" xr:uid="{FE822D75-6639-4C1B-9DF1-6C5F3368F590}"/>
    <cellStyle name="Comma 3 7 2 2 3 7" xfId="3012" xr:uid="{1B1A1603-1FD7-4836-A1E4-9D8CC2BB58F3}"/>
    <cellStyle name="Comma 3 7 2 2 3 8" xfId="6933" xr:uid="{E4F0962B-A8AE-413D-89D5-E535D7F1A5C0}"/>
    <cellStyle name="Comma 3 7 2 2 3 9" xfId="8457" xr:uid="{C496DDB2-DA13-4AB6-83EF-5D678B0574A6}"/>
    <cellStyle name="Comma 3 7 2 2 4" xfId="1545" xr:uid="{0A0CAAD8-62FB-465A-A368-AF985F071C11}"/>
    <cellStyle name="Comma 3 7 2 2 4 2" xfId="4268" xr:uid="{80001FB9-E9AD-47ED-B849-23A63D16B948}"/>
    <cellStyle name="Comma 3 7 2 2 4 2 2" xfId="9713" xr:uid="{53036CE7-BE09-4DEC-8FA3-7A702AA57F86}"/>
    <cellStyle name="Comma 3 7 2 2 4 3" xfId="3258" xr:uid="{AA4003AE-E73B-4ABF-A03A-E5DD335EE0BF}"/>
    <cellStyle name="Comma 3 7 2 2 4 4" xfId="7191" xr:uid="{04627BF5-C41E-41CE-BC37-EBB29D3C63CC}"/>
    <cellStyle name="Comma 3 7 2 2 4 5" xfId="8705" xr:uid="{2220A30D-046F-49DC-944B-B3BD4B44227A}"/>
    <cellStyle name="Comma 3 7 2 2 4 6" xfId="12325" xr:uid="{8FA67FCD-D9DF-4B91-A8C5-8A01B716FFF7}"/>
    <cellStyle name="Comma 3 7 2 2 4 7" xfId="14070" xr:uid="{14B6B28D-3449-43B5-B4CE-E78A0F713DAB}"/>
    <cellStyle name="Comma 3 7 2 2 5" xfId="2053" xr:uid="{DF6945BF-B140-419E-9A52-B75FDB0278AE}"/>
    <cellStyle name="Comma 3 7 2 2 5 2" xfId="3773" xr:uid="{6E960689-D64C-43F1-880E-3B877E3A3E03}"/>
    <cellStyle name="Comma 3 7 2 2 5 3" xfId="7699" xr:uid="{8BAC9194-99B5-4456-A53B-4D6FC0BEC9B1}"/>
    <cellStyle name="Comma 3 7 2 2 5 4" xfId="9217" xr:uid="{E6FE8E7E-1AE5-4C5D-BC14-C0CC8AC3F7A1}"/>
    <cellStyle name="Comma 3 7 2 2 5 5" xfId="12831" xr:uid="{2A401FDE-8AAB-41AB-9270-22C5641400A4}"/>
    <cellStyle name="Comma 3 7 2 2 5 6" xfId="14576" xr:uid="{ECD1BB29-A752-489B-9F93-467617EA40C7}"/>
    <cellStyle name="Comma 3 7 2 2 6" xfId="4764" xr:uid="{98FAAB22-C6EE-4DCF-AD92-C090AACD078A}"/>
    <cellStyle name="Comma 3 7 2 2 6 2" xfId="10215" xr:uid="{1D9D2C0D-2B83-4CDD-BF1C-0FB22E204E1A}"/>
    <cellStyle name="Comma 3 7 2 2 7" xfId="5243" xr:uid="{A4339ED2-4D4B-436A-9204-FB411AC70DE4}"/>
    <cellStyle name="Comma 3 7 2 2 7 2" xfId="10717" xr:uid="{33CDD916-F19E-41FA-99EF-0529700B0809}"/>
    <cellStyle name="Comma 3 7 2 2 8" xfId="5745" xr:uid="{E7057725-8124-41AD-A57D-D577D43C42E2}"/>
    <cellStyle name="Comma 3 7 2 2 8 2" xfId="11219" xr:uid="{CAE8A3B7-05E8-47E7-8273-8E7797D32A3E}"/>
    <cellStyle name="Comma 3 7 2 2 9" xfId="2780" xr:uid="{92F750E1-92B9-42A8-9967-15AA52599F59}"/>
    <cellStyle name="Comma 3 7 2 3" xfId="1115" xr:uid="{B7AB02E8-1CBB-4C1F-B010-FACD71C2CFCB}"/>
    <cellStyle name="Comma 3 7 2 3 10" xfId="8285" xr:uid="{36A20843-C5AA-4F5A-8B00-A3C621F0E23C}"/>
    <cellStyle name="Comma 3 7 2 3 11" xfId="11895" xr:uid="{D5514FCE-58C0-4808-B8BD-E44084A570A7}"/>
    <cellStyle name="Comma 3 7 2 3 12" xfId="13640" xr:uid="{A7EBFB2D-D7D4-4E9C-9A96-92F10D172E7A}"/>
    <cellStyle name="Comma 3 7 2 3 2" xfId="1363" xr:uid="{CF44C7F9-6AA2-425B-943D-7A7E68449CD4}"/>
    <cellStyle name="Comma 3 7 2 3 2 10" xfId="12143" xr:uid="{199E3221-8C38-4CFC-93C3-1A80B4869A9F}"/>
    <cellStyle name="Comma 3 7 2 3 2 11" xfId="13888" xr:uid="{6D520ECC-05B1-455F-998A-76AF305056E8}"/>
    <cellStyle name="Comma 3 7 2 3 2 2" xfId="1869" xr:uid="{DC750A29-843E-46D1-9536-2C2D5A271D83}"/>
    <cellStyle name="Comma 3 7 2 3 2 2 2" xfId="4591" xr:uid="{CE07F24E-08E7-4455-9CC5-B9D189796F2E}"/>
    <cellStyle name="Comma 3 7 2 3 2 2 2 2" xfId="10037" xr:uid="{3767F742-D434-4355-B23C-0C8C73DA8C5C}"/>
    <cellStyle name="Comma 3 7 2 3 2 2 3" xfId="3581" xr:uid="{9A4C207A-7871-40C7-B781-7C66D71F9A08}"/>
    <cellStyle name="Comma 3 7 2 3 2 2 4" xfId="7515" xr:uid="{3F0521E0-011A-4D9B-B799-F4654C2121CE}"/>
    <cellStyle name="Comma 3 7 2 3 2 2 5" xfId="9029" xr:uid="{80209CC7-E553-4DDD-A8EA-742BB0396B29}"/>
    <cellStyle name="Comma 3 7 2 3 2 2 6" xfId="12649" xr:uid="{4CBCFD4B-86E2-4B03-9171-7013C963FC31}"/>
    <cellStyle name="Comma 3 7 2 3 2 2 7" xfId="14394" xr:uid="{9865FF6A-E9BB-454B-904D-2BDC4EDBF2F8}"/>
    <cellStyle name="Comma 3 7 2 3 2 3" xfId="2377" xr:uid="{D889A04C-98FD-48B9-8B04-BC72B8680A84}"/>
    <cellStyle name="Comma 3 7 2 3 2 3 2" xfId="4097" xr:uid="{DDB05BC0-FDEF-43DA-8B46-219373254585}"/>
    <cellStyle name="Comma 3 7 2 3 2 3 3" xfId="8023" xr:uid="{9BB6754D-8705-4D83-8F2C-B9A5C5EC9225}"/>
    <cellStyle name="Comma 3 7 2 3 2 3 4" xfId="9541" xr:uid="{C3198A93-E4C6-4C45-9F8A-0D7C29B60676}"/>
    <cellStyle name="Comma 3 7 2 3 2 3 5" xfId="13155" xr:uid="{0783FFF3-F6EA-445B-A922-10129F19324B}"/>
    <cellStyle name="Comma 3 7 2 3 2 3 6" xfId="14900" xr:uid="{31B35FB2-3512-4563-B92E-7A64BE2897B4}"/>
    <cellStyle name="Comma 3 7 2 3 2 4" xfId="5069" xr:uid="{EDFE5EA2-B8DF-4237-B641-3B0464B96F47}"/>
    <cellStyle name="Comma 3 7 2 3 2 4 2" xfId="10539" xr:uid="{43CE5BEB-8AD4-40DF-9171-7BB199CB9AB8}"/>
    <cellStyle name="Comma 3 7 2 3 2 5" xfId="5567" xr:uid="{377E5C84-C003-433A-8231-6E81C529246E}"/>
    <cellStyle name="Comma 3 7 2 3 2 5 2" xfId="11041" xr:uid="{99E581A9-E5CB-4DAF-AD48-117D7B0F5095}"/>
    <cellStyle name="Comma 3 7 2 3 2 6" xfId="6069" xr:uid="{CA2E1B1B-7FCA-408A-BE9A-80426DE94DE9}"/>
    <cellStyle name="Comma 3 7 2 3 2 6 2" xfId="11543" xr:uid="{7103512F-C994-4520-8855-E40199A99087}"/>
    <cellStyle name="Comma 3 7 2 3 2 7" xfId="3087" xr:uid="{5542406B-7143-4310-97B6-438597DB5463}"/>
    <cellStyle name="Comma 3 7 2 3 2 8" xfId="7009" xr:uid="{45DF0A4F-33EC-4B50-B102-77F6853DAA82}"/>
    <cellStyle name="Comma 3 7 2 3 2 9" xfId="8533" xr:uid="{F0F65FEF-A1E0-4F6E-893D-3A4637136580}"/>
    <cellStyle name="Comma 3 7 2 3 3" xfId="1621" xr:uid="{CFDA8FA0-7180-4D88-A4BC-AA14756EFEA1}"/>
    <cellStyle name="Comma 3 7 2 3 3 2" xfId="4343" xr:uid="{6B359534-B26A-4605-BB95-C568CABA2E54}"/>
    <cellStyle name="Comma 3 7 2 3 3 2 2" xfId="9789" xr:uid="{F95BDB47-3DAE-4B44-847E-C60176763067}"/>
    <cellStyle name="Comma 3 7 2 3 3 3" xfId="3333" xr:uid="{6B89AADA-8C27-4A0E-947E-D578011D004F}"/>
    <cellStyle name="Comma 3 7 2 3 3 4" xfId="7267" xr:uid="{A237DB2E-F218-49D3-85DC-1DAE6E679519}"/>
    <cellStyle name="Comma 3 7 2 3 3 5" xfId="8781" xr:uid="{68153EF9-FD42-4A17-909E-624FE5FCC6D8}"/>
    <cellStyle name="Comma 3 7 2 3 3 6" xfId="12401" xr:uid="{BF490DB8-B89A-4AC3-AD8F-D9D358E47EA3}"/>
    <cellStyle name="Comma 3 7 2 3 3 7" xfId="14146" xr:uid="{210BA51B-3699-4207-A64E-B5ECE3AF0FE9}"/>
    <cellStyle name="Comma 3 7 2 3 4" xfId="2129" xr:uid="{B33103AE-8C11-4AA4-86A2-5AE5C22A818F}"/>
    <cellStyle name="Comma 3 7 2 3 4 2" xfId="3849" xr:uid="{9A9E3199-28DE-4BF7-AAF6-BA1453A58D14}"/>
    <cellStyle name="Comma 3 7 2 3 4 3" xfId="7775" xr:uid="{CEF485FF-F706-45DE-9FB8-634679801B36}"/>
    <cellStyle name="Comma 3 7 2 3 4 4" xfId="9293" xr:uid="{93AFB507-BE3C-4EB2-BDA8-9B34D8D0D12B}"/>
    <cellStyle name="Comma 3 7 2 3 4 5" xfId="12907" xr:uid="{338FCEED-E3EE-4AF3-AB9B-4DAD2FC7BB25}"/>
    <cellStyle name="Comma 3 7 2 3 4 6" xfId="14652" xr:uid="{4EFF6746-E968-4DCF-B151-7A6F259AF5EF}"/>
    <cellStyle name="Comma 3 7 2 3 5" xfId="4833" xr:uid="{97A3CD8D-B9A3-4F6B-8150-1EAF84AA7535}"/>
    <cellStyle name="Comma 3 7 2 3 5 2" xfId="10291" xr:uid="{A982CE25-9EE5-4DFB-96D8-1BD5A9B556DA}"/>
    <cellStyle name="Comma 3 7 2 3 6" xfId="5319" xr:uid="{5BDD820E-15F9-47EE-B4FF-8ABCB665F9B6}"/>
    <cellStyle name="Comma 3 7 2 3 6 2" xfId="10793" xr:uid="{4844DAFF-72F8-4A35-89AB-B54EE3E818FF}"/>
    <cellStyle name="Comma 3 7 2 3 7" xfId="5821" xr:uid="{D850AB88-0DB3-4162-AE79-C14E31A512AF}"/>
    <cellStyle name="Comma 3 7 2 3 7 2" xfId="11295" xr:uid="{81167413-132B-4DF4-B868-F05DA75A495C}"/>
    <cellStyle name="Comma 3 7 2 3 8" xfId="2849" xr:uid="{72336611-3B94-483A-9D79-868ED3EB386F}"/>
    <cellStyle name="Comma 3 7 2 3 9" xfId="6761" xr:uid="{12087EB1-214E-4554-946C-0B9120DEAB08}"/>
    <cellStyle name="Comma 3 7 2 4" xfId="1239" xr:uid="{CBED4B43-F1B9-4AD4-A90A-95276EE6CB2F}"/>
    <cellStyle name="Comma 3 7 2 4 10" xfId="12019" xr:uid="{00A17FBA-B880-4CFA-9A8C-AC8E3B6EFB7D}"/>
    <cellStyle name="Comma 3 7 2 4 11" xfId="13764" xr:uid="{BE1B6DA0-664D-4434-AB03-9DBEAA7A78F2}"/>
    <cellStyle name="Comma 3 7 2 4 2" xfId="1745" xr:uid="{9E0DA4F9-FADA-4CEE-ACEC-0DD638E81D99}"/>
    <cellStyle name="Comma 3 7 2 4 2 2" xfId="4467" xr:uid="{B46B9EEB-2436-4471-988B-253573398755}"/>
    <cellStyle name="Comma 3 7 2 4 2 2 2" xfId="9913" xr:uid="{DE2CBB8E-8D07-4785-94E9-0C8D69E72DAB}"/>
    <cellStyle name="Comma 3 7 2 4 2 3" xfId="3457" xr:uid="{82F7A288-D961-444C-9AC3-92F8FF62BEB4}"/>
    <cellStyle name="Comma 3 7 2 4 2 4" xfId="7391" xr:uid="{8EE53351-184B-4B27-965B-7AA3FBCA777F}"/>
    <cellStyle name="Comma 3 7 2 4 2 5" xfId="8905" xr:uid="{C76D0C28-AD7D-4260-B2A6-90FDF8878E49}"/>
    <cellStyle name="Comma 3 7 2 4 2 6" xfId="12525" xr:uid="{5B9879B0-1FB6-48D5-A3C5-358A34F1F2EA}"/>
    <cellStyle name="Comma 3 7 2 4 2 7" xfId="14270" xr:uid="{3A43CEE6-94BD-4C41-832F-E8FFCF0EEDEC}"/>
    <cellStyle name="Comma 3 7 2 4 3" xfId="2253" xr:uid="{C4054DD6-B44A-44E4-BD89-F28673C9D7F0}"/>
    <cellStyle name="Comma 3 7 2 4 3 2" xfId="3973" xr:uid="{D7AB20E1-19AA-458B-A548-A6B906203683}"/>
    <cellStyle name="Comma 3 7 2 4 3 3" xfId="7899" xr:uid="{3C6541C5-B6C0-405F-AD7C-29B4A3A04CB6}"/>
    <cellStyle name="Comma 3 7 2 4 3 4" xfId="9417" xr:uid="{734939A2-4007-4988-83FC-185C48E7C68E}"/>
    <cellStyle name="Comma 3 7 2 4 3 5" xfId="13031" xr:uid="{40ACF94C-BD8E-47BE-8253-F23C281DA6EA}"/>
    <cellStyle name="Comma 3 7 2 4 3 6" xfId="14776" xr:uid="{2BDC8B2C-3477-4119-A533-5F87E87AAA28}"/>
    <cellStyle name="Comma 3 7 2 4 4" xfId="4949" xr:uid="{C02CF31F-D3E9-44B4-9AAE-542F11E25006}"/>
    <cellStyle name="Comma 3 7 2 4 4 2" xfId="10415" xr:uid="{C4482459-0ECD-47E2-82AB-617EA5954FDA}"/>
    <cellStyle name="Comma 3 7 2 4 5" xfId="5443" xr:uid="{8618A3BE-FB4C-4D55-B798-6878D46D8083}"/>
    <cellStyle name="Comma 3 7 2 4 5 2" xfId="10917" xr:uid="{A425AB90-F756-418E-8AE6-8C153D0C5DB8}"/>
    <cellStyle name="Comma 3 7 2 4 6" xfId="5945" xr:uid="{EAB8B787-56BC-45AB-A6BE-ECFAB1DC8A1F}"/>
    <cellStyle name="Comma 3 7 2 4 6 2" xfId="11419" xr:uid="{3FCD2245-E612-4E61-9D43-D221715B42CC}"/>
    <cellStyle name="Comma 3 7 2 4 7" xfId="2967" xr:uid="{094037CE-E7B8-4F8F-B9B2-456D34DCE9AA}"/>
    <cellStyle name="Comma 3 7 2 4 8" xfId="6885" xr:uid="{CF525DE1-6A11-4E92-97C8-45AAAB088FA9}"/>
    <cellStyle name="Comma 3 7 2 4 9" xfId="8409" xr:uid="{203B1945-10A2-49C7-93D7-B511915658C2}"/>
    <cellStyle name="Comma 3 7 2 5" xfId="1497" xr:uid="{3C47626C-226A-404B-9EA9-A022284F0E4F}"/>
    <cellStyle name="Comma 3 7 2 5 2" xfId="4221" xr:uid="{EA8FE0AE-79B9-40A0-96FD-CEA70D331E16}"/>
    <cellStyle name="Comma 3 7 2 5 2 2" xfId="9665" xr:uid="{39B216B7-3A75-4C81-ABC5-AEA552872471}"/>
    <cellStyle name="Comma 3 7 2 5 3" xfId="3211" xr:uid="{4D5F70CC-A060-477A-8E93-9AC8BC9EBCF6}"/>
    <cellStyle name="Comma 3 7 2 5 4" xfId="7143" xr:uid="{80640C42-A188-4784-8424-BA7B86D3D791}"/>
    <cellStyle name="Comma 3 7 2 5 5" xfId="8657" xr:uid="{BA1CB52E-C569-4170-AF60-31FF9B2B6738}"/>
    <cellStyle name="Comma 3 7 2 5 6" xfId="12277" xr:uid="{1DC47EF8-7582-4FDA-9E3D-7EB41866A15E}"/>
    <cellStyle name="Comma 3 7 2 5 7" xfId="14022" xr:uid="{E1EF4E21-DA7A-4AA1-9CF6-2C38A3C1870F}"/>
    <cellStyle name="Comma 3 7 2 6" xfId="2005" xr:uid="{8A3F6E06-0DE4-4AE5-AD9A-C6021B6271B5}"/>
    <cellStyle name="Comma 3 7 2 6 2" xfId="3725" xr:uid="{20829260-7CD8-4EBC-8DF1-8976B1317514}"/>
    <cellStyle name="Comma 3 7 2 6 3" xfId="7651" xr:uid="{EC28DCA4-3E85-4210-A302-38103E8601BC}"/>
    <cellStyle name="Comma 3 7 2 6 4" xfId="9169" xr:uid="{0BC7E77C-F22A-4A21-AB6C-A066598160CD}"/>
    <cellStyle name="Comma 3 7 2 6 5" xfId="12783" xr:uid="{DDE42ABC-CEE0-4885-B4CF-4CBA23A63B3C}"/>
    <cellStyle name="Comma 3 7 2 6 6" xfId="14528" xr:uid="{428E3CF3-A645-4B60-8CCF-D4C1513D5C39}"/>
    <cellStyle name="Comma 3 7 2 7" xfId="4721" xr:uid="{D56B2DA8-4547-40A7-81C2-4C3C88242B8D}"/>
    <cellStyle name="Comma 3 7 2 7 2" xfId="10167" xr:uid="{FC391E8B-D454-434F-8141-AC7E8A5A1FFD}"/>
    <cellStyle name="Comma 3 7 2 8" xfId="5195" xr:uid="{FC682232-B6C7-4446-B6E6-2614688D16B8}"/>
    <cellStyle name="Comma 3 7 2 8 2" xfId="10669" xr:uid="{0A4F153E-492A-4644-BF12-43A0C7BE671C}"/>
    <cellStyle name="Comma 3 7 2 9" xfId="5697" xr:uid="{C8A16ACB-951B-4C01-9AFF-3DBC252EF404}"/>
    <cellStyle name="Comma 3 7 2 9 2" xfId="11171" xr:uid="{A9D2537E-BD70-4116-A89F-737C58244117}"/>
    <cellStyle name="Comma 3 7 3" xfId="1011" xr:uid="{777DE32F-0A40-41AD-AF80-71D38C51E760}"/>
    <cellStyle name="Comma 3 7 3 10" xfId="2755" xr:uid="{2A5D4BB3-2CC9-48D1-AA4F-5319112B9BEC}"/>
    <cellStyle name="Comma 3 7 3 11" xfId="6657" xr:uid="{C452A5C8-7A5D-4A19-8AD1-8CA4927D714C}"/>
    <cellStyle name="Comma 3 7 3 12" xfId="8181" xr:uid="{5F9BFEC1-7B47-40AE-B065-A7E44306D4EB}"/>
    <cellStyle name="Comma 3 7 3 13" xfId="11791" xr:uid="{1CB2F198-DCCB-4203-BF83-651098484C60}"/>
    <cellStyle name="Comma 3 7 3 14" xfId="13536" xr:uid="{D243DE27-EE3B-4042-8E29-F1E40921D39D}"/>
    <cellStyle name="Comma 3 7 3 2" xfId="1040" xr:uid="{EC6A08FC-EB20-4D4F-B3E5-38AC57A4DCDE}"/>
    <cellStyle name="Comma 3 7 3 2 10" xfId="6686" xr:uid="{1DB8E24E-DA54-484F-A4B0-E57E0BAD6689}"/>
    <cellStyle name="Comma 3 7 3 2 11" xfId="8210" xr:uid="{586551B6-9D63-4C99-95DE-29FFFE3F9620}"/>
    <cellStyle name="Comma 3 7 3 2 12" xfId="11820" xr:uid="{1579CD0E-30CD-4918-BB52-2E1590AD66F2}"/>
    <cellStyle name="Comma 3 7 3 2 13" xfId="13565" xr:uid="{02DF5C4D-08D0-4601-B82B-0C073624E6DC}"/>
    <cellStyle name="Comma 3 7 3 2 2" xfId="1164" xr:uid="{133BEBC5-4E6F-4546-93CF-21E8EA704940}"/>
    <cellStyle name="Comma 3 7 3 2 2 10" xfId="8334" xr:uid="{AC82E6FE-88BF-4322-A98C-8B03FBA20DCD}"/>
    <cellStyle name="Comma 3 7 3 2 2 11" xfId="11944" xr:uid="{A8BFBD75-7119-41A1-8966-4A6EF5AC97DE}"/>
    <cellStyle name="Comma 3 7 3 2 2 12" xfId="13689" xr:uid="{AD6E3862-0759-4887-AD4A-525451F89AF3}"/>
    <cellStyle name="Comma 3 7 3 2 2 2" xfId="1412" xr:uid="{4BF04636-5240-4078-B95A-E072265211ED}"/>
    <cellStyle name="Comma 3 7 3 2 2 2 10" xfId="12192" xr:uid="{7065C7DE-D9BC-4ED2-A24D-7485B7FC0355}"/>
    <cellStyle name="Comma 3 7 3 2 2 2 11" xfId="13937" xr:uid="{6CF4FD56-8726-4808-89F6-81DC2D41BC02}"/>
    <cellStyle name="Comma 3 7 3 2 2 2 2" xfId="1918" xr:uid="{139503CD-8744-444D-AC92-0F7B366B6714}"/>
    <cellStyle name="Comma 3 7 3 2 2 2 2 2" xfId="4640" xr:uid="{ED1E74EC-B61B-4D73-9B1C-0A3696400436}"/>
    <cellStyle name="Comma 3 7 3 2 2 2 2 2 2" xfId="10086" xr:uid="{D726DC2F-6E8B-41B7-BA96-D306DF98AB6A}"/>
    <cellStyle name="Comma 3 7 3 2 2 2 2 3" xfId="3630" xr:uid="{5533BF50-C4D6-455F-B7FF-299BC0986508}"/>
    <cellStyle name="Comma 3 7 3 2 2 2 2 4" xfId="7564" xr:uid="{D9F03C5A-A0AD-49C5-9B54-38403955504B}"/>
    <cellStyle name="Comma 3 7 3 2 2 2 2 5" xfId="9078" xr:uid="{7D54D92F-B4B0-4FDB-94B0-CD422F7BDE35}"/>
    <cellStyle name="Comma 3 7 3 2 2 2 2 6" xfId="12698" xr:uid="{5B8825AB-4B69-453F-A380-33F6A5D0715C}"/>
    <cellStyle name="Comma 3 7 3 2 2 2 2 7" xfId="14443" xr:uid="{377F458F-8BDC-45A5-8AB4-C498EA13F41A}"/>
    <cellStyle name="Comma 3 7 3 2 2 2 3" xfId="2426" xr:uid="{5F87E32C-4063-4583-A079-F7C882ACB066}"/>
    <cellStyle name="Comma 3 7 3 2 2 2 3 2" xfId="4146" xr:uid="{9EECB6B6-B78E-4581-A355-906BAE0EE889}"/>
    <cellStyle name="Comma 3 7 3 2 2 2 3 3" xfId="8072" xr:uid="{29BFA739-5E55-4911-91DD-88BCD4257DA5}"/>
    <cellStyle name="Comma 3 7 3 2 2 2 3 4" xfId="9590" xr:uid="{FF920214-BD01-4879-BFDE-775AD37A42C9}"/>
    <cellStyle name="Comma 3 7 3 2 2 2 3 5" xfId="13204" xr:uid="{C83D1B45-EA8F-463B-A3DB-DCECEDB25CCF}"/>
    <cellStyle name="Comma 3 7 3 2 2 2 3 6" xfId="14949" xr:uid="{BF728C17-A39A-44EA-B5E8-7CE4D325AAC2}"/>
    <cellStyle name="Comma 3 7 3 2 2 2 4" xfId="5118" xr:uid="{5E0C7E0C-7FB4-4A64-B897-2AB34E487F22}"/>
    <cellStyle name="Comma 3 7 3 2 2 2 4 2" xfId="10588" xr:uid="{C5EDDD6A-7A21-4897-BEE2-37BA7514707A}"/>
    <cellStyle name="Comma 3 7 3 2 2 2 5" xfId="5616" xr:uid="{5651C701-5B4C-464F-B4A5-843B48C955D5}"/>
    <cellStyle name="Comma 3 7 3 2 2 2 5 2" xfId="11090" xr:uid="{CC4F7834-B7AF-46C3-818C-EF5504012643}"/>
    <cellStyle name="Comma 3 7 3 2 2 2 6" xfId="6118" xr:uid="{C23D5F5C-ACF6-4A8A-88C0-25E2F753F3DA}"/>
    <cellStyle name="Comma 3 7 3 2 2 2 6 2" xfId="11592" xr:uid="{48E62C2F-6159-4263-BF62-5FA0F99F59C3}"/>
    <cellStyle name="Comma 3 7 3 2 2 2 7" xfId="3136" xr:uid="{CD1D1A83-8CC7-4BBB-8BE5-337A9406DBA8}"/>
    <cellStyle name="Comma 3 7 3 2 2 2 8" xfId="7058" xr:uid="{F5A7AFC0-6B76-4BC3-9E42-59CE2364DA02}"/>
    <cellStyle name="Comma 3 7 3 2 2 2 9" xfId="8582" xr:uid="{DCFCE167-896E-4042-A9A4-BDC4809AB1B4}"/>
    <cellStyle name="Comma 3 7 3 2 2 3" xfId="1670" xr:uid="{2BAD8EDD-005E-469D-B03F-3C6975CE4475}"/>
    <cellStyle name="Comma 3 7 3 2 2 3 2" xfId="4392" xr:uid="{830B23F6-C8B2-4787-91B1-66884E53981A}"/>
    <cellStyle name="Comma 3 7 3 2 2 3 2 2" xfId="9838" xr:uid="{5CA6ED03-2BE8-4679-9D27-8D94A74CFCC9}"/>
    <cellStyle name="Comma 3 7 3 2 2 3 3" xfId="3382" xr:uid="{24C0627B-F9E9-4C84-BF93-7B5C23D2190F}"/>
    <cellStyle name="Comma 3 7 3 2 2 3 4" xfId="7316" xr:uid="{92A66AA3-9A67-433E-9AA0-D18057300ED2}"/>
    <cellStyle name="Comma 3 7 3 2 2 3 5" xfId="8830" xr:uid="{CCD04848-5441-46CF-8B80-AC56138B600E}"/>
    <cellStyle name="Comma 3 7 3 2 2 3 6" xfId="12450" xr:uid="{7183C539-1725-4404-BF45-F5C450D99649}"/>
    <cellStyle name="Comma 3 7 3 2 2 3 7" xfId="14195" xr:uid="{6D7C31E7-5046-4110-AA4C-848F4C0D9772}"/>
    <cellStyle name="Comma 3 7 3 2 2 4" xfId="2178" xr:uid="{048BCA38-62EC-4F5E-B17C-F7D47261A10C}"/>
    <cellStyle name="Comma 3 7 3 2 2 4 2" xfId="3898" xr:uid="{DC5F6F77-47FB-4C36-BD49-DCCCFAF5FC86}"/>
    <cellStyle name="Comma 3 7 3 2 2 4 3" xfId="7824" xr:uid="{CDCC1311-5EE5-442B-BA7D-9544219260BA}"/>
    <cellStyle name="Comma 3 7 3 2 2 4 4" xfId="9342" xr:uid="{26A5795C-6051-4DD8-87E5-9490B475A2EA}"/>
    <cellStyle name="Comma 3 7 3 2 2 4 5" xfId="12956" xr:uid="{416AB451-CA3F-42B8-928D-3C3421FB46A2}"/>
    <cellStyle name="Comma 3 7 3 2 2 4 6" xfId="14701" xr:uid="{23E5708A-C6E8-4353-B6CB-160EF8EBB351}"/>
    <cellStyle name="Comma 3 7 3 2 2 5" xfId="4879" xr:uid="{40FE8E1A-8DF0-4762-B816-EB2E38E449D6}"/>
    <cellStyle name="Comma 3 7 3 2 2 5 2" xfId="10340" xr:uid="{D1718EC6-9F8B-4475-8BCA-90F723E4D7FA}"/>
    <cellStyle name="Comma 3 7 3 2 2 6" xfId="5368" xr:uid="{9C09FD1C-F3CB-4C21-B927-3FC3F75B78D5}"/>
    <cellStyle name="Comma 3 7 3 2 2 6 2" xfId="10842" xr:uid="{9ECE67BD-9A79-4B4A-95CB-D34E5161FB39}"/>
    <cellStyle name="Comma 3 7 3 2 2 7" xfId="5870" xr:uid="{EE5F87FA-121F-49EB-AC4A-714D9DC66198}"/>
    <cellStyle name="Comma 3 7 3 2 2 7 2" xfId="11344" xr:uid="{369F9B64-9836-4C2D-960C-2061CF62D8D2}"/>
    <cellStyle name="Comma 3 7 3 2 2 8" xfId="2895" xr:uid="{F684F84D-1044-42A6-8A4C-0D136B54E953}"/>
    <cellStyle name="Comma 3 7 3 2 2 9" xfId="6810" xr:uid="{F95C64FB-AB0E-407F-883B-F14289D1DE21}"/>
    <cellStyle name="Comma 3 7 3 2 3" xfId="1288" xr:uid="{2390D222-4563-4EDF-9FB2-18600D73E14C}"/>
    <cellStyle name="Comma 3 7 3 2 3 10" xfId="12068" xr:uid="{B78EE50C-650A-4EC2-9872-AAE697683431}"/>
    <cellStyle name="Comma 3 7 3 2 3 11" xfId="13813" xr:uid="{74CD0699-FDC4-4B6C-A129-14F0DB77D5A8}"/>
    <cellStyle name="Comma 3 7 3 2 3 2" xfId="1794" xr:uid="{D9F07816-F59C-4D9A-9043-11F80E1831E0}"/>
    <cellStyle name="Comma 3 7 3 2 3 2 2" xfId="4516" xr:uid="{486BAABA-CB2B-4F77-9713-9BD231D845C7}"/>
    <cellStyle name="Comma 3 7 3 2 3 2 2 2" xfId="9962" xr:uid="{D01200DC-CDFC-4AEA-AA22-ABDAAA97547A}"/>
    <cellStyle name="Comma 3 7 3 2 3 2 3" xfId="3506" xr:uid="{35838036-AD76-45FF-A789-93D3A5D93CF4}"/>
    <cellStyle name="Comma 3 7 3 2 3 2 4" xfId="7440" xr:uid="{A56F284D-458B-45E8-B426-AF38A4749D5A}"/>
    <cellStyle name="Comma 3 7 3 2 3 2 5" xfId="8954" xr:uid="{F2F51829-2000-4DE2-AF55-435EFA997F18}"/>
    <cellStyle name="Comma 3 7 3 2 3 2 6" xfId="12574" xr:uid="{41F4C0AC-2A6F-4127-B31C-37A2312E3074}"/>
    <cellStyle name="Comma 3 7 3 2 3 2 7" xfId="14319" xr:uid="{EEA66C20-7DC6-4B3D-BC40-26AC1CFEB53F}"/>
    <cellStyle name="Comma 3 7 3 2 3 3" xfId="2302" xr:uid="{EB62CCF3-4835-4048-A5AF-AA945B1218A9}"/>
    <cellStyle name="Comma 3 7 3 2 3 3 2" xfId="4022" xr:uid="{A45ABED4-E2F6-4EF8-A8B5-4A99A40581A0}"/>
    <cellStyle name="Comma 3 7 3 2 3 3 3" xfId="7948" xr:uid="{2BBF6B50-D564-4C1A-A8AD-E078C44A830D}"/>
    <cellStyle name="Comma 3 7 3 2 3 3 4" xfId="9466" xr:uid="{70966424-BB6B-41EB-A50D-E800C9D90BC8}"/>
    <cellStyle name="Comma 3 7 3 2 3 3 5" xfId="13080" xr:uid="{D75FAB54-5613-4D1F-BD43-C5D12A265960}"/>
    <cellStyle name="Comma 3 7 3 2 3 3 6" xfId="14825" xr:uid="{12F5DE84-8DD4-4D78-850F-270E6877C48A}"/>
    <cellStyle name="Comma 3 7 3 2 3 4" xfId="4995" xr:uid="{5D113A50-7CAA-4C69-88A5-1690B1B59DC5}"/>
    <cellStyle name="Comma 3 7 3 2 3 4 2" xfId="10464" xr:uid="{0DB5E31F-7871-48A0-A0C7-EAEF7B9E16FD}"/>
    <cellStyle name="Comma 3 7 3 2 3 5" xfId="5492" xr:uid="{EA345881-9F9B-4D5C-87E8-A21CCECE475E}"/>
    <cellStyle name="Comma 3 7 3 2 3 5 2" xfId="10966" xr:uid="{01ACF628-A511-4073-904B-030A5D0CA7B5}"/>
    <cellStyle name="Comma 3 7 3 2 3 6" xfId="5994" xr:uid="{7B80CB1F-88B7-44BB-B8E1-0752B52A20AF}"/>
    <cellStyle name="Comma 3 7 3 2 3 6 2" xfId="11468" xr:uid="{C3398A70-BA45-4628-954D-573CE5B7A085}"/>
    <cellStyle name="Comma 3 7 3 2 3 7" xfId="3013" xr:uid="{2ADE64F0-8D4F-4089-A5BC-8DCCF10697D8}"/>
    <cellStyle name="Comma 3 7 3 2 3 8" xfId="6934" xr:uid="{52FFCBD0-10D0-409A-AB74-56A748A8A426}"/>
    <cellStyle name="Comma 3 7 3 2 3 9" xfId="8458" xr:uid="{D9EA7CE3-C058-460B-AAFB-977DB9BDB60D}"/>
    <cellStyle name="Comma 3 7 3 2 4" xfId="1546" xr:uid="{E8C82DCE-C48B-4864-A898-5A2B71391254}"/>
    <cellStyle name="Comma 3 7 3 2 4 2" xfId="4269" xr:uid="{27FAD245-BCBF-44D0-A2D4-4EDF6E17A4D4}"/>
    <cellStyle name="Comma 3 7 3 2 4 2 2" xfId="9714" xr:uid="{F8840195-904D-46B6-8F18-68F661A9D61B}"/>
    <cellStyle name="Comma 3 7 3 2 4 3" xfId="3259" xr:uid="{C4E0A56E-C45C-4B94-8C4E-EC046C99DEF0}"/>
    <cellStyle name="Comma 3 7 3 2 4 4" xfId="7192" xr:uid="{BCDE60DA-735B-4E9B-A751-B88F33AA8A1C}"/>
    <cellStyle name="Comma 3 7 3 2 4 5" xfId="8706" xr:uid="{2BF661CC-A9C8-4C83-97D0-F8BCC900E7F1}"/>
    <cellStyle name="Comma 3 7 3 2 4 6" xfId="12326" xr:uid="{148C71C7-2202-42BB-AC51-F4CF96E127FD}"/>
    <cellStyle name="Comma 3 7 3 2 4 7" xfId="14071" xr:uid="{9D6E944F-8E01-4476-8CCE-4E0D49501FA5}"/>
    <cellStyle name="Comma 3 7 3 2 5" xfId="2054" xr:uid="{7C3259D2-8F59-46D0-B5E4-E3C078F902C1}"/>
    <cellStyle name="Comma 3 7 3 2 5 2" xfId="3774" xr:uid="{7CEABA8E-C158-49DC-83F3-ED721496C44B}"/>
    <cellStyle name="Comma 3 7 3 2 5 3" xfId="7700" xr:uid="{6F1FC08B-8E18-4F54-9127-E81701D9F580}"/>
    <cellStyle name="Comma 3 7 3 2 5 4" xfId="9218" xr:uid="{4A4F6196-3233-4D15-A806-481A72DBA494}"/>
    <cellStyle name="Comma 3 7 3 2 5 5" xfId="12832" xr:uid="{2B2555FC-29A8-4F0C-A331-1E447068464C}"/>
    <cellStyle name="Comma 3 7 3 2 5 6" xfId="14577" xr:uid="{A720745F-CCAE-4CAF-97B9-160251E9B06A}"/>
    <cellStyle name="Comma 3 7 3 2 6" xfId="4765" xr:uid="{B9710322-40DD-4845-A901-436473BE8B2F}"/>
    <cellStyle name="Comma 3 7 3 2 6 2" xfId="10216" xr:uid="{EBE9819D-C1AB-4E70-B839-F736CEDD4F34}"/>
    <cellStyle name="Comma 3 7 3 2 7" xfId="5244" xr:uid="{65F17EFF-317F-4D8D-8313-9B4D3A041655}"/>
    <cellStyle name="Comma 3 7 3 2 7 2" xfId="10718" xr:uid="{F2A64E75-3614-4242-B3D6-3339AEAF57FA}"/>
    <cellStyle name="Comma 3 7 3 2 8" xfId="5746" xr:uid="{CF9CA020-83B6-45AA-8AB1-858E439E1F58}"/>
    <cellStyle name="Comma 3 7 3 2 8 2" xfId="11220" xr:uid="{6F49D8FC-0836-4E5C-824D-401D734440BD}"/>
    <cellStyle name="Comma 3 7 3 2 9" xfId="2781" xr:uid="{4744D62E-1073-4A33-B134-D0EE245DB1D7}"/>
    <cellStyle name="Comma 3 7 3 3" xfId="1135" xr:uid="{543F2A34-63F0-4BFA-82A2-4EFC63EB101E}"/>
    <cellStyle name="Comma 3 7 3 3 10" xfId="8305" xr:uid="{78636186-F9CE-47A7-94E6-22486517AC1C}"/>
    <cellStyle name="Comma 3 7 3 3 11" xfId="11915" xr:uid="{4F974EDA-A40C-45D1-9239-E1C9F8494DE0}"/>
    <cellStyle name="Comma 3 7 3 3 12" xfId="13660" xr:uid="{10DAC074-00C2-4F80-A869-47E46EEC1EE9}"/>
    <cellStyle name="Comma 3 7 3 3 2" xfId="1383" xr:uid="{1E6179B7-49A8-4BF9-AD62-07C7377C49F5}"/>
    <cellStyle name="Comma 3 7 3 3 2 10" xfId="12163" xr:uid="{C613E8FB-B5CA-46E1-A72A-7E5C36FDBE98}"/>
    <cellStyle name="Comma 3 7 3 3 2 11" xfId="13908" xr:uid="{F3B87A73-0F93-48AC-8E50-4791D0148386}"/>
    <cellStyle name="Comma 3 7 3 3 2 2" xfId="1889" xr:uid="{B4542D11-C337-4C29-8336-DBF9F058CF74}"/>
    <cellStyle name="Comma 3 7 3 3 2 2 2" xfId="4611" xr:uid="{20378080-68A3-46B9-8A6E-7554CCCBCEF8}"/>
    <cellStyle name="Comma 3 7 3 3 2 2 2 2" xfId="10057" xr:uid="{44DCA1A7-3789-477F-B13C-076F2D170DCA}"/>
    <cellStyle name="Comma 3 7 3 3 2 2 3" xfId="3601" xr:uid="{49F4599C-0C38-4607-ABC0-B1DDB36EC5E7}"/>
    <cellStyle name="Comma 3 7 3 3 2 2 4" xfId="7535" xr:uid="{F5830B85-B1E3-4259-9490-41CB1B52B6C3}"/>
    <cellStyle name="Comma 3 7 3 3 2 2 5" xfId="9049" xr:uid="{C0B7D6D0-476A-4F4E-B86F-F76D275A2B97}"/>
    <cellStyle name="Comma 3 7 3 3 2 2 6" xfId="12669" xr:uid="{368D2E63-263F-48F1-AB4F-2BE2E3BCAB83}"/>
    <cellStyle name="Comma 3 7 3 3 2 2 7" xfId="14414" xr:uid="{D1E20D89-2E2C-45ED-B15F-62D0278C6E16}"/>
    <cellStyle name="Comma 3 7 3 3 2 3" xfId="2397" xr:uid="{987F0873-3B6C-45EB-B096-1F985A53EA8B}"/>
    <cellStyle name="Comma 3 7 3 3 2 3 2" xfId="4117" xr:uid="{AB0A8A17-D87D-41A6-84F4-2186C9594C71}"/>
    <cellStyle name="Comma 3 7 3 3 2 3 3" xfId="8043" xr:uid="{3406FAC2-80A5-47BC-8C49-E71E338C58BC}"/>
    <cellStyle name="Comma 3 7 3 3 2 3 4" xfId="9561" xr:uid="{7CF69E5F-0A18-40A2-B735-E01B8ED76A4A}"/>
    <cellStyle name="Comma 3 7 3 3 2 3 5" xfId="13175" xr:uid="{CB5B9AAC-AB83-4F2E-BFAF-FD7F8CB0C708}"/>
    <cellStyle name="Comma 3 7 3 3 2 3 6" xfId="14920" xr:uid="{779EF89E-4966-4884-A4C5-D7AE12D0ABEB}"/>
    <cellStyle name="Comma 3 7 3 3 2 4" xfId="5089" xr:uid="{04F3FEEA-0879-4415-8094-8B516AEA807A}"/>
    <cellStyle name="Comma 3 7 3 3 2 4 2" xfId="10559" xr:uid="{CB731D2F-5C80-48A9-B763-E4F1431139EA}"/>
    <cellStyle name="Comma 3 7 3 3 2 5" xfId="5587" xr:uid="{08CDA733-B022-426F-BEB0-79935ABBF8D5}"/>
    <cellStyle name="Comma 3 7 3 3 2 5 2" xfId="11061" xr:uid="{EA075008-2471-4285-A0F1-9BE2BFD3D2AD}"/>
    <cellStyle name="Comma 3 7 3 3 2 6" xfId="6089" xr:uid="{146D232F-A515-4A4B-858E-67F730E0BBEA}"/>
    <cellStyle name="Comma 3 7 3 3 2 6 2" xfId="11563" xr:uid="{F6540B4D-CD7F-4F38-9B84-577ECB8E040E}"/>
    <cellStyle name="Comma 3 7 3 3 2 7" xfId="3107" xr:uid="{0BACE172-4F8E-4786-B265-FD584561FBE8}"/>
    <cellStyle name="Comma 3 7 3 3 2 8" xfId="7029" xr:uid="{67E89A33-CE0C-42AE-8494-8EE846928BE5}"/>
    <cellStyle name="Comma 3 7 3 3 2 9" xfId="8553" xr:uid="{4D5E4A52-718E-48CF-B531-022097F171E3}"/>
    <cellStyle name="Comma 3 7 3 3 3" xfId="1641" xr:uid="{62B6A6FF-25D1-45CD-93C8-403E6CBB62B6}"/>
    <cellStyle name="Comma 3 7 3 3 3 2" xfId="4363" xr:uid="{2C51F1E6-E1B0-4EE3-9A4E-3451DB140450}"/>
    <cellStyle name="Comma 3 7 3 3 3 2 2" xfId="9809" xr:uid="{E3B12581-AE5D-4EED-BDD4-A85ABF7D95F5}"/>
    <cellStyle name="Comma 3 7 3 3 3 3" xfId="3353" xr:uid="{AD4F3AA2-445D-4F9E-BD20-3F9900DCCC02}"/>
    <cellStyle name="Comma 3 7 3 3 3 4" xfId="7287" xr:uid="{1AD8A3EA-E3E3-4A6C-A764-D43277FA6F59}"/>
    <cellStyle name="Comma 3 7 3 3 3 5" xfId="8801" xr:uid="{EE41868D-2B50-4DB1-A1D2-D6DA6F882215}"/>
    <cellStyle name="Comma 3 7 3 3 3 6" xfId="12421" xr:uid="{6F898F10-1223-45EF-B74E-07A4A3DC7C26}"/>
    <cellStyle name="Comma 3 7 3 3 3 7" xfId="14166" xr:uid="{0E180061-4955-4F2F-81E1-F9662DAB56BA}"/>
    <cellStyle name="Comma 3 7 3 3 4" xfId="2149" xr:uid="{88B9E196-42A2-4C4F-A6CA-C90D7A36520B}"/>
    <cellStyle name="Comma 3 7 3 3 4 2" xfId="3869" xr:uid="{2E7DEE6D-9D87-4ACC-A058-7D64A72B2C6B}"/>
    <cellStyle name="Comma 3 7 3 3 4 3" xfId="7795" xr:uid="{E9CAA28A-3D19-4AB9-914D-2AE7024D4360}"/>
    <cellStyle name="Comma 3 7 3 3 4 4" xfId="9313" xr:uid="{3F41CCCB-DFD3-43F1-BF48-E8C85D352FE1}"/>
    <cellStyle name="Comma 3 7 3 3 4 5" xfId="12927" xr:uid="{894E8C86-4CBE-476B-8E50-A0157445CC5C}"/>
    <cellStyle name="Comma 3 7 3 3 4 6" xfId="14672" xr:uid="{0536BEC5-1308-42C3-A1CE-6B5DB17F8ABB}"/>
    <cellStyle name="Comma 3 7 3 3 5" xfId="4851" xr:uid="{48965F79-96B6-423A-9379-EB6C91D1729F}"/>
    <cellStyle name="Comma 3 7 3 3 5 2" xfId="10311" xr:uid="{46269D25-0832-4CE4-AE40-19FF021DB6AE}"/>
    <cellStyle name="Comma 3 7 3 3 6" xfId="5339" xr:uid="{A0000D7A-6011-42D0-BC0E-D0C3B5EB4ED9}"/>
    <cellStyle name="Comma 3 7 3 3 6 2" xfId="10813" xr:uid="{6C4A9B4C-463D-40D6-9523-905DD2169CC0}"/>
    <cellStyle name="Comma 3 7 3 3 7" xfId="5841" xr:uid="{EB5DC187-B4AA-4CD1-962F-C2127FC8A12A}"/>
    <cellStyle name="Comma 3 7 3 3 7 2" xfId="11315" xr:uid="{C0EDEC28-3908-4F16-9CDA-3D1AD383789F}"/>
    <cellStyle name="Comma 3 7 3 3 8" xfId="2867" xr:uid="{419D5BEE-64A3-4519-AEFD-E255A3A1D1DE}"/>
    <cellStyle name="Comma 3 7 3 3 9" xfId="6781" xr:uid="{AC495D4E-EFCC-42E0-82C5-1F0C73C7B9BB}"/>
    <cellStyle name="Comma 3 7 3 4" xfId="1259" xr:uid="{31DD5075-D15B-4D2B-9B02-BB09410CBCBB}"/>
    <cellStyle name="Comma 3 7 3 4 10" xfId="12039" xr:uid="{931DCEED-1EC1-4A6C-B4EF-1892DC52594F}"/>
    <cellStyle name="Comma 3 7 3 4 11" xfId="13784" xr:uid="{024B71CA-B3D4-4E9B-A113-64167C1D8663}"/>
    <cellStyle name="Comma 3 7 3 4 2" xfId="1765" xr:uid="{9BDDE97B-A3FC-4143-B459-F772458B98DD}"/>
    <cellStyle name="Comma 3 7 3 4 2 2" xfId="4487" xr:uid="{352C6050-D6EB-4B42-B55B-5DA5883FE541}"/>
    <cellStyle name="Comma 3 7 3 4 2 2 2" xfId="9933" xr:uid="{8A887154-EB1D-4702-8E4D-543F7CCFA020}"/>
    <cellStyle name="Comma 3 7 3 4 2 3" xfId="3477" xr:uid="{39A26783-9030-4F32-A940-63DB5FEBC4FA}"/>
    <cellStyle name="Comma 3 7 3 4 2 4" xfId="7411" xr:uid="{76056C1C-CA9A-4429-9E8B-A92E45764C24}"/>
    <cellStyle name="Comma 3 7 3 4 2 5" xfId="8925" xr:uid="{21F33CF4-2998-4F9B-A5C0-4EF06869DC29}"/>
    <cellStyle name="Comma 3 7 3 4 2 6" xfId="12545" xr:uid="{69C9DD8C-CA50-47A4-9A0C-FC072F8F3351}"/>
    <cellStyle name="Comma 3 7 3 4 2 7" xfId="14290" xr:uid="{4E377CA4-2235-4DA0-ACAF-A2F5B5062B89}"/>
    <cellStyle name="Comma 3 7 3 4 3" xfId="2273" xr:uid="{DA6114D0-4C29-46CD-A7E2-2814988F3F35}"/>
    <cellStyle name="Comma 3 7 3 4 3 2" xfId="3993" xr:uid="{8FE581A9-F90C-47E6-B670-16644E6F282C}"/>
    <cellStyle name="Comma 3 7 3 4 3 3" xfId="7919" xr:uid="{B7412D3C-6081-43AC-9701-CB64C6D45CB3}"/>
    <cellStyle name="Comma 3 7 3 4 3 4" xfId="9437" xr:uid="{F6953C06-8998-48F2-9B61-D2332A34D625}"/>
    <cellStyle name="Comma 3 7 3 4 3 5" xfId="13051" xr:uid="{09F74710-9E29-48FD-9D2B-519B2866F01C}"/>
    <cellStyle name="Comma 3 7 3 4 3 6" xfId="14796" xr:uid="{43E3F98F-8551-467D-8BC4-EC6C3E947C28}"/>
    <cellStyle name="Comma 3 7 3 4 4" xfId="4967" xr:uid="{71E50FC8-16B5-4417-A97C-40DC05A4B095}"/>
    <cellStyle name="Comma 3 7 3 4 4 2" xfId="10435" xr:uid="{D9172F77-3FA7-497F-BD8A-51773EC60EFC}"/>
    <cellStyle name="Comma 3 7 3 4 5" xfId="5463" xr:uid="{CF0D37D7-D2B3-4F3E-8D0A-EE2284026B8B}"/>
    <cellStyle name="Comma 3 7 3 4 5 2" xfId="10937" xr:uid="{2559D632-6B2C-4C28-81E8-8B38F9A50F92}"/>
    <cellStyle name="Comma 3 7 3 4 6" xfId="5965" xr:uid="{98162429-686A-4FF5-9CA3-BE3F4240C616}"/>
    <cellStyle name="Comma 3 7 3 4 6 2" xfId="11439" xr:uid="{D81C961C-B7D5-472E-ACDB-D1784F5F89B9}"/>
    <cellStyle name="Comma 3 7 3 4 7" xfId="2985" xr:uid="{8F6D6335-37D1-42F1-BB2D-3B3B6CF5A874}"/>
    <cellStyle name="Comma 3 7 3 4 8" xfId="6905" xr:uid="{2C74FE7F-9E0C-43A8-A61F-7AE112246CCF}"/>
    <cellStyle name="Comma 3 7 3 4 9" xfId="8429" xr:uid="{7B756BA7-C200-4B17-8AA2-BA6A1529879D}"/>
    <cellStyle name="Comma 3 7 3 5" xfId="1517" xr:uid="{930EFFFD-58EF-4F68-A07F-53589C320F74}"/>
    <cellStyle name="Comma 3 7 3 5 2" xfId="4241" xr:uid="{B1CE40A7-9FEB-41B0-B447-8EBC7867B9B3}"/>
    <cellStyle name="Comma 3 7 3 5 2 2" xfId="9685" xr:uid="{8D993A3E-5165-4BFB-8BE3-6D09A66B0AE0}"/>
    <cellStyle name="Comma 3 7 3 5 3" xfId="3231" xr:uid="{D4A92CAA-EEFE-4307-85DF-E73F58756F5A}"/>
    <cellStyle name="Comma 3 7 3 5 4" xfId="7163" xr:uid="{81D2B09C-C03C-407A-A120-793FEC3208C6}"/>
    <cellStyle name="Comma 3 7 3 5 5" xfId="8677" xr:uid="{F41F47AF-7A7E-4C7A-A03C-79BE1A455C9F}"/>
    <cellStyle name="Comma 3 7 3 5 6" xfId="12297" xr:uid="{8FF97D33-F414-478D-81D8-138FB42727BD}"/>
    <cellStyle name="Comma 3 7 3 5 7" xfId="14042" xr:uid="{0C5B92AF-075F-4C3D-A91F-55EC0B8E4D83}"/>
    <cellStyle name="Comma 3 7 3 6" xfId="2025" xr:uid="{4372AB50-BD3A-4FE7-9A7D-9047D8749628}"/>
    <cellStyle name="Comma 3 7 3 6 2" xfId="3745" xr:uid="{4886161B-B91E-4B79-9AD8-2871C345CE55}"/>
    <cellStyle name="Comma 3 7 3 6 3" xfId="7671" xr:uid="{9D9DD06F-F281-4DC3-8676-F91624C1BC20}"/>
    <cellStyle name="Comma 3 7 3 6 4" xfId="9189" xr:uid="{931A25A2-FB80-4F90-931D-1986A2BD27C8}"/>
    <cellStyle name="Comma 3 7 3 6 5" xfId="12803" xr:uid="{4C2DCB12-E346-4700-B5CF-D918393AC476}"/>
    <cellStyle name="Comma 3 7 3 6 6" xfId="14548" xr:uid="{CCAF62BA-5062-4F61-9FEE-5791802B1933}"/>
    <cellStyle name="Comma 3 7 3 7" xfId="4739" xr:uid="{EBD8F2EB-4A95-463B-8443-99B4F8B0981E}"/>
    <cellStyle name="Comma 3 7 3 7 2" xfId="10187" xr:uid="{EBF32691-AF14-42A4-86C6-D6128A456E7B}"/>
    <cellStyle name="Comma 3 7 3 8" xfId="5215" xr:uid="{7746AAAE-D4D4-49A8-82C8-1CF648E3512A}"/>
    <cellStyle name="Comma 3 7 3 8 2" xfId="10689" xr:uid="{27E3E952-0860-42E5-A07A-01F150C93DCF}"/>
    <cellStyle name="Comma 3 7 3 9" xfId="5717" xr:uid="{EDF37F6F-69A7-4613-B95C-2D4C639C0A5A}"/>
    <cellStyle name="Comma 3 7 3 9 2" xfId="11191" xr:uid="{6151E33A-B32B-4B73-B04F-B84AB5C06D44}"/>
    <cellStyle name="Comma 3 7 4" xfId="1038" xr:uid="{B53B4CAE-7098-4A42-8263-6169C098957E}"/>
    <cellStyle name="Comma 3 7 4 10" xfId="6684" xr:uid="{D6EA0ADC-35EB-47AD-9F64-1863C5D1896C}"/>
    <cellStyle name="Comma 3 7 4 11" xfId="8208" xr:uid="{84D9A48C-21FF-49AD-8807-070D37406E9B}"/>
    <cellStyle name="Comma 3 7 4 12" xfId="11818" xr:uid="{ECA03A03-0B38-477E-AD29-48D4613BF87A}"/>
    <cellStyle name="Comma 3 7 4 13" xfId="13563" xr:uid="{62BF4624-8449-4613-8547-F07DEBD404E3}"/>
    <cellStyle name="Comma 3 7 4 2" xfId="1162" xr:uid="{15B7C5D5-2492-457E-B281-A0E435630913}"/>
    <cellStyle name="Comma 3 7 4 2 10" xfId="8332" xr:uid="{6D6861BD-4732-4941-9BBF-7CB9B0DC49AE}"/>
    <cellStyle name="Comma 3 7 4 2 11" xfId="11942" xr:uid="{4D1C3D6C-0B3C-41C8-AD2A-D65EF8EB4E2B}"/>
    <cellStyle name="Comma 3 7 4 2 12" xfId="13687" xr:uid="{EEE4A421-EDE5-46D1-889D-08310E306FE0}"/>
    <cellStyle name="Comma 3 7 4 2 2" xfId="1410" xr:uid="{CC30B068-179A-4F07-85EA-B1200E7BF219}"/>
    <cellStyle name="Comma 3 7 4 2 2 10" xfId="12190" xr:uid="{F788244F-BF10-4EC6-B30D-774EC07D9742}"/>
    <cellStyle name="Comma 3 7 4 2 2 11" xfId="13935" xr:uid="{F4E69D92-4C88-44D4-9011-DFCB99D1AE94}"/>
    <cellStyle name="Comma 3 7 4 2 2 2" xfId="1916" xr:uid="{13C1F749-230F-49DE-9E9A-E26C03537CFF}"/>
    <cellStyle name="Comma 3 7 4 2 2 2 2" xfId="4638" xr:uid="{F6C763F6-8420-41F2-A4BC-8D1C8B1A2BD0}"/>
    <cellStyle name="Comma 3 7 4 2 2 2 2 2" xfId="10084" xr:uid="{F7A34BC7-5903-49F5-ACFB-95BE9B7DDC14}"/>
    <cellStyle name="Comma 3 7 4 2 2 2 3" xfId="3628" xr:uid="{DCD3DB88-9227-4A82-8802-617F90360CE9}"/>
    <cellStyle name="Comma 3 7 4 2 2 2 4" xfId="7562" xr:uid="{7ACD62BA-DA6E-457C-93C2-527C98E17E70}"/>
    <cellStyle name="Comma 3 7 4 2 2 2 5" xfId="9076" xr:uid="{BEBE41B5-BDFD-4B45-ACB6-8714D24F8DD8}"/>
    <cellStyle name="Comma 3 7 4 2 2 2 6" xfId="12696" xr:uid="{E80FEFD9-ABFC-4D48-982A-939E9E59018C}"/>
    <cellStyle name="Comma 3 7 4 2 2 2 7" xfId="14441" xr:uid="{DD36FE5E-2816-42C4-BAE5-D06C95F04062}"/>
    <cellStyle name="Comma 3 7 4 2 2 3" xfId="2424" xr:uid="{D5B34484-D655-4FEB-A9F3-D221227A7944}"/>
    <cellStyle name="Comma 3 7 4 2 2 3 2" xfId="4144" xr:uid="{F60C79FD-34FE-4A13-AC8E-B6AFBD516E4A}"/>
    <cellStyle name="Comma 3 7 4 2 2 3 3" xfId="8070" xr:uid="{EEF362ED-A761-40DD-A54D-22F0A144521D}"/>
    <cellStyle name="Comma 3 7 4 2 2 3 4" xfId="9588" xr:uid="{BD56E674-705F-4350-9EEA-38D49ACC77D2}"/>
    <cellStyle name="Comma 3 7 4 2 2 3 5" xfId="13202" xr:uid="{49DD7CAE-A5D9-49AF-81E6-C9B66DA9A465}"/>
    <cellStyle name="Comma 3 7 4 2 2 3 6" xfId="14947" xr:uid="{44C8ADF0-288F-43C2-AAED-ED399DDDAD6A}"/>
    <cellStyle name="Comma 3 7 4 2 2 4" xfId="5116" xr:uid="{57110B75-4E7C-4DD9-9074-0CEFED6C60FC}"/>
    <cellStyle name="Comma 3 7 4 2 2 4 2" xfId="10586" xr:uid="{884F9D49-A747-424B-BFD1-D6193A69BEC6}"/>
    <cellStyle name="Comma 3 7 4 2 2 5" xfId="5614" xr:uid="{6540E6BA-F6FB-44EF-B7B5-98C2DE09789E}"/>
    <cellStyle name="Comma 3 7 4 2 2 5 2" xfId="11088" xr:uid="{EE3A4186-9857-4D93-A2C6-C9AA2E09A32D}"/>
    <cellStyle name="Comma 3 7 4 2 2 6" xfId="6116" xr:uid="{4B61D049-5857-4091-A5DD-AA645397B9EE}"/>
    <cellStyle name="Comma 3 7 4 2 2 6 2" xfId="11590" xr:uid="{7B9252EB-E929-416A-80AF-329B6241AAB1}"/>
    <cellStyle name="Comma 3 7 4 2 2 7" xfId="3134" xr:uid="{09EA3846-871E-48EC-94BA-F4933E86B7A1}"/>
    <cellStyle name="Comma 3 7 4 2 2 8" xfId="7056" xr:uid="{9F19C593-7C13-4F2A-AEE9-D946809F41F8}"/>
    <cellStyle name="Comma 3 7 4 2 2 9" xfId="8580" xr:uid="{79FFF9A0-C1BF-45A5-9165-DB1E91EFF745}"/>
    <cellStyle name="Comma 3 7 4 2 3" xfId="1668" xr:uid="{7DEC16D7-0FEA-412C-A650-DD10F0C5395D}"/>
    <cellStyle name="Comma 3 7 4 2 3 2" xfId="4390" xr:uid="{D279885D-D47B-4350-A527-B974C3F9D5CA}"/>
    <cellStyle name="Comma 3 7 4 2 3 2 2" xfId="9836" xr:uid="{16B1F7E8-7F38-47B9-82CE-5D0CC2958AC8}"/>
    <cellStyle name="Comma 3 7 4 2 3 3" xfId="3380" xr:uid="{B9C705F3-17D5-4B14-8A76-2DC209702AA7}"/>
    <cellStyle name="Comma 3 7 4 2 3 4" xfId="7314" xr:uid="{FA94D8DD-B225-49C6-BBDE-8A6ADE7E63D7}"/>
    <cellStyle name="Comma 3 7 4 2 3 5" xfId="8828" xr:uid="{CEBB8B11-0590-4F88-AD92-79BE92BFFD96}"/>
    <cellStyle name="Comma 3 7 4 2 3 6" xfId="12448" xr:uid="{073DD3EA-D731-4BA4-ACA6-82363FE8D4D1}"/>
    <cellStyle name="Comma 3 7 4 2 3 7" xfId="14193" xr:uid="{A118103D-02E0-4183-A6F4-10502EDAA02C}"/>
    <cellStyle name="Comma 3 7 4 2 4" xfId="2176" xr:uid="{A1AEAB08-D9E9-4992-B547-419301A781AA}"/>
    <cellStyle name="Comma 3 7 4 2 4 2" xfId="3896" xr:uid="{580A7112-C538-408D-92D2-701DE6F4C8E1}"/>
    <cellStyle name="Comma 3 7 4 2 4 3" xfId="7822" xr:uid="{E18C6ECD-80FD-4029-ADD0-1FBDB1B0D926}"/>
    <cellStyle name="Comma 3 7 4 2 4 4" xfId="9340" xr:uid="{73AD0BF0-4E15-4641-96E6-95592D4AF34A}"/>
    <cellStyle name="Comma 3 7 4 2 4 5" xfId="12954" xr:uid="{4CAA4F45-E44B-4DAF-879C-CA0948307F87}"/>
    <cellStyle name="Comma 3 7 4 2 4 6" xfId="14699" xr:uid="{CA0AC002-F85C-4E1B-8D00-9FC38F7EDBBD}"/>
    <cellStyle name="Comma 3 7 4 2 5" xfId="4877" xr:uid="{568207A1-24AD-4CDB-8160-F02F65376929}"/>
    <cellStyle name="Comma 3 7 4 2 5 2" xfId="10338" xr:uid="{100EEB69-DC79-4C0C-9E50-EDD955AC842A}"/>
    <cellStyle name="Comma 3 7 4 2 6" xfId="5366" xr:uid="{DAD3D592-114B-43DC-B6B2-8C60D0FFBA2F}"/>
    <cellStyle name="Comma 3 7 4 2 6 2" xfId="10840" xr:uid="{E9756A57-C522-4C7A-AF35-FF205154B929}"/>
    <cellStyle name="Comma 3 7 4 2 7" xfId="5868" xr:uid="{08D984D9-51C9-4311-908C-E8DF7C392F3C}"/>
    <cellStyle name="Comma 3 7 4 2 7 2" xfId="11342" xr:uid="{A4D91B04-0C07-46A9-BF8E-6DFE2CD668E0}"/>
    <cellStyle name="Comma 3 7 4 2 8" xfId="2893" xr:uid="{B5DC4466-8326-41A4-B58D-EC4DEB61EEAF}"/>
    <cellStyle name="Comma 3 7 4 2 9" xfId="6808" xr:uid="{4EA44B1E-C04D-4779-8D15-02094887DCBC}"/>
    <cellStyle name="Comma 3 7 4 3" xfId="1286" xr:uid="{790FEF0D-2E6E-4F79-A087-F209C80C573D}"/>
    <cellStyle name="Comma 3 7 4 3 10" xfId="12066" xr:uid="{897115C0-6823-4803-836C-C1D818D4F845}"/>
    <cellStyle name="Comma 3 7 4 3 11" xfId="13811" xr:uid="{F15E11ED-05DB-4A2D-A169-82E2B44BB67E}"/>
    <cellStyle name="Comma 3 7 4 3 2" xfId="1792" xr:uid="{F21C7AAA-C9BE-4E44-A8F0-CDC3985DBFC0}"/>
    <cellStyle name="Comma 3 7 4 3 2 2" xfId="4514" xr:uid="{E13AECDA-C05C-4F29-84F3-932E561A0716}"/>
    <cellStyle name="Comma 3 7 4 3 2 2 2" xfId="9960" xr:uid="{9F485E10-EC59-4115-9AFE-DBD7B349B236}"/>
    <cellStyle name="Comma 3 7 4 3 2 3" xfId="3504" xr:uid="{7D7D087D-A7F6-406D-AED4-A50720A76D8C}"/>
    <cellStyle name="Comma 3 7 4 3 2 4" xfId="7438" xr:uid="{52B46C8B-174B-4DBF-B495-4E15BE7C6CFE}"/>
    <cellStyle name="Comma 3 7 4 3 2 5" xfId="8952" xr:uid="{E55A8753-D279-4819-BC1B-913064FB3548}"/>
    <cellStyle name="Comma 3 7 4 3 2 6" xfId="12572" xr:uid="{0290C25E-D097-4336-9233-FC8BF1660E51}"/>
    <cellStyle name="Comma 3 7 4 3 2 7" xfId="14317" xr:uid="{12475265-2A6D-40B6-B6D8-D197EA04CBBB}"/>
    <cellStyle name="Comma 3 7 4 3 3" xfId="2300" xr:uid="{49B32E02-3858-4F20-A8E7-4DF2F415FCF5}"/>
    <cellStyle name="Comma 3 7 4 3 3 2" xfId="4020" xr:uid="{2166DD15-F863-494E-A9F3-D0ACA310CA8F}"/>
    <cellStyle name="Comma 3 7 4 3 3 3" xfId="7946" xr:uid="{CE44D00C-07D8-4051-B8F0-3051721D5585}"/>
    <cellStyle name="Comma 3 7 4 3 3 4" xfId="9464" xr:uid="{F507B923-131F-45EA-B6C1-ADC244D221AB}"/>
    <cellStyle name="Comma 3 7 4 3 3 5" xfId="13078" xr:uid="{A141CDBB-0425-4DF1-B3AD-98308920D7BC}"/>
    <cellStyle name="Comma 3 7 4 3 3 6" xfId="14823" xr:uid="{697FE9B1-A514-4000-BC31-B745B82738CF}"/>
    <cellStyle name="Comma 3 7 4 3 4" xfId="4993" xr:uid="{73062C9D-4FCB-4FCA-B034-BF48DD6DBA2C}"/>
    <cellStyle name="Comma 3 7 4 3 4 2" xfId="10462" xr:uid="{CD9043CF-AD5C-42E5-AE1D-A39A82B5E8A5}"/>
    <cellStyle name="Comma 3 7 4 3 5" xfId="5490" xr:uid="{C8DCCEE3-F456-4E65-8F02-D0E5B79610EC}"/>
    <cellStyle name="Comma 3 7 4 3 5 2" xfId="10964" xr:uid="{034C9496-38E3-45DE-80DA-1A761B257EAB}"/>
    <cellStyle name="Comma 3 7 4 3 6" xfId="5992" xr:uid="{47C3BA43-AEA4-4831-B18C-9A327CCA3DA6}"/>
    <cellStyle name="Comma 3 7 4 3 6 2" xfId="11466" xr:uid="{51B73BE7-6AE4-463F-ABC7-08313AE3D2B5}"/>
    <cellStyle name="Comma 3 7 4 3 7" xfId="3011" xr:uid="{5830F3B4-41F9-4DE6-B115-03C1BF289E51}"/>
    <cellStyle name="Comma 3 7 4 3 8" xfId="6932" xr:uid="{719CDE0B-C32B-4C74-9AAC-F6613A0C7B96}"/>
    <cellStyle name="Comma 3 7 4 3 9" xfId="8456" xr:uid="{934172CC-2978-47C8-BD10-D9ECC396F6E6}"/>
    <cellStyle name="Comma 3 7 4 4" xfId="1544" xr:uid="{D199F9F0-0CB6-4E09-9929-3221E577AEE5}"/>
    <cellStyle name="Comma 3 7 4 4 2" xfId="4267" xr:uid="{590FA1C8-8C31-40B5-A473-2078BDC45904}"/>
    <cellStyle name="Comma 3 7 4 4 2 2" xfId="9712" xr:uid="{9A866808-46DB-4ED0-8EA8-F705028F1E53}"/>
    <cellStyle name="Comma 3 7 4 4 3" xfId="3257" xr:uid="{7E3B8A9F-423C-4576-AE51-EB07CFF8175F}"/>
    <cellStyle name="Comma 3 7 4 4 4" xfId="7190" xr:uid="{0724BC90-07E4-445E-B037-0793FF02F09E}"/>
    <cellStyle name="Comma 3 7 4 4 5" xfId="8704" xr:uid="{73087302-AD64-4194-B048-9BCEFB8E5B03}"/>
    <cellStyle name="Comma 3 7 4 4 6" xfId="12324" xr:uid="{7BAC5E88-12E8-42B2-A6FB-7E4716181D1A}"/>
    <cellStyle name="Comma 3 7 4 4 7" xfId="14069" xr:uid="{5512188B-2757-49DD-9B5C-C97BF879F6DA}"/>
    <cellStyle name="Comma 3 7 4 5" xfId="2052" xr:uid="{F938B802-4652-419F-837B-5E5EDBA1D1B7}"/>
    <cellStyle name="Comma 3 7 4 5 2" xfId="3772" xr:uid="{3499451E-F841-464A-9605-4E0DAD78BA95}"/>
    <cellStyle name="Comma 3 7 4 5 3" xfId="7698" xr:uid="{718F12B2-F35C-4893-AE2E-50032568E41A}"/>
    <cellStyle name="Comma 3 7 4 5 4" xfId="9216" xr:uid="{1789BBB1-B073-4005-8168-C1D2863A924B}"/>
    <cellStyle name="Comma 3 7 4 5 5" xfId="12830" xr:uid="{9D6708DB-25D4-4098-8C0D-F0B66A568827}"/>
    <cellStyle name="Comma 3 7 4 5 6" xfId="14575" xr:uid="{64E64E1E-652D-4784-8AEE-A1EAD301CA51}"/>
    <cellStyle name="Comma 3 7 4 6" xfId="4763" xr:uid="{1E6F7362-2523-4DF0-BB5C-5DEB9A2686D6}"/>
    <cellStyle name="Comma 3 7 4 6 2" xfId="10214" xr:uid="{2F85B27E-3D99-4B12-8265-61CF183CF5CB}"/>
    <cellStyle name="Comma 3 7 4 7" xfId="5242" xr:uid="{DFB4585E-B6EE-4848-AD09-7586FAEC6E02}"/>
    <cellStyle name="Comma 3 7 4 7 2" xfId="10716" xr:uid="{FEB14284-57E3-43B1-9F65-4E347A9931A6}"/>
    <cellStyle name="Comma 3 7 4 8" xfId="5744" xr:uid="{DA5CDE0F-D510-4648-B3B6-83C2C40821EE}"/>
    <cellStyle name="Comma 3 7 4 8 2" xfId="11218" xr:uid="{F407292E-D7EF-44E6-B471-362B09495DAF}"/>
    <cellStyle name="Comma 3 7 4 9" xfId="2779" xr:uid="{A3A15573-F3B2-4C47-BABB-18EA7DC6EE32}"/>
    <cellStyle name="Comma 3 7 5" xfId="1093" xr:uid="{A1A48B5A-CD95-4832-85C2-D1DF4A03F0F8}"/>
    <cellStyle name="Comma 3 7 5 10" xfId="8263" xr:uid="{277A5994-E67F-48D5-BD0D-3BFAA0CA9124}"/>
    <cellStyle name="Comma 3 7 5 11" xfId="11873" xr:uid="{B621EBA1-2C27-4783-B4F1-4C232FE737E8}"/>
    <cellStyle name="Comma 3 7 5 12" xfId="13618" xr:uid="{940D2BC9-CAE8-4161-B2BC-4805E45101B3}"/>
    <cellStyle name="Comma 3 7 5 2" xfId="1341" xr:uid="{2D465124-37EB-4AD6-9E2E-46CC4F2B5ACA}"/>
    <cellStyle name="Comma 3 7 5 2 10" xfId="12121" xr:uid="{E756B03A-1DB4-458E-B9E5-12F725EB42C1}"/>
    <cellStyle name="Comma 3 7 5 2 11" xfId="13866" xr:uid="{AFDE842C-5241-46A0-B40C-8DD9C1655C86}"/>
    <cellStyle name="Comma 3 7 5 2 2" xfId="1847" xr:uid="{FEEEBBA3-B2B9-4CB2-8A3E-2FF04E3C67DC}"/>
    <cellStyle name="Comma 3 7 5 2 2 2" xfId="4569" xr:uid="{0F87A05A-F2BB-427C-8BF1-8701DAD30568}"/>
    <cellStyle name="Comma 3 7 5 2 2 2 2" xfId="10015" xr:uid="{9D59C9F0-6169-4A9D-827A-9799D6B6B8E3}"/>
    <cellStyle name="Comma 3 7 5 2 2 3" xfId="3559" xr:uid="{8F5EFCD8-E417-466F-AAA6-27FC2918B7AB}"/>
    <cellStyle name="Comma 3 7 5 2 2 4" xfId="7493" xr:uid="{919631FF-AC39-46C6-8FB1-05EF2155C0F6}"/>
    <cellStyle name="Comma 3 7 5 2 2 5" xfId="9007" xr:uid="{BE11E824-77B6-46AF-B7C9-3016E84BDD45}"/>
    <cellStyle name="Comma 3 7 5 2 2 6" xfId="12627" xr:uid="{4DBCD14B-54EE-45EB-9549-45D6F9C7F2BF}"/>
    <cellStyle name="Comma 3 7 5 2 2 7" xfId="14372" xr:uid="{29B92DAD-E779-4CE8-B0FF-D2978D7CEF78}"/>
    <cellStyle name="Comma 3 7 5 2 3" xfId="2355" xr:uid="{E35E2BAD-EAF8-4713-AF64-E9F0B526EBAF}"/>
    <cellStyle name="Comma 3 7 5 2 3 2" xfId="4075" xr:uid="{D1AC88E4-2AA8-4041-A0F9-FF8775F63225}"/>
    <cellStyle name="Comma 3 7 5 2 3 3" xfId="8001" xr:uid="{FBE6B5CE-0F31-4FDB-99BC-755428D55E3F}"/>
    <cellStyle name="Comma 3 7 5 2 3 4" xfId="9519" xr:uid="{B5D4A21C-387B-49FD-816E-2DAD797A8D66}"/>
    <cellStyle name="Comma 3 7 5 2 3 5" xfId="13133" xr:uid="{480B13C8-4E4E-443D-9FDC-8FB9AEB027A6}"/>
    <cellStyle name="Comma 3 7 5 2 3 6" xfId="14878" xr:uid="{7298C016-022B-418A-8683-3A6E1A980D2B}"/>
    <cellStyle name="Comma 3 7 5 2 4" xfId="5047" xr:uid="{26962690-1497-4FD7-8894-8A53B33905BB}"/>
    <cellStyle name="Comma 3 7 5 2 4 2" xfId="10517" xr:uid="{075A129C-AE42-44F4-9289-FA2FAF6E72DC}"/>
    <cellStyle name="Comma 3 7 5 2 5" xfId="5545" xr:uid="{808FDBD7-6100-4D25-9838-A27F98FF4BA3}"/>
    <cellStyle name="Comma 3 7 5 2 5 2" xfId="11019" xr:uid="{CB89E07B-2D4B-4A4B-B652-C23313AAF016}"/>
    <cellStyle name="Comma 3 7 5 2 6" xfId="6047" xr:uid="{364EFB66-1CD9-4C9E-823F-DDD8D84CB768}"/>
    <cellStyle name="Comma 3 7 5 2 6 2" xfId="11521" xr:uid="{B3A41698-6B96-4134-BF97-8F3F59EEEF18}"/>
    <cellStyle name="Comma 3 7 5 2 7" xfId="3065" xr:uid="{7A28E178-10B3-428B-A2D3-DE711650ACE5}"/>
    <cellStyle name="Comma 3 7 5 2 8" xfId="6987" xr:uid="{486AC0C2-595A-4858-87E7-F5AB747136BA}"/>
    <cellStyle name="Comma 3 7 5 2 9" xfId="8511" xr:uid="{5E1A78EF-A86A-4E0F-8811-835E26995B45}"/>
    <cellStyle name="Comma 3 7 5 3" xfId="1599" xr:uid="{AEB616F7-8F1E-4831-ADC8-25B282902497}"/>
    <cellStyle name="Comma 3 7 5 3 2" xfId="4321" xr:uid="{50975BAE-8986-4573-95ED-8039C3EC6DC8}"/>
    <cellStyle name="Comma 3 7 5 3 2 2" xfId="9767" xr:uid="{3CBA7B07-F2B7-4FC4-B5F2-2087B0DB4521}"/>
    <cellStyle name="Comma 3 7 5 3 3" xfId="3311" xr:uid="{9A6A3AE4-9B82-4140-BC2A-F13377A77D10}"/>
    <cellStyle name="Comma 3 7 5 3 4" xfId="7245" xr:uid="{13729774-9DE0-47D5-A16B-761EC98008C9}"/>
    <cellStyle name="Comma 3 7 5 3 5" xfId="8759" xr:uid="{7C5159BE-B676-4DEB-A1ED-096CB100A1BE}"/>
    <cellStyle name="Comma 3 7 5 3 6" xfId="12379" xr:uid="{4E841484-3A18-4443-9395-5C9895B0FF22}"/>
    <cellStyle name="Comma 3 7 5 3 7" xfId="14124" xr:uid="{15AF70CC-32EA-4E59-9EA6-AC7EF493AB8D}"/>
    <cellStyle name="Comma 3 7 5 4" xfId="2107" xr:uid="{66F06FEA-9747-4447-9CB0-DB954093A514}"/>
    <cellStyle name="Comma 3 7 5 4 2" xfId="3827" xr:uid="{69C1BB83-1766-4036-A7AD-15ADDFFAA374}"/>
    <cellStyle name="Comma 3 7 5 4 3" xfId="7753" xr:uid="{525DDBC3-2052-484D-AF5E-20D3882BC7F5}"/>
    <cellStyle name="Comma 3 7 5 4 4" xfId="9271" xr:uid="{FD4C8448-064C-43B3-B7A0-52711B138052}"/>
    <cellStyle name="Comma 3 7 5 4 5" xfId="12885" xr:uid="{40DEBB63-DA6E-4436-BF8C-EC9C44905166}"/>
    <cellStyle name="Comma 3 7 5 4 6" xfId="14630" xr:uid="{228EEB37-8ACD-446B-A54C-94745A24B283}"/>
    <cellStyle name="Comma 3 7 5 5" xfId="4813" xr:uid="{6B5B3150-C3E9-4588-8877-EAF8B6844ECF}"/>
    <cellStyle name="Comma 3 7 5 5 2" xfId="10269" xr:uid="{2A8FCCC1-0B8D-4865-88AC-4D9D600073BC}"/>
    <cellStyle name="Comma 3 7 5 6" xfId="5297" xr:uid="{0E90CF2F-7C7F-403E-8ADC-422F12FA6D7B}"/>
    <cellStyle name="Comma 3 7 5 6 2" xfId="10771" xr:uid="{16E18477-7BB8-4798-AA9C-514313A68DE1}"/>
    <cellStyle name="Comma 3 7 5 7" xfId="5799" xr:uid="{BDD9FA7E-CCDF-4B35-AC9B-5681EE07B8EC}"/>
    <cellStyle name="Comma 3 7 5 7 2" xfId="11273" xr:uid="{4127FEDF-2F3E-4C34-98AE-A5788A661115}"/>
    <cellStyle name="Comma 3 7 5 8" xfId="2829" xr:uid="{D0DDE7C7-E37C-4B42-AD8E-40BA0031FF68}"/>
    <cellStyle name="Comma 3 7 5 9" xfId="6739" xr:uid="{6C3FD0E2-7032-4C11-BC60-6CBA99C50622}"/>
    <cellStyle name="Comma 3 7 6" xfId="1217" xr:uid="{FD4F5E7B-271D-4AD7-BA9E-E62E10F9ACC5}"/>
    <cellStyle name="Comma 3 7 6 10" xfId="11997" xr:uid="{13D52592-9C69-4672-99F8-0D327F017EE2}"/>
    <cellStyle name="Comma 3 7 6 11" xfId="13742" xr:uid="{5C822AC2-C9B2-4FB3-9EC4-795092FE0E58}"/>
    <cellStyle name="Comma 3 7 6 2" xfId="1723" xr:uid="{8FF95873-2440-4918-B41F-174EEC32A447}"/>
    <cellStyle name="Comma 3 7 6 2 2" xfId="4445" xr:uid="{8C16B60C-3A2C-46DA-A651-5F8534D892D4}"/>
    <cellStyle name="Comma 3 7 6 2 2 2" xfId="9891" xr:uid="{584F85F1-2851-4157-BC5A-86AC7A2991FD}"/>
    <cellStyle name="Comma 3 7 6 2 3" xfId="3435" xr:uid="{8A27A4A7-4C03-45F9-A185-AB0EE3ABBCB3}"/>
    <cellStyle name="Comma 3 7 6 2 4" xfId="7369" xr:uid="{C3ABB6C0-F8CD-4A68-A9AB-5ED4C4C41B5F}"/>
    <cellStyle name="Comma 3 7 6 2 5" xfId="8883" xr:uid="{A927A8ED-5AA4-4F7E-87FE-AA3B65BB8C7F}"/>
    <cellStyle name="Comma 3 7 6 2 6" xfId="12503" xr:uid="{FC275128-A911-4487-B67F-209E01420FCB}"/>
    <cellStyle name="Comma 3 7 6 2 7" xfId="14248" xr:uid="{F81148E4-C155-4FDE-A6D4-C9D1913707D6}"/>
    <cellStyle name="Comma 3 7 6 3" xfId="2231" xr:uid="{CDB74740-2581-4C1C-98B8-3A546C2E3387}"/>
    <cellStyle name="Comma 3 7 6 3 2" xfId="3951" xr:uid="{CE60DF3B-6FD5-45F5-8D7B-218F17F97C0F}"/>
    <cellStyle name="Comma 3 7 6 3 3" xfId="7877" xr:uid="{97556A74-7553-47FF-A631-48DC91C8620A}"/>
    <cellStyle name="Comma 3 7 6 3 4" xfId="9395" xr:uid="{4CB350F5-6D0A-4E8F-AA5B-563A3E1C216C}"/>
    <cellStyle name="Comma 3 7 6 3 5" xfId="13009" xr:uid="{08D07D4B-775F-4422-BB36-859FF6ACA637}"/>
    <cellStyle name="Comma 3 7 6 3 6" xfId="14754" xr:uid="{80160E42-F8FD-491A-B299-EE8AED5CD8DD}"/>
    <cellStyle name="Comma 3 7 6 4" xfId="4929" xr:uid="{B7EB65D2-B679-43E0-B7D0-067F87236A3D}"/>
    <cellStyle name="Comma 3 7 6 4 2" xfId="10393" xr:uid="{5F7B180A-6709-46C2-BBAD-1700D979B796}"/>
    <cellStyle name="Comma 3 7 6 5" xfId="5421" xr:uid="{92B1B930-0287-4612-B4ED-79ACEFDF7387}"/>
    <cellStyle name="Comma 3 7 6 5 2" xfId="10895" xr:uid="{F53C31C1-EB9C-4A60-8514-E5E673D1FE68}"/>
    <cellStyle name="Comma 3 7 6 6" xfId="5923" xr:uid="{0FDF950E-FF99-42CB-94D8-272258CE0662}"/>
    <cellStyle name="Comma 3 7 6 6 2" xfId="11397" xr:uid="{0C24CE27-D270-429F-9D7A-239B1E561BA3}"/>
    <cellStyle name="Comma 3 7 6 7" xfId="2947" xr:uid="{6B251764-2691-45EE-8CD9-78A5D5C06185}"/>
    <cellStyle name="Comma 3 7 6 8" xfId="6863" xr:uid="{BE3D387B-C475-4468-BA75-4B4EE2817620}"/>
    <cellStyle name="Comma 3 7 6 9" xfId="8387" xr:uid="{572FFC90-9A86-47AB-B809-26C8D476E0B9}"/>
    <cellStyle name="Comma 3 7 7" xfId="1475" xr:uid="{8BF8BEA8-338A-430C-894C-EF79E7C1A491}"/>
    <cellStyle name="Comma 3 7 7 2" xfId="4199" xr:uid="{FC295D74-B4B5-4BE1-BE37-316B95A35F60}"/>
    <cellStyle name="Comma 3 7 7 2 2" xfId="9643" xr:uid="{3E323406-83AD-47E9-9B41-C91E879E83AC}"/>
    <cellStyle name="Comma 3 7 7 3" xfId="3189" xr:uid="{D0E4B087-4109-46A2-BB49-EEC5549DAF02}"/>
    <cellStyle name="Comma 3 7 7 4" xfId="7121" xr:uid="{A6D93DE4-740C-4A49-A82F-32D6E82AB994}"/>
    <cellStyle name="Comma 3 7 7 5" xfId="8635" xr:uid="{32EFBDA3-BE7B-4EC2-AFA6-A92456EA6B7E}"/>
    <cellStyle name="Comma 3 7 7 6" xfId="12255" xr:uid="{A9DB305C-7185-4C93-B4AB-5502D3E42C84}"/>
    <cellStyle name="Comma 3 7 7 7" xfId="14000" xr:uid="{EA3E6C61-FE15-4958-BE08-D0D6B09496FD}"/>
    <cellStyle name="Comma 3 7 8" xfId="1983" xr:uid="{E4326872-B89B-48BD-87CE-F87B79680A5E}"/>
    <cellStyle name="Comma 3 7 8 2" xfId="3703" xr:uid="{3D9C5303-4FFD-4228-8642-B534FECC6A96}"/>
    <cellStyle name="Comma 3 7 8 3" xfId="7629" xr:uid="{2EDD389F-00FB-43C3-838F-783D53F25A2B}"/>
    <cellStyle name="Comma 3 7 8 4" xfId="9147" xr:uid="{600E44F9-4B7F-4276-9FBB-5F5889B55D2F}"/>
    <cellStyle name="Comma 3 7 8 5" xfId="12761" xr:uid="{86261F5D-A513-44BD-9F72-8FC8AF29F374}"/>
    <cellStyle name="Comma 3 7 8 6" xfId="14506" xr:uid="{CA2402A1-A053-4CE7-86CA-1DF42645EC01}"/>
    <cellStyle name="Comma 3 7 9" xfId="4699" xr:uid="{ABB3D434-5197-4550-A5CD-786BA94E5F08}"/>
    <cellStyle name="Comma 3 7 9 2" xfId="10145" xr:uid="{7B479B63-E1D9-46FC-82E5-9FCDDD2E9CF7}"/>
    <cellStyle name="Comma 3 8" xfId="963" xr:uid="{85C0FA94-17E5-4CB5-BD6B-BC4F382977B0}"/>
    <cellStyle name="Comma 3 8 10" xfId="5177" xr:uid="{AA707562-80BE-47D1-A9A7-163EB9B36DDD}"/>
    <cellStyle name="Comma 3 8 10 2" xfId="10649" xr:uid="{03187D28-4622-4587-A999-DEDAEE318508}"/>
    <cellStyle name="Comma 3 8 11" xfId="5677" xr:uid="{A3E6D9EA-C70A-4431-9C28-0C26464A675D}"/>
    <cellStyle name="Comma 3 8 11 2" xfId="11151" xr:uid="{96C292D5-9E1A-446E-B3C1-58CC455D7E96}"/>
    <cellStyle name="Comma 3 8 12" xfId="2719" xr:uid="{878030F7-0BD5-4FA4-9540-0257D4183A0D}"/>
    <cellStyle name="Comma 3 8 13" xfId="6614" xr:uid="{629708E0-8F12-4C51-8173-FC11A35B07EB}"/>
    <cellStyle name="Comma 3 8 14" xfId="8141" xr:uid="{8630408C-D267-4B31-8703-64823E46486C}"/>
    <cellStyle name="Comma 3 8 15" xfId="11751" xr:uid="{6CF50A86-53C9-4903-B589-337A86FE89E5}"/>
    <cellStyle name="Comma 3 8 16" xfId="13496" xr:uid="{9CA2D009-96FB-4041-98D2-1863E26BA330}"/>
    <cellStyle name="Comma 3 8 2" xfId="993" xr:uid="{C70E53C3-3307-4FFC-83FC-07436977E8C6}"/>
    <cellStyle name="Comma 3 8 2 10" xfId="2739" xr:uid="{3D61EB9A-6F66-4B9E-BC27-6A717975B2E5}"/>
    <cellStyle name="Comma 3 8 2 11" xfId="6639" xr:uid="{75FF1B7F-2E2C-4F32-A3ED-72AAF5DB1847}"/>
    <cellStyle name="Comma 3 8 2 12" xfId="8163" xr:uid="{2EDFEA4B-5AC7-4A83-A757-9626035E8F15}"/>
    <cellStyle name="Comma 3 8 2 13" xfId="11773" xr:uid="{CCF0C5FB-D22E-4DE7-A728-F6A430891BD4}"/>
    <cellStyle name="Comma 3 8 2 14" xfId="13518" xr:uid="{C4AC3209-C423-407E-9387-1CF28BA76512}"/>
    <cellStyle name="Comma 3 8 2 2" xfId="1042" xr:uid="{BE158CBA-F434-4803-91C3-61B6F7F86405}"/>
    <cellStyle name="Comma 3 8 2 2 10" xfId="6688" xr:uid="{7815E677-2B32-4A85-99DC-CF62108F7B60}"/>
    <cellStyle name="Comma 3 8 2 2 11" xfId="8212" xr:uid="{15CB0A15-744D-46CF-8455-5965A0A09C47}"/>
    <cellStyle name="Comma 3 8 2 2 12" xfId="11822" xr:uid="{8EA2B55A-EBEF-4F8A-A057-D23AAEC63F0F}"/>
    <cellStyle name="Comma 3 8 2 2 13" xfId="13567" xr:uid="{E3044640-0122-44A4-A746-349EFBA472CF}"/>
    <cellStyle name="Comma 3 8 2 2 2" xfId="1166" xr:uid="{744620AD-E254-40DB-B85A-6184220385F0}"/>
    <cellStyle name="Comma 3 8 2 2 2 10" xfId="8336" xr:uid="{83F996E1-1941-470C-8F9D-60579C75D195}"/>
    <cellStyle name="Comma 3 8 2 2 2 11" xfId="11946" xr:uid="{58C30B96-ED75-4ECC-856F-F46B5329A23F}"/>
    <cellStyle name="Comma 3 8 2 2 2 12" xfId="13691" xr:uid="{1E477844-7297-4C8A-938D-831DD7D0CC79}"/>
    <cellStyle name="Comma 3 8 2 2 2 2" xfId="1414" xr:uid="{301E5219-C1C2-4816-8696-867D9AEA36CF}"/>
    <cellStyle name="Comma 3 8 2 2 2 2 10" xfId="12194" xr:uid="{5579A51B-06D6-4F52-837E-5DAC20AADC58}"/>
    <cellStyle name="Comma 3 8 2 2 2 2 11" xfId="13939" xr:uid="{C387C1ED-122A-428F-B5E9-C1AF413C28DB}"/>
    <cellStyle name="Comma 3 8 2 2 2 2 2" xfId="1920" xr:uid="{679B4DEC-61BB-4999-9EE8-CF1C9F35E1F2}"/>
    <cellStyle name="Comma 3 8 2 2 2 2 2 2" xfId="4642" xr:uid="{38A36183-33A4-4B9C-8D78-31F9525DC80D}"/>
    <cellStyle name="Comma 3 8 2 2 2 2 2 2 2" xfId="10088" xr:uid="{B57DBE32-6F40-44AD-8CF9-9B722BB24F22}"/>
    <cellStyle name="Comma 3 8 2 2 2 2 2 3" xfId="3632" xr:uid="{935E16BF-4715-45A1-88DC-52572DFD876A}"/>
    <cellStyle name="Comma 3 8 2 2 2 2 2 4" xfId="7566" xr:uid="{F3A84A5D-1647-4972-80FC-5F10E5AA4AF3}"/>
    <cellStyle name="Comma 3 8 2 2 2 2 2 5" xfId="9080" xr:uid="{CFF61940-2DD1-4159-BBD9-80236470BAC9}"/>
    <cellStyle name="Comma 3 8 2 2 2 2 2 6" xfId="12700" xr:uid="{4CEB48C5-934A-447E-99D1-BF76CFB8C9A2}"/>
    <cellStyle name="Comma 3 8 2 2 2 2 2 7" xfId="14445" xr:uid="{99D508F2-4884-4C49-92B3-65BF0F8A661D}"/>
    <cellStyle name="Comma 3 8 2 2 2 2 3" xfId="2428" xr:uid="{145AD38F-EEF6-467D-B4AF-770F05CD475F}"/>
    <cellStyle name="Comma 3 8 2 2 2 2 3 2" xfId="4148" xr:uid="{DDCDFBC2-2BBF-4521-8C0C-9479AA06EB78}"/>
    <cellStyle name="Comma 3 8 2 2 2 2 3 3" xfId="8074" xr:uid="{89496B2E-19A7-42F9-92BC-996796F39898}"/>
    <cellStyle name="Comma 3 8 2 2 2 2 3 4" xfId="9592" xr:uid="{66DB3C08-EE88-49A5-B191-76F4698D2164}"/>
    <cellStyle name="Comma 3 8 2 2 2 2 3 5" xfId="13206" xr:uid="{E6727F15-5034-4ECA-AB98-20ABF987D443}"/>
    <cellStyle name="Comma 3 8 2 2 2 2 3 6" xfId="14951" xr:uid="{8D1E4327-8503-421A-9864-08CA94842788}"/>
    <cellStyle name="Comma 3 8 2 2 2 2 4" xfId="5120" xr:uid="{F74BAD5C-88D4-44B0-80FB-C999F507FDB3}"/>
    <cellStyle name="Comma 3 8 2 2 2 2 4 2" xfId="10590" xr:uid="{8E8BA1B4-D859-4B61-9BAD-DDD323627536}"/>
    <cellStyle name="Comma 3 8 2 2 2 2 5" xfId="5618" xr:uid="{C168B633-1051-4CDA-8586-238F571209B9}"/>
    <cellStyle name="Comma 3 8 2 2 2 2 5 2" xfId="11092" xr:uid="{45CE8847-9D80-44C7-BE2E-CD1AC9A877F4}"/>
    <cellStyle name="Comma 3 8 2 2 2 2 6" xfId="6120" xr:uid="{632DC4B3-9A64-4DBB-83D6-B39F327C4110}"/>
    <cellStyle name="Comma 3 8 2 2 2 2 6 2" xfId="11594" xr:uid="{6AC68967-4B60-4020-BC02-C7B03A018FBE}"/>
    <cellStyle name="Comma 3 8 2 2 2 2 7" xfId="3138" xr:uid="{5D53E9FB-C279-4118-9CD2-B5D6E6BF0A43}"/>
    <cellStyle name="Comma 3 8 2 2 2 2 8" xfId="7060" xr:uid="{01C3DEE0-7025-4DF0-87A7-494F058CC17E}"/>
    <cellStyle name="Comma 3 8 2 2 2 2 9" xfId="8584" xr:uid="{5A7801BC-D18E-4537-B34F-0090589B28FF}"/>
    <cellStyle name="Comma 3 8 2 2 2 3" xfId="1672" xr:uid="{5082EFAB-E27B-46D8-8FAD-B79F9974EC55}"/>
    <cellStyle name="Comma 3 8 2 2 2 3 2" xfId="4394" xr:uid="{7AEA922A-4D06-4BC3-A5BE-D876C93F3BB5}"/>
    <cellStyle name="Comma 3 8 2 2 2 3 2 2" xfId="9840" xr:uid="{D596AF9E-0B9F-4E54-924D-39399936DB83}"/>
    <cellStyle name="Comma 3 8 2 2 2 3 3" xfId="3384" xr:uid="{4DE31C76-54DD-47F8-AF4B-872F98F03ED7}"/>
    <cellStyle name="Comma 3 8 2 2 2 3 4" xfId="7318" xr:uid="{9957FDCA-0E05-40E1-82FA-A0052296524C}"/>
    <cellStyle name="Comma 3 8 2 2 2 3 5" xfId="8832" xr:uid="{7087FE53-684D-472D-A033-EEAA39A2949E}"/>
    <cellStyle name="Comma 3 8 2 2 2 3 6" xfId="12452" xr:uid="{8122F6F3-3160-4256-9D77-56F3E481B8A8}"/>
    <cellStyle name="Comma 3 8 2 2 2 3 7" xfId="14197" xr:uid="{C17F390D-A655-462D-AAA7-E10C7898F953}"/>
    <cellStyle name="Comma 3 8 2 2 2 4" xfId="2180" xr:uid="{04CA929F-418E-4844-AFEC-D3BE4D2C14F9}"/>
    <cellStyle name="Comma 3 8 2 2 2 4 2" xfId="3900" xr:uid="{241E8DCD-7B96-4ED6-BC0A-501F1EFD89FC}"/>
    <cellStyle name="Comma 3 8 2 2 2 4 3" xfId="7826" xr:uid="{A0979E38-CE19-4D96-A713-5F9778E81110}"/>
    <cellStyle name="Comma 3 8 2 2 2 4 4" xfId="9344" xr:uid="{98A749DC-CA6F-445D-97F8-81AE41243DBC}"/>
    <cellStyle name="Comma 3 8 2 2 2 4 5" xfId="12958" xr:uid="{4B89CC8A-DD7B-47C1-B815-8C3CDEB0BD3D}"/>
    <cellStyle name="Comma 3 8 2 2 2 4 6" xfId="14703" xr:uid="{D9064FFC-6977-4F17-A67E-D3BF2C2F5B78}"/>
    <cellStyle name="Comma 3 8 2 2 2 5" xfId="4881" xr:uid="{4C04DED4-F8C0-4F4F-8190-AB6E3E9E46AE}"/>
    <cellStyle name="Comma 3 8 2 2 2 5 2" xfId="10342" xr:uid="{2B85FECF-D59A-447C-9D2B-97007120AC87}"/>
    <cellStyle name="Comma 3 8 2 2 2 6" xfId="5370" xr:uid="{7FC5CCA9-841C-49A8-B44C-4DE651E3711B}"/>
    <cellStyle name="Comma 3 8 2 2 2 6 2" xfId="10844" xr:uid="{439B7E29-951D-4089-AFA2-AC58F45473A4}"/>
    <cellStyle name="Comma 3 8 2 2 2 7" xfId="5872" xr:uid="{82D667F6-A972-4B47-B7D4-062F2126E00E}"/>
    <cellStyle name="Comma 3 8 2 2 2 7 2" xfId="11346" xr:uid="{97940BA3-DADB-49FD-8FE1-4B15F8CC8B8D}"/>
    <cellStyle name="Comma 3 8 2 2 2 8" xfId="2897" xr:uid="{3F5D0C89-5207-4CC6-AE0D-D0CDC2E1EE25}"/>
    <cellStyle name="Comma 3 8 2 2 2 9" xfId="6812" xr:uid="{C91CEE9F-3874-484B-8392-C9F0B66C7928}"/>
    <cellStyle name="Comma 3 8 2 2 3" xfId="1290" xr:uid="{3CC9A630-BACE-4F9E-867D-45501FA0F4E3}"/>
    <cellStyle name="Comma 3 8 2 2 3 10" xfId="12070" xr:uid="{70168E0D-2E79-431A-BC73-44B82191A617}"/>
    <cellStyle name="Comma 3 8 2 2 3 11" xfId="13815" xr:uid="{23E45269-F2BA-4AFD-92C6-5EF5A08EA4CD}"/>
    <cellStyle name="Comma 3 8 2 2 3 2" xfId="1796" xr:uid="{8A5D08CC-FBCF-411E-8FDF-E0389DB374E3}"/>
    <cellStyle name="Comma 3 8 2 2 3 2 2" xfId="4518" xr:uid="{D43F88BB-9453-424A-819E-4D8A59DD66D6}"/>
    <cellStyle name="Comma 3 8 2 2 3 2 2 2" xfId="9964" xr:uid="{18BAF221-2E4F-43B5-8505-A97C24DC8396}"/>
    <cellStyle name="Comma 3 8 2 2 3 2 3" xfId="3508" xr:uid="{85E70DAD-D01F-4A07-984D-0CFD06D5ACE7}"/>
    <cellStyle name="Comma 3 8 2 2 3 2 4" xfId="7442" xr:uid="{5ADCEE7E-9F2B-4033-89F0-BABC239D53D5}"/>
    <cellStyle name="Comma 3 8 2 2 3 2 5" xfId="8956" xr:uid="{B9562991-DF1B-489C-9A07-805B5913C0FB}"/>
    <cellStyle name="Comma 3 8 2 2 3 2 6" xfId="12576" xr:uid="{F7CA4D30-1416-4188-8FE3-1D84EA43799C}"/>
    <cellStyle name="Comma 3 8 2 2 3 2 7" xfId="14321" xr:uid="{3F6E388A-0EDE-4DA9-A024-9FB323C46280}"/>
    <cellStyle name="Comma 3 8 2 2 3 3" xfId="2304" xr:uid="{8D825C8C-CF5D-40C1-B702-92807D780DF1}"/>
    <cellStyle name="Comma 3 8 2 2 3 3 2" xfId="4024" xr:uid="{6C497470-E59A-46EA-BD10-840E55C91BB3}"/>
    <cellStyle name="Comma 3 8 2 2 3 3 3" xfId="7950" xr:uid="{D672625C-6110-4CA1-84AB-9F59D85C0A9D}"/>
    <cellStyle name="Comma 3 8 2 2 3 3 4" xfId="9468" xr:uid="{C5B8D807-5501-4046-B6A4-5A2764F82FB0}"/>
    <cellStyle name="Comma 3 8 2 2 3 3 5" xfId="13082" xr:uid="{68799434-830F-4C96-A55B-B9217656BFD3}"/>
    <cellStyle name="Comma 3 8 2 2 3 3 6" xfId="14827" xr:uid="{AD575032-4FB8-4201-94BC-C1B522B136C6}"/>
    <cellStyle name="Comma 3 8 2 2 3 4" xfId="4997" xr:uid="{966DEA39-33DE-442E-A98C-582DA203BF00}"/>
    <cellStyle name="Comma 3 8 2 2 3 4 2" xfId="10466" xr:uid="{C2FBBC97-09C9-4711-8215-20B029456631}"/>
    <cellStyle name="Comma 3 8 2 2 3 5" xfId="5494" xr:uid="{D2920379-AC74-443D-84B8-6B31A0003CF2}"/>
    <cellStyle name="Comma 3 8 2 2 3 5 2" xfId="10968" xr:uid="{1B419EC8-8827-4379-98AE-EFE92F2B217C}"/>
    <cellStyle name="Comma 3 8 2 2 3 6" xfId="5996" xr:uid="{BFA07BDA-9C40-4017-980C-DD6A8DD10CE1}"/>
    <cellStyle name="Comma 3 8 2 2 3 6 2" xfId="11470" xr:uid="{2912266A-180B-4218-8C1E-B1F7E383841A}"/>
    <cellStyle name="Comma 3 8 2 2 3 7" xfId="3015" xr:uid="{0D2D2FD9-4841-40AB-A29A-36FBB191D032}"/>
    <cellStyle name="Comma 3 8 2 2 3 8" xfId="6936" xr:uid="{50E2D22F-F35F-468E-BB2F-362372E931A2}"/>
    <cellStyle name="Comma 3 8 2 2 3 9" xfId="8460" xr:uid="{BDC4DA4C-96A7-4962-9C5F-FE8DD637A611}"/>
    <cellStyle name="Comma 3 8 2 2 4" xfId="1548" xr:uid="{BDC24945-4154-45F1-9E9B-6437D2E26DA6}"/>
    <cellStyle name="Comma 3 8 2 2 4 2" xfId="4271" xr:uid="{C495FCB9-601D-487C-8192-A5A7634BAACA}"/>
    <cellStyle name="Comma 3 8 2 2 4 2 2" xfId="9716" xr:uid="{FC8E5FC5-6E82-4B4A-9309-1364E37ABE54}"/>
    <cellStyle name="Comma 3 8 2 2 4 3" xfId="3261" xr:uid="{6F845E34-DD76-4E47-B456-070E9B31E26F}"/>
    <cellStyle name="Comma 3 8 2 2 4 4" xfId="7194" xr:uid="{EBF7ADA5-0DEF-43B9-AF31-22A059C965CF}"/>
    <cellStyle name="Comma 3 8 2 2 4 5" xfId="8708" xr:uid="{5B576674-6AB4-40F2-872A-7547D94F3802}"/>
    <cellStyle name="Comma 3 8 2 2 4 6" xfId="12328" xr:uid="{ED7EC977-0B8B-405F-9462-302A04D85CE1}"/>
    <cellStyle name="Comma 3 8 2 2 4 7" xfId="14073" xr:uid="{9A70213C-3E53-4955-B04B-A0948D9C856E}"/>
    <cellStyle name="Comma 3 8 2 2 5" xfId="2056" xr:uid="{17D41EA6-8E80-4F12-BA95-A72319111788}"/>
    <cellStyle name="Comma 3 8 2 2 5 2" xfId="3776" xr:uid="{B3E34BBE-AE09-4119-9380-43073557CFB1}"/>
    <cellStyle name="Comma 3 8 2 2 5 3" xfId="7702" xr:uid="{9DAF439B-4BC1-41C8-BCA4-21F1B8B7C519}"/>
    <cellStyle name="Comma 3 8 2 2 5 4" xfId="9220" xr:uid="{14AE9DC4-2DEB-4CD0-83BB-A0087BE58A0B}"/>
    <cellStyle name="Comma 3 8 2 2 5 5" xfId="12834" xr:uid="{169B0673-EB66-4E42-8D72-CF717E6EE896}"/>
    <cellStyle name="Comma 3 8 2 2 5 6" xfId="14579" xr:uid="{F894402B-CAAB-4430-BA79-44FF6E92CD0A}"/>
    <cellStyle name="Comma 3 8 2 2 6" xfId="4767" xr:uid="{C49B5CB8-61D8-401A-AC55-8F12243D0C89}"/>
    <cellStyle name="Comma 3 8 2 2 6 2" xfId="10218" xr:uid="{C662BEB0-1473-4DE9-B751-DA5A7929F6BB}"/>
    <cellStyle name="Comma 3 8 2 2 7" xfId="5246" xr:uid="{6DE822E5-78AA-4CB1-AC35-9840AA29A5E3}"/>
    <cellStyle name="Comma 3 8 2 2 7 2" xfId="10720" xr:uid="{0CD2991B-9FC7-4DB7-99C4-2C27957D0CBF}"/>
    <cellStyle name="Comma 3 8 2 2 8" xfId="5748" xr:uid="{092D3F32-BDE0-4CF8-8841-06F8217D8934}"/>
    <cellStyle name="Comma 3 8 2 2 8 2" xfId="11222" xr:uid="{DC23E38B-100F-4957-B424-A8DD1C993729}"/>
    <cellStyle name="Comma 3 8 2 2 9" xfId="2783" xr:uid="{15786A85-A0D7-43A1-A77A-2518240244F5}"/>
    <cellStyle name="Comma 3 8 2 3" xfId="1117" xr:uid="{6D9B637D-2BA8-43EA-AB14-8E22923EEFCC}"/>
    <cellStyle name="Comma 3 8 2 3 10" xfId="8287" xr:uid="{A9E075F9-4644-4AF2-ADE6-ABC55E2D623A}"/>
    <cellStyle name="Comma 3 8 2 3 11" xfId="11897" xr:uid="{BF16DA0F-BD2A-4C15-91D2-D5EE7B455E6A}"/>
    <cellStyle name="Comma 3 8 2 3 12" xfId="13642" xr:uid="{45ED682A-7B24-48D1-B0E2-B06B9F9EFC7A}"/>
    <cellStyle name="Comma 3 8 2 3 2" xfId="1365" xr:uid="{27518ED2-EDD6-435C-8093-60F28DABBBCA}"/>
    <cellStyle name="Comma 3 8 2 3 2 10" xfId="12145" xr:uid="{C2BB0F4A-3F34-4B60-AA3F-A785D60CEFC4}"/>
    <cellStyle name="Comma 3 8 2 3 2 11" xfId="13890" xr:uid="{19657955-1524-432C-85DF-E92D3BB2AC0D}"/>
    <cellStyle name="Comma 3 8 2 3 2 2" xfId="1871" xr:uid="{CD4C92DE-2172-4045-8505-DA144414C29B}"/>
    <cellStyle name="Comma 3 8 2 3 2 2 2" xfId="4593" xr:uid="{5B7DC31C-4040-4582-8305-A03071D0BD01}"/>
    <cellStyle name="Comma 3 8 2 3 2 2 2 2" xfId="10039" xr:uid="{4495CD48-DD58-454F-90EA-D5D34D46DC7D}"/>
    <cellStyle name="Comma 3 8 2 3 2 2 3" xfId="3583" xr:uid="{1437A4DF-F997-4D42-8BEB-AC90F4D9688A}"/>
    <cellStyle name="Comma 3 8 2 3 2 2 4" xfId="7517" xr:uid="{4F298A94-21F7-4B27-B2C7-9415E8C0DD04}"/>
    <cellStyle name="Comma 3 8 2 3 2 2 5" xfId="9031" xr:uid="{B373E899-3D6F-46A8-90AF-83239CC5B24C}"/>
    <cellStyle name="Comma 3 8 2 3 2 2 6" xfId="12651" xr:uid="{8A96F79E-7906-4E75-A82B-44221774CC1C}"/>
    <cellStyle name="Comma 3 8 2 3 2 2 7" xfId="14396" xr:uid="{2680AB2E-5529-4673-AF4C-3823A41A9FCD}"/>
    <cellStyle name="Comma 3 8 2 3 2 3" xfId="2379" xr:uid="{32E76257-C11F-4CAE-BD46-DD3C424E31DF}"/>
    <cellStyle name="Comma 3 8 2 3 2 3 2" xfId="4099" xr:uid="{AE8EA462-1AAA-4C57-BA2E-5AA442773DD0}"/>
    <cellStyle name="Comma 3 8 2 3 2 3 3" xfId="8025" xr:uid="{E3C8559B-C5D3-4460-9F6A-411F1487230A}"/>
    <cellStyle name="Comma 3 8 2 3 2 3 4" xfId="9543" xr:uid="{8AA96C56-0BEE-4D12-A244-E81911C9FAB0}"/>
    <cellStyle name="Comma 3 8 2 3 2 3 5" xfId="13157" xr:uid="{E2EA9DAC-8AB2-44F6-8A57-E993E01F5FC9}"/>
    <cellStyle name="Comma 3 8 2 3 2 3 6" xfId="14902" xr:uid="{85EA005E-67D7-4394-A220-1B0BCCF7DE92}"/>
    <cellStyle name="Comma 3 8 2 3 2 4" xfId="5071" xr:uid="{F31E2E18-699E-4480-A2BC-0C3588467161}"/>
    <cellStyle name="Comma 3 8 2 3 2 4 2" xfId="10541" xr:uid="{71F39656-0993-40C9-987D-63A37CE79891}"/>
    <cellStyle name="Comma 3 8 2 3 2 5" xfId="5569" xr:uid="{3F23731F-B050-4FA6-ABF9-4BAC8933AB84}"/>
    <cellStyle name="Comma 3 8 2 3 2 5 2" xfId="11043" xr:uid="{0F409A41-0024-4314-9B54-63EFA547C3B9}"/>
    <cellStyle name="Comma 3 8 2 3 2 6" xfId="6071" xr:uid="{F96CA697-EF4B-4940-9B79-FCA201995F92}"/>
    <cellStyle name="Comma 3 8 2 3 2 6 2" xfId="11545" xr:uid="{8FDC364C-9BC1-4B98-A533-485EB57036F5}"/>
    <cellStyle name="Comma 3 8 2 3 2 7" xfId="3089" xr:uid="{E6A66A48-33CD-465E-B501-8BF0E45F7BCB}"/>
    <cellStyle name="Comma 3 8 2 3 2 8" xfId="7011" xr:uid="{68DD7F18-24F9-4FEA-872E-61B3100736D2}"/>
    <cellStyle name="Comma 3 8 2 3 2 9" xfId="8535" xr:uid="{7B013B93-7F79-4619-B5FE-BB578B72788F}"/>
    <cellStyle name="Comma 3 8 2 3 3" xfId="1623" xr:uid="{9779CAA9-DC25-4000-B8AB-DC49CAB0C5EF}"/>
    <cellStyle name="Comma 3 8 2 3 3 2" xfId="4345" xr:uid="{066C5358-268A-475F-92CC-1569D4700552}"/>
    <cellStyle name="Comma 3 8 2 3 3 2 2" xfId="9791" xr:uid="{1056E133-9B8B-4C94-86F1-544039EFF5CD}"/>
    <cellStyle name="Comma 3 8 2 3 3 3" xfId="3335" xr:uid="{0B46BCCA-6E88-4F76-A41E-73DBDBAA54E4}"/>
    <cellStyle name="Comma 3 8 2 3 3 4" xfId="7269" xr:uid="{F8BC02F9-7917-4E35-A821-A3AD1009587D}"/>
    <cellStyle name="Comma 3 8 2 3 3 5" xfId="8783" xr:uid="{F303BF7C-5ECA-4F36-BD3D-AC297FCBBE03}"/>
    <cellStyle name="Comma 3 8 2 3 3 6" xfId="12403" xr:uid="{1A6AD42B-D1E5-4F3B-B3F9-82D338E8DA84}"/>
    <cellStyle name="Comma 3 8 2 3 3 7" xfId="14148" xr:uid="{851A1151-D29C-455B-9285-017EE5789A0B}"/>
    <cellStyle name="Comma 3 8 2 3 4" xfId="2131" xr:uid="{74B7019D-42C5-43E0-A268-2CD2748796B1}"/>
    <cellStyle name="Comma 3 8 2 3 4 2" xfId="3851" xr:uid="{D5A407FF-83E5-43F9-AFB7-8D1152FDC3DD}"/>
    <cellStyle name="Comma 3 8 2 3 4 3" xfId="7777" xr:uid="{CBA17FB6-0169-4FDA-AC83-320D73DB3F48}"/>
    <cellStyle name="Comma 3 8 2 3 4 4" xfId="9295" xr:uid="{B6365F26-191F-4C2E-9915-68FA7BF06F64}"/>
    <cellStyle name="Comma 3 8 2 3 4 5" xfId="12909" xr:uid="{2ACBD910-8543-492D-A659-43BCF0E740C7}"/>
    <cellStyle name="Comma 3 8 2 3 4 6" xfId="14654" xr:uid="{5296336F-BBA1-4C87-8FC6-C12BF11D9159}"/>
    <cellStyle name="Comma 3 8 2 3 5" xfId="4835" xr:uid="{32FF69DC-BB2B-4667-ABF6-47601BA9D658}"/>
    <cellStyle name="Comma 3 8 2 3 5 2" xfId="10293" xr:uid="{A52EBBE6-DA8E-47F3-A417-3AE8EB6A0059}"/>
    <cellStyle name="Comma 3 8 2 3 6" xfId="5321" xr:uid="{087D9A04-98F2-4A3A-8F6F-0932D0E0B2F5}"/>
    <cellStyle name="Comma 3 8 2 3 6 2" xfId="10795" xr:uid="{7A4079DF-3197-45BC-89E3-9EA5A418C77B}"/>
    <cellStyle name="Comma 3 8 2 3 7" xfId="5823" xr:uid="{BC80E39B-2A02-4CE2-AE80-8C4EF5AB1F27}"/>
    <cellStyle name="Comma 3 8 2 3 7 2" xfId="11297" xr:uid="{3D761666-6C30-454D-AE9D-3F36B1CB847E}"/>
    <cellStyle name="Comma 3 8 2 3 8" xfId="2851" xr:uid="{F10A285E-34D5-4B53-BE20-00E2D0D34441}"/>
    <cellStyle name="Comma 3 8 2 3 9" xfId="6763" xr:uid="{72EE52A0-D34C-47EF-9096-78C05A1823AC}"/>
    <cellStyle name="Comma 3 8 2 4" xfId="1241" xr:uid="{4A0EF512-C554-48D4-AF16-F10B14867DCE}"/>
    <cellStyle name="Comma 3 8 2 4 10" xfId="12021" xr:uid="{50AD7841-C12C-4288-B1AE-D94517B51ECE}"/>
    <cellStyle name="Comma 3 8 2 4 11" xfId="13766" xr:uid="{866B33FC-B591-45B9-9F90-16E5EE7D250C}"/>
    <cellStyle name="Comma 3 8 2 4 2" xfId="1747" xr:uid="{A1A42A47-0A01-4DD2-AF8D-0C8A2AFB80B7}"/>
    <cellStyle name="Comma 3 8 2 4 2 2" xfId="4469" xr:uid="{4F4CC066-1B84-4F88-9227-C5FAE9ABD35C}"/>
    <cellStyle name="Comma 3 8 2 4 2 2 2" xfId="9915" xr:uid="{5F5D9811-7179-48C2-AF5A-D35CFB7A086A}"/>
    <cellStyle name="Comma 3 8 2 4 2 3" xfId="3459" xr:uid="{47B531DB-DB77-4B72-9A5E-2A1D51332E67}"/>
    <cellStyle name="Comma 3 8 2 4 2 4" xfId="7393" xr:uid="{66FB8D97-CD32-45CA-A875-E49C9D3439C6}"/>
    <cellStyle name="Comma 3 8 2 4 2 5" xfId="8907" xr:uid="{8FBCAED9-2C5D-463D-B22B-F044955DAA42}"/>
    <cellStyle name="Comma 3 8 2 4 2 6" xfId="12527" xr:uid="{F8AEDD19-C110-4B88-B3B8-072FDB750DA9}"/>
    <cellStyle name="Comma 3 8 2 4 2 7" xfId="14272" xr:uid="{F95E97C5-F3B2-4D04-B37D-C4DBFCD87CD5}"/>
    <cellStyle name="Comma 3 8 2 4 3" xfId="2255" xr:uid="{1DFFA3C5-5F40-4730-A295-79FFAE6C6A66}"/>
    <cellStyle name="Comma 3 8 2 4 3 2" xfId="3975" xr:uid="{A32FC5CA-E5A2-4B5D-BDF2-4BAF092C0DBE}"/>
    <cellStyle name="Comma 3 8 2 4 3 3" xfId="7901" xr:uid="{034C8773-1660-48A6-A8AA-F082423615A1}"/>
    <cellStyle name="Comma 3 8 2 4 3 4" xfId="9419" xr:uid="{89B9D030-690B-4751-A3BC-B6544C67F6D9}"/>
    <cellStyle name="Comma 3 8 2 4 3 5" xfId="13033" xr:uid="{88E6E592-30D1-4930-B6E1-4DD0AD12BC07}"/>
    <cellStyle name="Comma 3 8 2 4 3 6" xfId="14778" xr:uid="{9A3CD372-5F93-4E8B-AFBE-F7277C717D9B}"/>
    <cellStyle name="Comma 3 8 2 4 4" xfId="4951" xr:uid="{A853F2C9-3C72-4A5C-B133-5BE45695C6A6}"/>
    <cellStyle name="Comma 3 8 2 4 4 2" xfId="10417" xr:uid="{A2016CEF-3115-42CB-8CB9-010E756D221C}"/>
    <cellStyle name="Comma 3 8 2 4 5" xfId="5445" xr:uid="{4F25E94F-4A1D-41B7-9E7A-DA26BE5997AB}"/>
    <cellStyle name="Comma 3 8 2 4 5 2" xfId="10919" xr:uid="{9E303CA3-B8D1-4F34-9F09-CEEBACB481B9}"/>
    <cellStyle name="Comma 3 8 2 4 6" xfId="5947" xr:uid="{5578B98C-F8FC-4B2C-8380-A50B953F6D14}"/>
    <cellStyle name="Comma 3 8 2 4 6 2" xfId="11421" xr:uid="{5849128A-3DB8-4CAC-AFEB-7EFD9B15E4A0}"/>
    <cellStyle name="Comma 3 8 2 4 7" xfId="2969" xr:uid="{60688B91-9CA9-40A3-8534-FC7E43BFF8BB}"/>
    <cellStyle name="Comma 3 8 2 4 8" xfId="6887" xr:uid="{926CAF62-3A7B-419F-9463-C44D6DC2ECAF}"/>
    <cellStyle name="Comma 3 8 2 4 9" xfId="8411" xr:uid="{7153BFA7-E4F4-4ADA-85E1-E11C36CDF49B}"/>
    <cellStyle name="Comma 3 8 2 5" xfId="1499" xr:uid="{17E6A14F-3587-493F-A6CA-E125EA9A382B}"/>
    <cellStyle name="Comma 3 8 2 5 2" xfId="4223" xr:uid="{6BF32FA3-818D-452A-B3B9-CE538E78B682}"/>
    <cellStyle name="Comma 3 8 2 5 2 2" xfId="9667" xr:uid="{F235AF49-0E49-4F91-AE29-E27A2B0A44CF}"/>
    <cellStyle name="Comma 3 8 2 5 3" xfId="3213" xr:uid="{B1E9E95A-2670-47FF-A751-24B1EF273055}"/>
    <cellStyle name="Comma 3 8 2 5 4" xfId="7145" xr:uid="{FCDC1CF5-066E-4158-959B-529A38DC3FDC}"/>
    <cellStyle name="Comma 3 8 2 5 5" xfId="8659" xr:uid="{189CBC39-47E3-4A12-8E63-5F5AE1996756}"/>
    <cellStyle name="Comma 3 8 2 5 6" xfId="12279" xr:uid="{FF305CAD-5094-4CC8-9A36-26FB59A04C2C}"/>
    <cellStyle name="Comma 3 8 2 5 7" xfId="14024" xr:uid="{859446DF-249F-4FF1-8453-317345C7B913}"/>
    <cellStyle name="Comma 3 8 2 6" xfId="2007" xr:uid="{7E2EEB37-EEFE-429D-85D8-44528D297B2D}"/>
    <cellStyle name="Comma 3 8 2 6 2" xfId="3727" xr:uid="{8BD85DDE-032A-48D2-85CC-AD461A3A7946}"/>
    <cellStyle name="Comma 3 8 2 6 3" xfId="7653" xr:uid="{3621E843-69CB-4F17-91BD-3872B60AA486}"/>
    <cellStyle name="Comma 3 8 2 6 4" xfId="9171" xr:uid="{6BC86B6F-2629-411D-AE3B-B693C56978A2}"/>
    <cellStyle name="Comma 3 8 2 6 5" xfId="12785" xr:uid="{CFF954F2-2009-43C7-A699-9F9BF7C7E746}"/>
    <cellStyle name="Comma 3 8 2 6 6" xfId="14530" xr:uid="{21EF9B1D-2775-4957-92FE-8B02AA75B55A}"/>
    <cellStyle name="Comma 3 8 2 7" xfId="4723" xr:uid="{B1262851-BAA9-4C83-B31D-26D56631A4AD}"/>
    <cellStyle name="Comma 3 8 2 7 2" xfId="10169" xr:uid="{B06F3CF4-9ADC-49F6-9638-6F7AC00F5645}"/>
    <cellStyle name="Comma 3 8 2 8" xfId="5197" xr:uid="{F53BD4D1-960C-48BB-ACE7-B9CA4B9EAE36}"/>
    <cellStyle name="Comma 3 8 2 8 2" xfId="10671" xr:uid="{EA2A422E-CB05-492B-B93B-A7DB6214A767}"/>
    <cellStyle name="Comma 3 8 2 9" xfId="5699" xr:uid="{BA3CEADB-0376-480A-8B5D-A56D4EB0FF48}"/>
    <cellStyle name="Comma 3 8 2 9 2" xfId="11173" xr:uid="{7782B7AB-9AD2-4D68-A26E-7FE5AFFFFCDF}"/>
    <cellStyle name="Comma 3 8 3" xfId="1013" xr:uid="{4E9891AA-D388-43C5-B27A-8118D09E9EA6}"/>
    <cellStyle name="Comma 3 8 3 10" xfId="2757" xr:uid="{3027392F-4700-41E2-AD5E-E72B5B067C98}"/>
    <cellStyle name="Comma 3 8 3 11" xfId="6659" xr:uid="{1E020C65-A90A-4441-8F33-C8BF20750D6F}"/>
    <cellStyle name="Comma 3 8 3 12" xfId="8183" xr:uid="{86CE9FD5-5AAD-4A1D-A97A-27E380D02F78}"/>
    <cellStyle name="Comma 3 8 3 13" xfId="11793" xr:uid="{A3802C1D-8B64-4E20-AC4D-67BCD5DB8F81}"/>
    <cellStyle name="Comma 3 8 3 14" xfId="13538" xr:uid="{21F83F0B-4799-465C-8752-626075941ACD}"/>
    <cellStyle name="Comma 3 8 3 2" xfId="1043" xr:uid="{4DD980E7-3DC4-41CF-860B-06B0C6816CB4}"/>
    <cellStyle name="Comma 3 8 3 2 10" xfId="6689" xr:uid="{56D27FE3-2410-46D0-A51C-1372A344B2D2}"/>
    <cellStyle name="Comma 3 8 3 2 11" xfId="8213" xr:uid="{31E133BD-97AE-436B-8E25-9FC871DD2EF9}"/>
    <cellStyle name="Comma 3 8 3 2 12" xfId="11823" xr:uid="{606F6BF6-08CB-44A1-AD53-74DD96A12C74}"/>
    <cellStyle name="Comma 3 8 3 2 13" xfId="13568" xr:uid="{7B45AFE7-7870-4F26-B950-DDF4A7C979F5}"/>
    <cellStyle name="Comma 3 8 3 2 2" xfId="1167" xr:uid="{F99A10C6-D11C-476D-8730-9294C5CF3DB3}"/>
    <cellStyle name="Comma 3 8 3 2 2 10" xfId="8337" xr:uid="{EF2AFD34-F674-4E1F-93A6-83F16B39A919}"/>
    <cellStyle name="Comma 3 8 3 2 2 11" xfId="11947" xr:uid="{F3256C10-1B29-45F9-8FA3-52F7AA0013EB}"/>
    <cellStyle name="Comma 3 8 3 2 2 12" xfId="13692" xr:uid="{935F0914-1683-49EE-8E2F-8EF5C05771D1}"/>
    <cellStyle name="Comma 3 8 3 2 2 2" xfId="1415" xr:uid="{0EC17645-609C-4F81-ABCD-EC2A59B68869}"/>
    <cellStyle name="Comma 3 8 3 2 2 2 10" xfId="12195" xr:uid="{CACF8BC5-C356-4FD3-B2D8-E4B5E3EB15E1}"/>
    <cellStyle name="Comma 3 8 3 2 2 2 11" xfId="13940" xr:uid="{C9E30034-3CDE-411B-89B9-DBCA40E1525A}"/>
    <cellStyle name="Comma 3 8 3 2 2 2 2" xfId="1921" xr:uid="{7225F7A2-7300-4458-B9B5-D189DE00AFD7}"/>
    <cellStyle name="Comma 3 8 3 2 2 2 2 2" xfId="4643" xr:uid="{2CEE2DA2-1601-4F2F-A4BF-6624CD54AA77}"/>
    <cellStyle name="Comma 3 8 3 2 2 2 2 2 2" xfId="10089" xr:uid="{D694B4BD-F58F-41A8-8766-E2DEFE922CE6}"/>
    <cellStyle name="Comma 3 8 3 2 2 2 2 3" xfId="3633" xr:uid="{D292B70D-347C-4788-B162-841BF043FDBD}"/>
    <cellStyle name="Comma 3 8 3 2 2 2 2 4" xfId="7567" xr:uid="{C71665C8-37F3-4707-9410-20A8A4845D23}"/>
    <cellStyle name="Comma 3 8 3 2 2 2 2 5" xfId="9081" xr:uid="{F8801DC6-2836-449F-A62E-9603FC2CCB5D}"/>
    <cellStyle name="Comma 3 8 3 2 2 2 2 6" xfId="12701" xr:uid="{C8BFA44D-576E-410E-A5B2-6D3E1BBB04DD}"/>
    <cellStyle name="Comma 3 8 3 2 2 2 2 7" xfId="14446" xr:uid="{DD02B85A-BC22-4B1F-A55B-1BEAE51BEF21}"/>
    <cellStyle name="Comma 3 8 3 2 2 2 3" xfId="2429" xr:uid="{488CE1CA-2974-44CE-9A9B-EDB074A8AD0C}"/>
    <cellStyle name="Comma 3 8 3 2 2 2 3 2" xfId="4149" xr:uid="{17928AF8-A05B-4523-97C5-E7C79C2AFE78}"/>
    <cellStyle name="Comma 3 8 3 2 2 2 3 3" xfId="8075" xr:uid="{C3C2BBA9-C309-4D3A-BD02-37AE2FE4C0FD}"/>
    <cellStyle name="Comma 3 8 3 2 2 2 3 4" xfId="9593" xr:uid="{59FA9AB3-F736-4EB5-B6B2-37D29110D1D4}"/>
    <cellStyle name="Comma 3 8 3 2 2 2 3 5" xfId="13207" xr:uid="{F61BE93F-3AAF-4CDF-8A88-0989851F4531}"/>
    <cellStyle name="Comma 3 8 3 2 2 2 3 6" xfId="14952" xr:uid="{4958BD99-3BB0-4FFC-BF21-BF87D6871B50}"/>
    <cellStyle name="Comma 3 8 3 2 2 2 4" xfId="5121" xr:uid="{65635971-0DEC-4227-B73B-8E3E2C25946D}"/>
    <cellStyle name="Comma 3 8 3 2 2 2 4 2" xfId="10591" xr:uid="{47AA31F2-5895-490D-AD07-270944AC3ACE}"/>
    <cellStyle name="Comma 3 8 3 2 2 2 5" xfId="5619" xr:uid="{8B6F07E2-91C1-4F08-959F-23444703CC1F}"/>
    <cellStyle name="Comma 3 8 3 2 2 2 5 2" xfId="11093" xr:uid="{EBE39DE6-AB2A-41DA-911C-49745FDC2B48}"/>
    <cellStyle name="Comma 3 8 3 2 2 2 6" xfId="6121" xr:uid="{4E514050-E318-4B55-B8E3-B1281150DD72}"/>
    <cellStyle name="Comma 3 8 3 2 2 2 6 2" xfId="11595" xr:uid="{BD967B59-2DD4-4A2F-B43E-C68D0E229BE6}"/>
    <cellStyle name="Comma 3 8 3 2 2 2 7" xfId="3139" xr:uid="{0AD403E5-F39A-404C-959E-235DCFC7D56F}"/>
    <cellStyle name="Comma 3 8 3 2 2 2 8" xfId="7061" xr:uid="{C6524A01-D754-4ED3-B4C2-6070396E3792}"/>
    <cellStyle name="Comma 3 8 3 2 2 2 9" xfId="8585" xr:uid="{84EF73E8-8F31-4697-A1DA-12B9396F5C11}"/>
    <cellStyle name="Comma 3 8 3 2 2 3" xfId="1673" xr:uid="{1E193103-01AF-4872-BE11-FC85AE4D538D}"/>
    <cellStyle name="Comma 3 8 3 2 2 3 2" xfId="4395" xr:uid="{D54CF5D0-421E-4046-A600-0CD972387AB2}"/>
    <cellStyle name="Comma 3 8 3 2 2 3 2 2" xfId="9841" xr:uid="{4C95863B-AB5F-4ACC-A219-8065B6FAC038}"/>
    <cellStyle name="Comma 3 8 3 2 2 3 3" xfId="3385" xr:uid="{5AA6EDFE-36DE-4166-8D0A-249EA0D6A012}"/>
    <cellStyle name="Comma 3 8 3 2 2 3 4" xfId="7319" xr:uid="{23190175-8FB6-4981-8526-F497CD053316}"/>
    <cellStyle name="Comma 3 8 3 2 2 3 5" xfId="8833" xr:uid="{E4060A8A-0603-4451-A969-1102D9A45E4F}"/>
    <cellStyle name="Comma 3 8 3 2 2 3 6" xfId="12453" xr:uid="{86828348-E580-403D-BD1E-FF533DD7CF55}"/>
    <cellStyle name="Comma 3 8 3 2 2 3 7" xfId="14198" xr:uid="{0CC2FD52-DB18-46A0-9622-C275BB9175B9}"/>
    <cellStyle name="Comma 3 8 3 2 2 4" xfId="2181" xr:uid="{2231FE4A-B56E-4029-8A98-1575712CD356}"/>
    <cellStyle name="Comma 3 8 3 2 2 4 2" xfId="3901" xr:uid="{BA786BFC-DBCE-442C-8602-2F1B00E77397}"/>
    <cellStyle name="Comma 3 8 3 2 2 4 3" xfId="7827" xr:uid="{AB3F8078-D234-4792-B19C-D91BED17AFD0}"/>
    <cellStyle name="Comma 3 8 3 2 2 4 4" xfId="9345" xr:uid="{6354DC82-4178-44E1-9CB0-EE4784E2C78D}"/>
    <cellStyle name="Comma 3 8 3 2 2 4 5" xfId="12959" xr:uid="{8DA8A59E-5AF2-41DD-B647-CCC997D899F9}"/>
    <cellStyle name="Comma 3 8 3 2 2 4 6" xfId="14704" xr:uid="{12551E03-2FF0-4597-970E-C4CF2D8BB842}"/>
    <cellStyle name="Comma 3 8 3 2 2 5" xfId="4882" xr:uid="{A7409861-C0B9-4642-AC39-D7C70C2238FF}"/>
    <cellStyle name="Comma 3 8 3 2 2 5 2" xfId="10343" xr:uid="{7073C937-7E98-4900-985B-A64888E63BF1}"/>
    <cellStyle name="Comma 3 8 3 2 2 6" xfId="5371" xr:uid="{3798A738-4489-47FB-A0D4-F6D67EF734AE}"/>
    <cellStyle name="Comma 3 8 3 2 2 6 2" xfId="10845" xr:uid="{53A8CD64-0D36-4802-A4B6-8A036AF207EF}"/>
    <cellStyle name="Comma 3 8 3 2 2 7" xfId="5873" xr:uid="{BB5A06F7-5887-489B-AFD6-DC53845C2BA8}"/>
    <cellStyle name="Comma 3 8 3 2 2 7 2" xfId="11347" xr:uid="{E1FCC56E-FA1F-4361-A720-C1F7804B6D24}"/>
    <cellStyle name="Comma 3 8 3 2 2 8" xfId="2898" xr:uid="{C7A38635-2EEC-4A3A-ABDD-0625F7105FEE}"/>
    <cellStyle name="Comma 3 8 3 2 2 9" xfId="6813" xr:uid="{FB314986-8E5D-4D6D-BC9E-1D90A5A04CCE}"/>
    <cellStyle name="Comma 3 8 3 2 3" xfId="1291" xr:uid="{5C363916-FC25-4552-8815-8E7874D6DD33}"/>
    <cellStyle name="Comma 3 8 3 2 3 10" xfId="12071" xr:uid="{91037273-14E5-4B1B-9273-C4830D1E97D2}"/>
    <cellStyle name="Comma 3 8 3 2 3 11" xfId="13816" xr:uid="{39CBF138-CC32-4ABE-B182-A2C590673302}"/>
    <cellStyle name="Comma 3 8 3 2 3 2" xfId="1797" xr:uid="{77617012-71E9-46EF-80BB-490CFB254FA2}"/>
    <cellStyle name="Comma 3 8 3 2 3 2 2" xfId="4519" xr:uid="{6B9D722E-17B7-4FCA-A567-92C0AC24A621}"/>
    <cellStyle name="Comma 3 8 3 2 3 2 2 2" xfId="9965" xr:uid="{BB1B385F-D0BE-440D-8481-155B83AA7550}"/>
    <cellStyle name="Comma 3 8 3 2 3 2 3" xfId="3509" xr:uid="{44EBC895-EC23-41F7-8FD5-F9032A7CE38A}"/>
    <cellStyle name="Comma 3 8 3 2 3 2 4" xfId="7443" xr:uid="{BB3B04FD-24F2-472F-BA49-B9895FFA5A3B}"/>
    <cellStyle name="Comma 3 8 3 2 3 2 5" xfId="8957" xr:uid="{45CF178A-447E-4D4C-BCC0-4C0ED8D1541D}"/>
    <cellStyle name="Comma 3 8 3 2 3 2 6" xfId="12577" xr:uid="{19F81B93-00F8-4343-8946-3DDF7BCD3836}"/>
    <cellStyle name="Comma 3 8 3 2 3 2 7" xfId="14322" xr:uid="{786B1382-A5F6-4122-840E-95C4FEE9741B}"/>
    <cellStyle name="Comma 3 8 3 2 3 3" xfId="2305" xr:uid="{36A33491-9F32-44E7-B9D4-5D6575AA16C2}"/>
    <cellStyle name="Comma 3 8 3 2 3 3 2" xfId="4025" xr:uid="{25B96B7B-C808-4C1D-8735-F353CD9564F3}"/>
    <cellStyle name="Comma 3 8 3 2 3 3 3" xfId="7951" xr:uid="{92092E8A-F1DE-490B-AC02-DA8D784A9AD6}"/>
    <cellStyle name="Comma 3 8 3 2 3 3 4" xfId="9469" xr:uid="{C0E861A4-A80B-43C9-B65F-24976051D647}"/>
    <cellStyle name="Comma 3 8 3 2 3 3 5" xfId="13083" xr:uid="{E8CA7C85-D7C9-4CA6-8C25-52B6D51D1908}"/>
    <cellStyle name="Comma 3 8 3 2 3 3 6" xfId="14828" xr:uid="{731AC26E-ACCF-4358-B90C-4D5934232554}"/>
    <cellStyle name="Comma 3 8 3 2 3 4" xfId="4998" xr:uid="{2F4B894D-3891-4571-A85A-832223AA5F05}"/>
    <cellStyle name="Comma 3 8 3 2 3 4 2" xfId="10467" xr:uid="{E67C4895-C5FE-4BBE-AF4F-2647F5F7BEDE}"/>
    <cellStyle name="Comma 3 8 3 2 3 5" xfId="5495" xr:uid="{23F29226-A263-401B-B6E3-876A7C56D7B8}"/>
    <cellStyle name="Comma 3 8 3 2 3 5 2" xfId="10969" xr:uid="{08F3275E-C46C-4FCE-9EED-E8EFB3920AE2}"/>
    <cellStyle name="Comma 3 8 3 2 3 6" xfId="5997" xr:uid="{0D8885C2-A566-44E2-BEF8-AB8D8DB03D5C}"/>
    <cellStyle name="Comma 3 8 3 2 3 6 2" xfId="11471" xr:uid="{C9883BBB-D939-4C58-BB1B-2957FFBB3C99}"/>
    <cellStyle name="Comma 3 8 3 2 3 7" xfId="3016" xr:uid="{78F3EE5F-9F1A-402D-9E12-167CC372484B}"/>
    <cellStyle name="Comma 3 8 3 2 3 8" xfId="6937" xr:uid="{67B951C6-9C5B-41F9-90CB-A437412A2933}"/>
    <cellStyle name="Comma 3 8 3 2 3 9" xfId="8461" xr:uid="{40B6CDE4-8194-48BB-AC94-08A00FB70686}"/>
    <cellStyle name="Comma 3 8 3 2 4" xfId="1549" xr:uid="{DE27ADDB-246C-4F72-9400-B8B7FC93ABA7}"/>
    <cellStyle name="Comma 3 8 3 2 4 2" xfId="4272" xr:uid="{C78F3D32-C158-4AF4-9FDA-D91A0A021FCF}"/>
    <cellStyle name="Comma 3 8 3 2 4 2 2" xfId="9717" xr:uid="{BF9E2381-8F31-48CA-9D6F-8CAFCDCF94A3}"/>
    <cellStyle name="Comma 3 8 3 2 4 3" xfId="3262" xr:uid="{32EB4FB4-8BE9-4BF1-8D64-D118BEAC74EC}"/>
    <cellStyle name="Comma 3 8 3 2 4 4" xfId="7195" xr:uid="{AF5EAF48-027D-4E6E-95F1-F43EC7DB41EE}"/>
    <cellStyle name="Comma 3 8 3 2 4 5" xfId="8709" xr:uid="{59111F61-DCFA-4370-B703-B41F56FFED34}"/>
    <cellStyle name="Comma 3 8 3 2 4 6" xfId="12329" xr:uid="{11BD3B21-CF58-4F43-AD8E-9515C549104A}"/>
    <cellStyle name="Comma 3 8 3 2 4 7" xfId="14074" xr:uid="{2AD7887D-DC0C-4652-8721-91B962CD65C4}"/>
    <cellStyle name="Comma 3 8 3 2 5" xfId="2057" xr:uid="{256397F2-CE70-4461-B043-BEA3F0FE6050}"/>
    <cellStyle name="Comma 3 8 3 2 5 2" xfId="3777" xr:uid="{D286B87A-7AE7-4944-A116-22074B8272A1}"/>
    <cellStyle name="Comma 3 8 3 2 5 3" xfId="7703" xr:uid="{BDEBAD25-0429-4690-9A62-E0CD0855F2DA}"/>
    <cellStyle name="Comma 3 8 3 2 5 4" xfId="9221" xr:uid="{4E7291CC-FA82-434F-8B5D-770FA2297BDD}"/>
    <cellStyle name="Comma 3 8 3 2 5 5" xfId="12835" xr:uid="{98A9A344-9483-470F-9DA0-B708665A8EFF}"/>
    <cellStyle name="Comma 3 8 3 2 5 6" xfId="14580" xr:uid="{FB859FA9-ACA5-41EE-88BE-8CE94505793A}"/>
    <cellStyle name="Comma 3 8 3 2 6" xfId="4768" xr:uid="{6D98F78F-AE65-469E-A336-883D09E73C25}"/>
    <cellStyle name="Comma 3 8 3 2 6 2" xfId="10219" xr:uid="{ACB0DFE5-F2AD-4C48-BB43-2671D66EF339}"/>
    <cellStyle name="Comma 3 8 3 2 7" xfId="5247" xr:uid="{F35032FC-64F3-4645-BF72-FA059CEE9165}"/>
    <cellStyle name="Comma 3 8 3 2 7 2" xfId="10721" xr:uid="{80ACECC5-3FC8-4E2B-B07F-9A67E11C8ACD}"/>
    <cellStyle name="Comma 3 8 3 2 8" xfId="5749" xr:uid="{C0FE4539-E346-4B30-8D6C-C31277D8C91A}"/>
    <cellStyle name="Comma 3 8 3 2 8 2" xfId="11223" xr:uid="{9A39A354-B323-4A5B-99EE-D875F7614F88}"/>
    <cellStyle name="Comma 3 8 3 2 9" xfId="2784" xr:uid="{92791AC2-AF4C-48FF-B240-2EEB039F82E8}"/>
    <cellStyle name="Comma 3 8 3 3" xfId="1137" xr:uid="{FA306433-0E9A-4658-A270-281DEDC0B84D}"/>
    <cellStyle name="Comma 3 8 3 3 10" xfId="8307" xr:uid="{866653D6-902C-486C-84C5-F5D947BAAC19}"/>
    <cellStyle name="Comma 3 8 3 3 11" xfId="11917" xr:uid="{AE1BC53D-1FB5-4313-A13A-3B6161147E24}"/>
    <cellStyle name="Comma 3 8 3 3 12" xfId="13662" xr:uid="{1C01967A-15B6-4A1F-8C2C-7D56E6DB60DC}"/>
    <cellStyle name="Comma 3 8 3 3 2" xfId="1385" xr:uid="{08C17168-A85A-406D-AE4B-72AD16413CC8}"/>
    <cellStyle name="Comma 3 8 3 3 2 10" xfId="12165" xr:uid="{F24421B6-F161-417C-8E4D-DACFDDB0A3BE}"/>
    <cellStyle name="Comma 3 8 3 3 2 11" xfId="13910" xr:uid="{940241FD-7408-47A6-8CF7-E31F7EE1144D}"/>
    <cellStyle name="Comma 3 8 3 3 2 2" xfId="1891" xr:uid="{DFD18621-E1C5-4FC8-A9CE-0AA4DBE1BF10}"/>
    <cellStyle name="Comma 3 8 3 3 2 2 2" xfId="4613" xr:uid="{1D0D3DE2-668A-4B93-93AA-F365767C8E3E}"/>
    <cellStyle name="Comma 3 8 3 3 2 2 2 2" xfId="10059" xr:uid="{2496234F-D3A2-4793-A09D-513BA89BE139}"/>
    <cellStyle name="Comma 3 8 3 3 2 2 3" xfId="3603" xr:uid="{E439CD73-C5B6-4992-ACF2-27969175D4C0}"/>
    <cellStyle name="Comma 3 8 3 3 2 2 4" xfId="7537" xr:uid="{6B5603DF-98FA-44AA-9DF7-9D60BFCDC526}"/>
    <cellStyle name="Comma 3 8 3 3 2 2 5" xfId="9051" xr:uid="{5FB03903-5595-4483-AFFA-66C31DF33A5C}"/>
    <cellStyle name="Comma 3 8 3 3 2 2 6" xfId="12671" xr:uid="{F7601BC1-58E6-4AB8-B743-B8308937FC8F}"/>
    <cellStyle name="Comma 3 8 3 3 2 2 7" xfId="14416" xr:uid="{350FED08-2955-4814-9678-28BE8E4BBE67}"/>
    <cellStyle name="Comma 3 8 3 3 2 3" xfId="2399" xr:uid="{0351672F-C224-437B-9607-575DEC67BFD5}"/>
    <cellStyle name="Comma 3 8 3 3 2 3 2" xfId="4119" xr:uid="{BDA2BDDE-4D01-4736-AACD-61223D75B741}"/>
    <cellStyle name="Comma 3 8 3 3 2 3 3" xfId="8045" xr:uid="{87AAE0F2-6E11-4103-8B7C-6FEDA9A9B492}"/>
    <cellStyle name="Comma 3 8 3 3 2 3 4" xfId="9563" xr:uid="{E3AA4B84-6DA1-4F88-8240-CBF99043F4D2}"/>
    <cellStyle name="Comma 3 8 3 3 2 3 5" xfId="13177" xr:uid="{017360B8-5C03-4106-BCCB-B5ECF20B8DF5}"/>
    <cellStyle name="Comma 3 8 3 3 2 3 6" xfId="14922" xr:uid="{6733A2DD-B47E-4722-9E4B-5D294F10743D}"/>
    <cellStyle name="Comma 3 8 3 3 2 4" xfId="5091" xr:uid="{3471A714-60DC-4437-BC16-279FAFE0E695}"/>
    <cellStyle name="Comma 3 8 3 3 2 4 2" xfId="10561" xr:uid="{D9083B67-88C3-4D68-93D4-7A6CB77F511C}"/>
    <cellStyle name="Comma 3 8 3 3 2 5" xfId="5589" xr:uid="{98D86036-7F0B-4952-A372-DC3E2C7699EB}"/>
    <cellStyle name="Comma 3 8 3 3 2 5 2" xfId="11063" xr:uid="{C950DB3E-34E1-4054-8254-28843D990990}"/>
    <cellStyle name="Comma 3 8 3 3 2 6" xfId="6091" xr:uid="{13F7E43F-D482-4FA4-9BD9-24CE43347B17}"/>
    <cellStyle name="Comma 3 8 3 3 2 6 2" xfId="11565" xr:uid="{983D81DA-8BDC-4A7A-8169-1329D19B90EB}"/>
    <cellStyle name="Comma 3 8 3 3 2 7" xfId="3109" xr:uid="{6F0961FE-1B47-4464-82A5-25EC4605FED1}"/>
    <cellStyle name="Comma 3 8 3 3 2 8" xfId="7031" xr:uid="{33A4C932-6B3A-4455-A69A-7A55BE511B10}"/>
    <cellStyle name="Comma 3 8 3 3 2 9" xfId="8555" xr:uid="{492F875E-ED42-49B7-8AE0-ADDC164E26C3}"/>
    <cellStyle name="Comma 3 8 3 3 3" xfId="1643" xr:uid="{A52102DC-E34E-4BC4-AB44-21D845D4DF12}"/>
    <cellStyle name="Comma 3 8 3 3 3 2" xfId="4365" xr:uid="{24126F54-553E-4820-BBB4-C92F005200F7}"/>
    <cellStyle name="Comma 3 8 3 3 3 2 2" xfId="9811" xr:uid="{B5C6A0F5-A591-498A-803E-23A79A833239}"/>
    <cellStyle name="Comma 3 8 3 3 3 3" xfId="3355" xr:uid="{D0D31524-A030-491F-BF0D-8631B5DF061C}"/>
    <cellStyle name="Comma 3 8 3 3 3 4" xfId="7289" xr:uid="{5B175046-5E6A-4E95-816B-15290ED32AA5}"/>
    <cellStyle name="Comma 3 8 3 3 3 5" xfId="8803" xr:uid="{5FF772FA-C41A-4D22-8CB2-291E7A784E5C}"/>
    <cellStyle name="Comma 3 8 3 3 3 6" xfId="12423" xr:uid="{171DB83D-4931-4584-9B0B-80323CBCB426}"/>
    <cellStyle name="Comma 3 8 3 3 3 7" xfId="14168" xr:uid="{5E471C68-F2B0-47A4-A7C8-8FC7C9109161}"/>
    <cellStyle name="Comma 3 8 3 3 4" xfId="2151" xr:uid="{E28DF62B-D90A-4E67-B20C-6CC03BC8BECC}"/>
    <cellStyle name="Comma 3 8 3 3 4 2" xfId="3871" xr:uid="{539C51B3-7A19-4F78-A1C4-63E603A84F7C}"/>
    <cellStyle name="Comma 3 8 3 3 4 3" xfId="7797" xr:uid="{7FC9DD14-8251-45FF-BB23-5336E91FF84C}"/>
    <cellStyle name="Comma 3 8 3 3 4 4" xfId="9315" xr:uid="{8A2CD442-44D0-40FD-891C-48E525B961F5}"/>
    <cellStyle name="Comma 3 8 3 3 4 5" xfId="12929" xr:uid="{6A857C0B-C4FA-43FF-82E7-6C7557666190}"/>
    <cellStyle name="Comma 3 8 3 3 4 6" xfId="14674" xr:uid="{13142CA7-E337-4F3B-BCB5-412D6BCE429F}"/>
    <cellStyle name="Comma 3 8 3 3 5" xfId="4853" xr:uid="{24D55EE5-AD51-46C0-BD62-311720FEE137}"/>
    <cellStyle name="Comma 3 8 3 3 5 2" xfId="10313" xr:uid="{95C870B6-E576-4B04-A6DD-E6B4496A7260}"/>
    <cellStyle name="Comma 3 8 3 3 6" xfId="5341" xr:uid="{7DC46718-2628-4DD3-9037-AA881BEDF07A}"/>
    <cellStyle name="Comma 3 8 3 3 6 2" xfId="10815" xr:uid="{75C9D6B7-52E0-497F-9640-E94EC84405C8}"/>
    <cellStyle name="Comma 3 8 3 3 7" xfId="5843" xr:uid="{C983B9F5-123A-4DFC-AE2B-77C9D3495BC0}"/>
    <cellStyle name="Comma 3 8 3 3 7 2" xfId="11317" xr:uid="{1E164742-B527-450D-9ECA-07045BE8B4F4}"/>
    <cellStyle name="Comma 3 8 3 3 8" xfId="2869" xr:uid="{60D8C923-D004-4878-952F-D6A8359169E4}"/>
    <cellStyle name="Comma 3 8 3 3 9" xfId="6783" xr:uid="{A48517C1-0660-49AF-8647-CAC56B701DC6}"/>
    <cellStyle name="Comma 3 8 3 4" xfId="1261" xr:uid="{B4B6F92D-8E63-459E-8D7B-302AD56D4DBD}"/>
    <cellStyle name="Comma 3 8 3 4 10" xfId="12041" xr:uid="{B3B89A10-C10B-4A30-937C-ED08CF058B92}"/>
    <cellStyle name="Comma 3 8 3 4 11" xfId="13786" xr:uid="{2DB76C3D-7E7C-4355-B5B7-4CA3422F35F4}"/>
    <cellStyle name="Comma 3 8 3 4 2" xfId="1767" xr:uid="{18087ACA-F108-4D69-B6C0-C47311B60E9C}"/>
    <cellStyle name="Comma 3 8 3 4 2 2" xfId="4489" xr:uid="{95B543E7-AFB9-4ED1-B61A-FB8AE68B6C80}"/>
    <cellStyle name="Comma 3 8 3 4 2 2 2" xfId="9935" xr:uid="{3C87390A-73FE-4CFC-A433-87DC956739A2}"/>
    <cellStyle name="Comma 3 8 3 4 2 3" xfId="3479" xr:uid="{FA1F9DFC-D3CC-4E52-A7ED-FC051C5B97C3}"/>
    <cellStyle name="Comma 3 8 3 4 2 4" xfId="7413" xr:uid="{3988485C-D66A-498B-9925-2491C862848D}"/>
    <cellStyle name="Comma 3 8 3 4 2 5" xfId="8927" xr:uid="{CC6C2EAC-7112-45B6-BEB3-82EB641781F2}"/>
    <cellStyle name="Comma 3 8 3 4 2 6" xfId="12547" xr:uid="{B46DE5A5-90D3-43EE-881B-4549DD97E5D8}"/>
    <cellStyle name="Comma 3 8 3 4 2 7" xfId="14292" xr:uid="{4C723F45-2E1B-4754-B919-D25F529A4155}"/>
    <cellStyle name="Comma 3 8 3 4 3" xfId="2275" xr:uid="{D2C7678C-AE4F-48B0-AF87-C512471E43C3}"/>
    <cellStyle name="Comma 3 8 3 4 3 2" xfId="3995" xr:uid="{21CA8275-2DF6-4FD0-8CF4-FEEEEF8799CB}"/>
    <cellStyle name="Comma 3 8 3 4 3 3" xfId="7921" xr:uid="{E35A2B9D-860F-4141-B6D4-CD6AB22991AF}"/>
    <cellStyle name="Comma 3 8 3 4 3 4" xfId="9439" xr:uid="{146F7DAE-F6D0-43F1-8203-840747AF3073}"/>
    <cellStyle name="Comma 3 8 3 4 3 5" xfId="13053" xr:uid="{6AEC48B9-0DDA-4A16-B57C-CD5C20B7C4B8}"/>
    <cellStyle name="Comma 3 8 3 4 3 6" xfId="14798" xr:uid="{343D015B-ADD3-4FF4-BC0B-FEE4643E205F}"/>
    <cellStyle name="Comma 3 8 3 4 4" xfId="4969" xr:uid="{71573D03-DAC5-4B4D-82A6-A70084212FA9}"/>
    <cellStyle name="Comma 3 8 3 4 4 2" xfId="10437" xr:uid="{98CA5E91-D30A-43AA-BF52-3B49D9472F2C}"/>
    <cellStyle name="Comma 3 8 3 4 5" xfId="5465" xr:uid="{167CD922-DA5D-45BB-9E04-6C9378D273CE}"/>
    <cellStyle name="Comma 3 8 3 4 5 2" xfId="10939" xr:uid="{5740DE2C-B2A5-475D-ADE7-B6BD86E5B4EC}"/>
    <cellStyle name="Comma 3 8 3 4 6" xfId="5967" xr:uid="{B6B84DE4-ADAE-4F99-9015-8993996FE3D6}"/>
    <cellStyle name="Comma 3 8 3 4 6 2" xfId="11441" xr:uid="{488E71EE-B87A-42CF-B027-AC140582D179}"/>
    <cellStyle name="Comma 3 8 3 4 7" xfId="2987" xr:uid="{2E113A08-A7D2-4C3F-9267-7DFD270E8A89}"/>
    <cellStyle name="Comma 3 8 3 4 8" xfId="6907" xr:uid="{3A50DE51-42BF-4C79-80F1-F9D7FE122C04}"/>
    <cellStyle name="Comma 3 8 3 4 9" xfId="8431" xr:uid="{49536467-48FE-4805-9328-0AB0E98E27E8}"/>
    <cellStyle name="Comma 3 8 3 5" xfId="1519" xr:uid="{B102F72C-7E0C-431F-B82A-F7CCAFC71E19}"/>
    <cellStyle name="Comma 3 8 3 5 2" xfId="4243" xr:uid="{41A1FB3E-4744-4213-BAF2-896B1A8CBFED}"/>
    <cellStyle name="Comma 3 8 3 5 2 2" xfId="9687" xr:uid="{E108D242-8596-4198-A41B-89C140BB7ABD}"/>
    <cellStyle name="Comma 3 8 3 5 3" xfId="3233" xr:uid="{2A8D28ED-A876-41F4-8992-440C631A8906}"/>
    <cellStyle name="Comma 3 8 3 5 4" xfId="7165" xr:uid="{E3AF0812-B8C7-45EC-A6CE-6E4792DC6078}"/>
    <cellStyle name="Comma 3 8 3 5 5" xfId="8679" xr:uid="{7D6626E3-5B05-498A-8D0B-6BFB72C2AFFB}"/>
    <cellStyle name="Comma 3 8 3 5 6" xfId="12299" xr:uid="{46B97A4A-017A-4D56-8900-7E8C7BE9E3B5}"/>
    <cellStyle name="Comma 3 8 3 5 7" xfId="14044" xr:uid="{1C31DA71-75C5-4C07-AA73-D909BF9977CE}"/>
    <cellStyle name="Comma 3 8 3 6" xfId="2027" xr:uid="{615A9C6F-B34F-4139-8284-F9FF7D4CB100}"/>
    <cellStyle name="Comma 3 8 3 6 2" xfId="3747" xr:uid="{6CB752F5-53FA-4030-BF70-220F30F9824E}"/>
    <cellStyle name="Comma 3 8 3 6 3" xfId="7673" xr:uid="{2587FD0E-E899-41FE-A4EF-BBAC737BECE1}"/>
    <cellStyle name="Comma 3 8 3 6 4" xfId="9191" xr:uid="{90072874-ACF5-4E84-95B2-C64778AFB7EC}"/>
    <cellStyle name="Comma 3 8 3 6 5" xfId="12805" xr:uid="{CC873957-4190-4567-AF94-19216EEC555F}"/>
    <cellStyle name="Comma 3 8 3 6 6" xfId="14550" xr:uid="{364BEF92-D6EF-4F74-89B7-3AD2F3A0767F}"/>
    <cellStyle name="Comma 3 8 3 7" xfId="4741" xr:uid="{38B24B00-4CB1-48CF-9E28-4D9D6BAE93AB}"/>
    <cellStyle name="Comma 3 8 3 7 2" xfId="10189" xr:uid="{85E28714-026F-4881-9608-1408C634A90E}"/>
    <cellStyle name="Comma 3 8 3 8" xfId="5217" xr:uid="{027A5C78-FDFF-49F9-BCB7-CEF461657209}"/>
    <cellStyle name="Comma 3 8 3 8 2" xfId="10691" xr:uid="{F0E08C66-494F-4F3B-A9B2-41A6FB2783E3}"/>
    <cellStyle name="Comma 3 8 3 9" xfId="5719" xr:uid="{1B678CB2-D55B-4F70-8A72-C4BB8FED9671}"/>
    <cellStyle name="Comma 3 8 3 9 2" xfId="11193" xr:uid="{E8CD3EF8-0EB9-4B3D-9188-824A252DC145}"/>
    <cellStyle name="Comma 3 8 4" xfId="1041" xr:uid="{518BAC06-01EA-4C57-89CF-0BF377664A26}"/>
    <cellStyle name="Comma 3 8 4 10" xfId="6687" xr:uid="{335E7F3A-F0A4-4283-A531-C7B9A548B405}"/>
    <cellStyle name="Comma 3 8 4 11" xfId="8211" xr:uid="{B16ABD47-0BFC-4C0C-B1B2-3483E2EF53F5}"/>
    <cellStyle name="Comma 3 8 4 12" xfId="11821" xr:uid="{74F8E63B-4007-4E45-87D8-52E37DD68A5E}"/>
    <cellStyle name="Comma 3 8 4 13" xfId="13566" xr:uid="{B8CDB634-D20D-430D-8781-B5A4A128CE41}"/>
    <cellStyle name="Comma 3 8 4 2" xfId="1165" xr:uid="{EFE480BF-6965-4F94-9E62-B7C0DAD72C7E}"/>
    <cellStyle name="Comma 3 8 4 2 10" xfId="8335" xr:uid="{52D5B58B-F068-43A9-AC9C-8937EFD60EAD}"/>
    <cellStyle name="Comma 3 8 4 2 11" xfId="11945" xr:uid="{D666075D-4FC1-449A-A701-960134C4CD33}"/>
    <cellStyle name="Comma 3 8 4 2 12" xfId="13690" xr:uid="{3CBF781B-853C-4A11-97C3-1D2B8DA1D080}"/>
    <cellStyle name="Comma 3 8 4 2 2" xfId="1413" xr:uid="{36CAA5A6-0563-4460-AE4A-B778BC854EAC}"/>
    <cellStyle name="Comma 3 8 4 2 2 10" xfId="12193" xr:uid="{C43F7EF1-2302-42FC-A0EE-75A7DCF6C75A}"/>
    <cellStyle name="Comma 3 8 4 2 2 11" xfId="13938" xr:uid="{0093A16E-270F-4AF7-8B1C-A80DF537B9FA}"/>
    <cellStyle name="Comma 3 8 4 2 2 2" xfId="1919" xr:uid="{D0DD47EC-5D09-4A47-A335-58BD07746E85}"/>
    <cellStyle name="Comma 3 8 4 2 2 2 2" xfId="4641" xr:uid="{592D5759-BA53-4919-B90A-FDDAE078B64E}"/>
    <cellStyle name="Comma 3 8 4 2 2 2 2 2" xfId="10087" xr:uid="{C65A65D2-017A-4E97-8C55-C0D9EC7DF92A}"/>
    <cellStyle name="Comma 3 8 4 2 2 2 3" xfId="3631" xr:uid="{D6F7F206-016A-4DA0-A8EC-6CB253C14BF5}"/>
    <cellStyle name="Comma 3 8 4 2 2 2 4" xfId="7565" xr:uid="{F3087824-20C1-4168-8B67-7D3B431BA954}"/>
    <cellStyle name="Comma 3 8 4 2 2 2 5" xfId="9079" xr:uid="{767BBBDB-C0E7-4DFD-BFF3-70A3BBF4ED3B}"/>
    <cellStyle name="Comma 3 8 4 2 2 2 6" xfId="12699" xr:uid="{02E8670B-1D58-4480-AA9A-7E1C14A13C67}"/>
    <cellStyle name="Comma 3 8 4 2 2 2 7" xfId="14444" xr:uid="{2EC754B1-D9AE-4D97-BE21-4528378379A7}"/>
    <cellStyle name="Comma 3 8 4 2 2 3" xfId="2427" xr:uid="{76339823-67D9-4D61-8AB9-E9C13EE36D8B}"/>
    <cellStyle name="Comma 3 8 4 2 2 3 2" xfId="4147" xr:uid="{EFD7D7C5-7E9D-4A8E-BEF3-844474F0C823}"/>
    <cellStyle name="Comma 3 8 4 2 2 3 3" xfId="8073" xr:uid="{33CA8802-D4DB-4E97-8F91-D84AAFE81CCB}"/>
    <cellStyle name="Comma 3 8 4 2 2 3 4" xfId="9591" xr:uid="{164F08E7-33F2-4AD3-8491-A87512C4409B}"/>
    <cellStyle name="Comma 3 8 4 2 2 3 5" xfId="13205" xr:uid="{F9DEAF8F-C6DE-40A0-9BBF-406631589EFE}"/>
    <cellStyle name="Comma 3 8 4 2 2 3 6" xfId="14950" xr:uid="{8A685847-725C-4F6A-86E0-62107A51D7C6}"/>
    <cellStyle name="Comma 3 8 4 2 2 4" xfId="5119" xr:uid="{80EB8540-008A-4AEF-888D-B611E23E2ED1}"/>
    <cellStyle name="Comma 3 8 4 2 2 4 2" xfId="10589" xr:uid="{DB5D7064-5066-463F-9766-B0AC4B896B7F}"/>
    <cellStyle name="Comma 3 8 4 2 2 5" xfId="5617" xr:uid="{4103AA25-5DED-4B2B-8F5C-394676BBB62B}"/>
    <cellStyle name="Comma 3 8 4 2 2 5 2" xfId="11091" xr:uid="{5C742CF7-DBC4-46AA-82FA-254C33520FFD}"/>
    <cellStyle name="Comma 3 8 4 2 2 6" xfId="6119" xr:uid="{C448A4A4-4ABB-4599-9E74-C3E417EF5BBB}"/>
    <cellStyle name="Comma 3 8 4 2 2 6 2" xfId="11593" xr:uid="{36785BAC-E91C-4E78-98DA-8EEF5ED9DB34}"/>
    <cellStyle name="Comma 3 8 4 2 2 7" xfId="3137" xr:uid="{F2FE5BDD-F769-42F6-89E3-23D90A89CE9F}"/>
    <cellStyle name="Comma 3 8 4 2 2 8" xfId="7059" xr:uid="{4F13FFEB-5EB2-4CE0-A80D-DC38A1991DB9}"/>
    <cellStyle name="Comma 3 8 4 2 2 9" xfId="8583" xr:uid="{E9E92AEE-A329-4F95-803F-E556D4B93F4D}"/>
    <cellStyle name="Comma 3 8 4 2 3" xfId="1671" xr:uid="{E1AAF2EB-0555-4A3B-8BAD-88520E4EC7E5}"/>
    <cellStyle name="Comma 3 8 4 2 3 2" xfId="4393" xr:uid="{53AB2A84-05DE-4718-9614-839730EAC54D}"/>
    <cellStyle name="Comma 3 8 4 2 3 2 2" xfId="9839" xr:uid="{13D1EA9F-C070-4F1A-8CE9-AB7C3F65E8DD}"/>
    <cellStyle name="Comma 3 8 4 2 3 3" xfId="3383" xr:uid="{88E043BB-8120-4AD3-8F93-5A2B5093BD7B}"/>
    <cellStyle name="Comma 3 8 4 2 3 4" xfId="7317" xr:uid="{3613C396-E593-4CD9-BFB2-E34B9C93BECC}"/>
    <cellStyle name="Comma 3 8 4 2 3 5" xfId="8831" xr:uid="{6BC17DEB-BE0A-43C3-97C6-12418E692439}"/>
    <cellStyle name="Comma 3 8 4 2 3 6" xfId="12451" xr:uid="{E0E5ACFE-70A1-4337-B884-42B38B106DFE}"/>
    <cellStyle name="Comma 3 8 4 2 3 7" xfId="14196" xr:uid="{16F15383-800F-4E66-AF3C-4C7156281569}"/>
    <cellStyle name="Comma 3 8 4 2 4" xfId="2179" xr:uid="{12C7F513-9E4F-4835-960C-123F0363B87D}"/>
    <cellStyle name="Comma 3 8 4 2 4 2" xfId="3899" xr:uid="{B66D2F1B-E2EF-40F1-AEB4-B63598561470}"/>
    <cellStyle name="Comma 3 8 4 2 4 3" xfId="7825" xr:uid="{2EB74CBB-8318-48E6-ADF8-3E1C80FEAACA}"/>
    <cellStyle name="Comma 3 8 4 2 4 4" xfId="9343" xr:uid="{678F0698-2A53-408A-85C4-BFF9F761D53E}"/>
    <cellStyle name="Comma 3 8 4 2 4 5" xfId="12957" xr:uid="{718E533B-4357-4D6D-9222-F820FA510C23}"/>
    <cellStyle name="Comma 3 8 4 2 4 6" xfId="14702" xr:uid="{FB34EAC8-5531-433A-AC26-6C2F662BCB47}"/>
    <cellStyle name="Comma 3 8 4 2 5" xfId="4880" xr:uid="{EBE2C03A-5433-405A-93B0-E2E3701FFEB8}"/>
    <cellStyle name="Comma 3 8 4 2 5 2" xfId="10341" xr:uid="{C3C6B88D-BF35-4EBF-B910-AA73F93F3D91}"/>
    <cellStyle name="Comma 3 8 4 2 6" xfId="5369" xr:uid="{7EFACFA0-B4D4-402B-AD25-B7790270110E}"/>
    <cellStyle name="Comma 3 8 4 2 6 2" xfId="10843" xr:uid="{3158894C-059C-41BC-8323-3F02A670FB45}"/>
    <cellStyle name="Comma 3 8 4 2 7" xfId="5871" xr:uid="{6BE2287D-6E9A-47E8-9F44-A102925418E4}"/>
    <cellStyle name="Comma 3 8 4 2 7 2" xfId="11345" xr:uid="{5F886AEB-ABB9-4DA9-B022-6C762B1DA8FA}"/>
    <cellStyle name="Comma 3 8 4 2 8" xfId="2896" xr:uid="{5BACFC22-ED09-4DC0-8EC6-39907C5786A2}"/>
    <cellStyle name="Comma 3 8 4 2 9" xfId="6811" xr:uid="{439D3FFF-F3B5-49BD-BC0E-406612A92B3A}"/>
    <cellStyle name="Comma 3 8 4 3" xfId="1289" xr:uid="{23B28D04-AD97-4483-BD72-A4539D981AE2}"/>
    <cellStyle name="Comma 3 8 4 3 10" xfId="12069" xr:uid="{0F8BB2C3-F5CA-422F-8065-E618CA94647F}"/>
    <cellStyle name="Comma 3 8 4 3 11" xfId="13814" xr:uid="{16728142-992A-4BA9-BC9C-BD0403B44153}"/>
    <cellStyle name="Comma 3 8 4 3 2" xfId="1795" xr:uid="{9310B655-DCF4-47B9-8171-3B4906E3C3AF}"/>
    <cellStyle name="Comma 3 8 4 3 2 2" xfId="4517" xr:uid="{8C73DCCF-4EC0-4A21-8094-130582D5B39D}"/>
    <cellStyle name="Comma 3 8 4 3 2 2 2" xfId="9963" xr:uid="{25E8D929-320A-4897-B4FD-6F6899C3E0BA}"/>
    <cellStyle name="Comma 3 8 4 3 2 3" xfId="3507" xr:uid="{A2A26219-8593-4696-A1A1-6CABC6E631BF}"/>
    <cellStyle name="Comma 3 8 4 3 2 4" xfId="7441" xr:uid="{B03EF52B-6DD3-4F63-9369-BA95C0A5F457}"/>
    <cellStyle name="Comma 3 8 4 3 2 5" xfId="8955" xr:uid="{8F79A78B-AD38-4F29-9B1D-3FFB83569095}"/>
    <cellStyle name="Comma 3 8 4 3 2 6" xfId="12575" xr:uid="{920610E8-ACBE-4AC2-B311-460B646EA831}"/>
    <cellStyle name="Comma 3 8 4 3 2 7" xfId="14320" xr:uid="{B44CCF7C-89E0-40BD-905F-480797C9E31A}"/>
    <cellStyle name="Comma 3 8 4 3 3" xfId="2303" xr:uid="{086C0271-1035-4CEF-89AA-79A799BBCB8D}"/>
    <cellStyle name="Comma 3 8 4 3 3 2" xfId="4023" xr:uid="{805B43DF-D962-4FB5-8F9B-B78716C1FEE0}"/>
    <cellStyle name="Comma 3 8 4 3 3 3" xfId="7949" xr:uid="{DAFED503-586D-4F97-AAF2-BC464FF677D7}"/>
    <cellStyle name="Comma 3 8 4 3 3 4" xfId="9467" xr:uid="{FB78E84E-241D-4FE1-8FA9-FFB958CBB0B0}"/>
    <cellStyle name="Comma 3 8 4 3 3 5" xfId="13081" xr:uid="{E1ACCD45-A04E-4270-A893-51937FDBCCB5}"/>
    <cellStyle name="Comma 3 8 4 3 3 6" xfId="14826" xr:uid="{535D24D7-CFBB-4B1E-86B9-3FCEE53E9A1B}"/>
    <cellStyle name="Comma 3 8 4 3 4" xfId="4996" xr:uid="{661D2ECC-DC1D-48A1-8934-52CA1928CAC4}"/>
    <cellStyle name="Comma 3 8 4 3 4 2" xfId="10465" xr:uid="{2F22FA89-43C0-4988-9621-68FD5AFE2A83}"/>
    <cellStyle name="Comma 3 8 4 3 5" xfId="5493" xr:uid="{D527A6B5-9306-4885-8A98-8EBC43C344ED}"/>
    <cellStyle name="Comma 3 8 4 3 5 2" xfId="10967" xr:uid="{4AEF2B3A-0711-42A8-8B38-65B7F684FA60}"/>
    <cellStyle name="Comma 3 8 4 3 6" xfId="5995" xr:uid="{540A00A4-384F-4395-909B-2A235707978B}"/>
    <cellStyle name="Comma 3 8 4 3 6 2" xfId="11469" xr:uid="{77C149E0-64CA-4100-9CE2-FB56250C2A88}"/>
    <cellStyle name="Comma 3 8 4 3 7" xfId="3014" xr:uid="{58A4FBF2-2C69-4C54-AD62-FD52FF132EC0}"/>
    <cellStyle name="Comma 3 8 4 3 8" xfId="6935" xr:uid="{519717F7-1CC4-4C05-AAE5-775F9F0E72A8}"/>
    <cellStyle name="Comma 3 8 4 3 9" xfId="8459" xr:uid="{7A375F37-A21F-4F8A-ABAD-C3D426A618F1}"/>
    <cellStyle name="Comma 3 8 4 4" xfId="1547" xr:uid="{846E5F37-E627-437F-8813-2B0860C0826E}"/>
    <cellStyle name="Comma 3 8 4 4 2" xfId="4270" xr:uid="{0C57390B-953E-4B3E-9123-F9215BEA08D8}"/>
    <cellStyle name="Comma 3 8 4 4 2 2" xfId="9715" xr:uid="{5AD9FCCF-A181-4A3A-B907-9C182D881FD0}"/>
    <cellStyle name="Comma 3 8 4 4 3" xfId="3260" xr:uid="{0E530A3F-501A-4E8D-9CE1-BBE1247CE362}"/>
    <cellStyle name="Comma 3 8 4 4 4" xfId="7193" xr:uid="{80B10125-26A1-4BCD-8F91-BEA492DFE3D1}"/>
    <cellStyle name="Comma 3 8 4 4 5" xfId="8707" xr:uid="{FFA8A4D6-F868-47BF-8343-6E91A17FFC19}"/>
    <cellStyle name="Comma 3 8 4 4 6" xfId="12327" xr:uid="{1470497A-A674-402A-B140-4528EE535620}"/>
    <cellStyle name="Comma 3 8 4 4 7" xfId="14072" xr:uid="{A89FDFFD-D965-4A0D-807C-C61B9ADE8C4D}"/>
    <cellStyle name="Comma 3 8 4 5" xfId="2055" xr:uid="{816F74F2-6A3D-40DB-BDB9-96CEFFA99EC9}"/>
    <cellStyle name="Comma 3 8 4 5 2" xfId="3775" xr:uid="{B508E26E-C208-4E5E-A7FF-16B0B431D8EE}"/>
    <cellStyle name="Comma 3 8 4 5 3" xfId="7701" xr:uid="{38AC5136-ADBA-4EBD-B020-C1039A26CD2B}"/>
    <cellStyle name="Comma 3 8 4 5 4" xfId="9219" xr:uid="{BA6EA340-8868-41BC-863F-9A62B8B73015}"/>
    <cellStyle name="Comma 3 8 4 5 5" xfId="12833" xr:uid="{B3333D0A-AC55-4CF2-BB6C-5B3F934BB4C6}"/>
    <cellStyle name="Comma 3 8 4 5 6" xfId="14578" xr:uid="{862F7C6D-EE35-4161-B505-9810F8F9A712}"/>
    <cellStyle name="Comma 3 8 4 6" xfId="4766" xr:uid="{C902E7FD-7D08-469B-9A7C-0B4E9EC015EE}"/>
    <cellStyle name="Comma 3 8 4 6 2" xfId="10217" xr:uid="{2BB36D75-94CA-4F2D-B276-3E66F7636AC3}"/>
    <cellStyle name="Comma 3 8 4 7" xfId="5245" xr:uid="{B86FF4E1-5D91-48E4-9639-9BDEF809A73C}"/>
    <cellStyle name="Comma 3 8 4 7 2" xfId="10719" xr:uid="{CF6FE135-A05D-4366-A017-34791F4DF059}"/>
    <cellStyle name="Comma 3 8 4 8" xfId="5747" xr:uid="{0D41684E-AF50-4A88-9A3C-BF0A6445F2FB}"/>
    <cellStyle name="Comma 3 8 4 8 2" xfId="11221" xr:uid="{79D088FC-B82D-4797-A4E2-3FE53005AB66}"/>
    <cellStyle name="Comma 3 8 4 9" xfId="2782" xr:uid="{8A144A85-D95E-48A6-B3C7-2F0E27D031BE}"/>
    <cellStyle name="Comma 3 8 5" xfId="1095" xr:uid="{C1DF99F2-8E46-4558-9D07-2E8711ADDA59}"/>
    <cellStyle name="Comma 3 8 5 10" xfId="8265" xr:uid="{4CA94AE8-1719-404C-A377-5E906F28D087}"/>
    <cellStyle name="Comma 3 8 5 11" xfId="11875" xr:uid="{BAD7E66D-1324-4D54-B884-E9FD7C93CD5A}"/>
    <cellStyle name="Comma 3 8 5 12" xfId="13620" xr:uid="{21A0BEEB-0451-47B1-9B29-CA66AB096C45}"/>
    <cellStyle name="Comma 3 8 5 2" xfId="1343" xr:uid="{EF863618-4C33-487D-BCE7-647E7721E7CB}"/>
    <cellStyle name="Comma 3 8 5 2 10" xfId="12123" xr:uid="{886DA5AD-C03D-47E9-ACA2-1EC87C8182C5}"/>
    <cellStyle name="Comma 3 8 5 2 11" xfId="13868" xr:uid="{C2A00E51-E4FC-4B30-BDD0-718EFC12525E}"/>
    <cellStyle name="Comma 3 8 5 2 2" xfId="1849" xr:uid="{E6FD267E-50C0-42EC-9214-AA1B64DD1090}"/>
    <cellStyle name="Comma 3 8 5 2 2 2" xfId="4571" xr:uid="{503FB259-E39F-4BD9-89EE-BC5C87507A94}"/>
    <cellStyle name="Comma 3 8 5 2 2 2 2" xfId="10017" xr:uid="{6565A86C-FAA0-4143-862B-86605C41E770}"/>
    <cellStyle name="Comma 3 8 5 2 2 3" xfId="3561" xr:uid="{60024413-08BC-48A3-B605-EBCA5AB5A7BA}"/>
    <cellStyle name="Comma 3 8 5 2 2 4" xfId="7495" xr:uid="{6FEC5580-A099-4955-9153-8D71AB940310}"/>
    <cellStyle name="Comma 3 8 5 2 2 5" xfId="9009" xr:uid="{1C0557BE-9673-4935-BCA5-466CC44D8F53}"/>
    <cellStyle name="Comma 3 8 5 2 2 6" xfId="12629" xr:uid="{C1488146-786F-4132-8E33-18F01D73B977}"/>
    <cellStyle name="Comma 3 8 5 2 2 7" xfId="14374" xr:uid="{6D8D3146-8F4E-46C3-9E69-A07B662F3F70}"/>
    <cellStyle name="Comma 3 8 5 2 3" xfId="2357" xr:uid="{5360119C-5293-41E8-8983-0C91CD03153A}"/>
    <cellStyle name="Comma 3 8 5 2 3 2" xfId="4077" xr:uid="{7CA96567-7E8A-45FE-BC64-6E9A6CC9F5D0}"/>
    <cellStyle name="Comma 3 8 5 2 3 3" xfId="8003" xr:uid="{A6A26ABD-1843-4D48-AC55-7DDDCC8F0FE4}"/>
    <cellStyle name="Comma 3 8 5 2 3 4" xfId="9521" xr:uid="{C348BC0F-3D5D-40AE-B609-B7117BCDE933}"/>
    <cellStyle name="Comma 3 8 5 2 3 5" xfId="13135" xr:uid="{B50BD5B4-7141-4584-B06C-F15292A6C805}"/>
    <cellStyle name="Comma 3 8 5 2 3 6" xfId="14880" xr:uid="{7E24EE39-E5AF-43E9-BA21-0574AF7FBFD0}"/>
    <cellStyle name="Comma 3 8 5 2 4" xfId="5049" xr:uid="{B9154572-C865-4731-ADF6-A8B6F68900A6}"/>
    <cellStyle name="Comma 3 8 5 2 4 2" xfId="10519" xr:uid="{3DB72519-7895-4D05-B47D-958EE0A32A39}"/>
    <cellStyle name="Comma 3 8 5 2 5" xfId="5547" xr:uid="{F3E23410-6611-445C-8F0F-CA38563AD584}"/>
    <cellStyle name="Comma 3 8 5 2 5 2" xfId="11021" xr:uid="{27F326A0-2FDA-4BB6-A1E4-4677A1619B41}"/>
    <cellStyle name="Comma 3 8 5 2 6" xfId="6049" xr:uid="{290ECE64-9197-494E-9399-E1F97A4D7754}"/>
    <cellStyle name="Comma 3 8 5 2 6 2" xfId="11523" xr:uid="{F23CE3E6-639C-442F-B1A7-249B2E5AC894}"/>
    <cellStyle name="Comma 3 8 5 2 7" xfId="3067" xr:uid="{7AAEE718-827B-4A0C-A36A-13ED3540A53C}"/>
    <cellStyle name="Comma 3 8 5 2 8" xfId="6989" xr:uid="{51011757-64F0-4DF5-A05B-01C2E9A92889}"/>
    <cellStyle name="Comma 3 8 5 2 9" xfId="8513" xr:uid="{71D3C3E7-4BC5-41B7-AD15-70E3D7F1361E}"/>
    <cellStyle name="Comma 3 8 5 3" xfId="1601" xr:uid="{0F5539F1-F966-497C-8D86-40FC180D6559}"/>
    <cellStyle name="Comma 3 8 5 3 2" xfId="4323" xr:uid="{AEC72FA2-2EF2-409C-8067-9704AAE661CE}"/>
    <cellStyle name="Comma 3 8 5 3 2 2" xfId="9769" xr:uid="{15F0C832-9708-4E07-8D5B-36D73C1D424C}"/>
    <cellStyle name="Comma 3 8 5 3 3" xfId="3313" xr:uid="{94AF1AD2-B0F6-4CA5-AE94-82BCB09F521F}"/>
    <cellStyle name="Comma 3 8 5 3 4" xfId="7247" xr:uid="{1E3B5FDF-20A2-451E-8F35-F4F49BCD7CD1}"/>
    <cellStyle name="Comma 3 8 5 3 5" xfId="8761" xr:uid="{2E6D7215-CD48-4485-994B-D2A21F972A88}"/>
    <cellStyle name="Comma 3 8 5 3 6" xfId="12381" xr:uid="{9BB080E3-D1A3-4E0F-A5E9-ADD7AF64D055}"/>
    <cellStyle name="Comma 3 8 5 3 7" xfId="14126" xr:uid="{CA594BF8-51C0-4F4A-AC43-02F647685E1C}"/>
    <cellStyle name="Comma 3 8 5 4" xfId="2109" xr:uid="{FB5A6022-0C62-495F-886A-C73D876E872B}"/>
    <cellStyle name="Comma 3 8 5 4 2" xfId="3829" xr:uid="{4E98DC44-6E35-4A36-98E0-BA83CA5372FA}"/>
    <cellStyle name="Comma 3 8 5 4 3" xfId="7755" xr:uid="{D8A877D8-E739-424D-884E-69A3F064D575}"/>
    <cellStyle name="Comma 3 8 5 4 4" xfId="9273" xr:uid="{54EC0625-E224-4D91-9798-EC9E3D14A8D4}"/>
    <cellStyle name="Comma 3 8 5 4 5" xfId="12887" xr:uid="{D184230A-5B54-496F-9C40-C61D4151F072}"/>
    <cellStyle name="Comma 3 8 5 4 6" xfId="14632" xr:uid="{D4845D90-584D-4986-8FB6-679038D5E429}"/>
    <cellStyle name="Comma 3 8 5 5" xfId="4815" xr:uid="{A7857E98-C5D3-4F9D-9F31-9CC7649B2D58}"/>
    <cellStyle name="Comma 3 8 5 5 2" xfId="10271" xr:uid="{59C3A495-AE6F-4C36-8DB1-39BF5B61FBE7}"/>
    <cellStyle name="Comma 3 8 5 6" xfId="5299" xr:uid="{59428821-751D-42C8-8B9C-09675982D647}"/>
    <cellStyle name="Comma 3 8 5 6 2" xfId="10773" xr:uid="{A97A92E1-72DA-4A64-9CCB-0ED8F9B8909A}"/>
    <cellStyle name="Comma 3 8 5 7" xfId="5801" xr:uid="{67CE2E38-E018-4BE4-99BE-E7328FA3728F}"/>
    <cellStyle name="Comma 3 8 5 7 2" xfId="11275" xr:uid="{8BB0B15B-D700-4863-A7AD-40168E76084D}"/>
    <cellStyle name="Comma 3 8 5 8" xfId="2831" xr:uid="{8071AECD-85CE-4F9D-95AA-28D518B05A0F}"/>
    <cellStyle name="Comma 3 8 5 9" xfId="6741" xr:uid="{EFC384CB-2E1C-4A7D-A1F8-7EF6C103B445}"/>
    <cellStyle name="Comma 3 8 6" xfId="1219" xr:uid="{09218F08-DC08-4ABD-B2EA-201693AB4EC6}"/>
    <cellStyle name="Comma 3 8 6 10" xfId="11999" xr:uid="{CBF1AEAB-ED6A-41C9-BC77-1997A079519D}"/>
    <cellStyle name="Comma 3 8 6 11" xfId="13744" xr:uid="{AEA7FCC3-C746-4E1C-AEC4-B968C171FB82}"/>
    <cellStyle name="Comma 3 8 6 2" xfId="1725" xr:uid="{EF970B56-638A-449C-8F64-679D3FEBCD66}"/>
    <cellStyle name="Comma 3 8 6 2 2" xfId="4447" xr:uid="{77F95197-B03B-437E-8D11-5F6ABE3D3729}"/>
    <cellStyle name="Comma 3 8 6 2 2 2" xfId="9893" xr:uid="{E17C5CC7-FB0A-4464-9D06-5D8EA3DA059B}"/>
    <cellStyle name="Comma 3 8 6 2 3" xfId="3437" xr:uid="{6DC8DA96-16EB-433E-854C-CDF947409864}"/>
    <cellStyle name="Comma 3 8 6 2 4" xfId="7371" xr:uid="{EA7AFE67-A635-495C-8C40-6ECE2C690CF9}"/>
    <cellStyle name="Comma 3 8 6 2 5" xfId="8885" xr:uid="{99B1F2DC-FE07-40EA-9047-5ACBC8CDD751}"/>
    <cellStyle name="Comma 3 8 6 2 6" xfId="12505" xr:uid="{F52970D2-BD51-4033-9AC4-3836BF9AFF05}"/>
    <cellStyle name="Comma 3 8 6 2 7" xfId="14250" xr:uid="{33257391-38B3-49B5-8698-F89F43E6C3BE}"/>
    <cellStyle name="Comma 3 8 6 3" xfId="2233" xr:uid="{C55F5B85-AF8C-4375-A724-50E237E35F90}"/>
    <cellStyle name="Comma 3 8 6 3 2" xfId="3953" xr:uid="{0B0C5C03-B8AB-4BFF-AE06-EE91DC067829}"/>
    <cellStyle name="Comma 3 8 6 3 3" xfId="7879" xr:uid="{FA979844-BC80-4CA5-A918-998A73F47BF7}"/>
    <cellStyle name="Comma 3 8 6 3 4" xfId="9397" xr:uid="{7EA2BF61-B1AB-455C-A274-2F16840DEE44}"/>
    <cellStyle name="Comma 3 8 6 3 5" xfId="13011" xr:uid="{E04627C3-9B09-42D0-8C65-7B22D0D1B2A6}"/>
    <cellStyle name="Comma 3 8 6 3 6" xfId="14756" xr:uid="{5521AC51-5E4D-4164-9CC0-CE0A746F288D}"/>
    <cellStyle name="Comma 3 8 6 4" xfId="4931" xr:uid="{8D1DF601-AC85-479B-807A-90AB4290A827}"/>
    <cellStyle name="Comma 3 8 6 4 2" xfId="10395" xr:uid="{8844506C-EDCE-40AA-9811-F24F8E87BF14}"/>
    <cellStyle name="Comma 3 8 6 5" xfId="5423" xr:uid="{6ED1E022-8761-4EA9-A3E1-51449D6D638C}"/>
    <cellStyle name="Comma 3 8 6 5 2" xfId="10897" xr:uid="{6BACB675-56DB-41A3-8E15-EE648EB6D9CE}"/>
    <cellStyle name="Comma 3 8 6 6" xfId="5925" xr:uid="{1568A99A-907A-4633-9183-F185705F8527}"/>
    <cellStyle name="Comma 3 8 6 6 2" xfId="11399" xr:uid="{59B71CDB-C859-47C1-B315-BC85772E4E02}"/>
    <cellStyle name="Comma 3 8 6 7" xfId="2949" xr:uid="{46193708-185F-4178-B3D8-7BDCCA2222CB}"/>
    <cellStyle name="Comma 3 8 6 8" xfId="6865" xr:uid="{1378A3F2-18B7-47A6-AD58-4CBE90877340}"/>
    <cellStyle name="Comma 3 8 6 9" xfId="8389" xr:uid="{33F8E2F9-1752-4155-A119-B56DB4A20457}"/>
    <cellStyle name="Comma 3 8 7" xfId="1477" xr:uid="{898694EA-E626-4EF6-A1F3-63759A13B724}"/>
    <cellStyle name="Comma 3 8 7 2" xfId="4201" xr:uid="{9A2247BE-C2DF-4AF1-8807-6C3B569B3895}"/>
    <cellStyle name="Comma 3 8 7 2 2" xfId="9645" xr:uid="{BB296659-CFD4-4E26-8BBB-EF2D93D452D9}"/>
    <cellStyle name="Comma 3 8 7 3" xfId="3191" xr:uid="{BEC94613-6FE2-4DE2-BBA8-F6CB4B611759}"/>
    <cellStyle name="Comma 3 8 7 4" xfId="7123" xr:uid="{70BC2D5D-5F19-4DAF-A5F3-A1ACA3C5EE90}"/>
    <cellStyle name="Comma 3 8 7 5" xfId="8637" xr:uid="{7D9BD3AB-E615-4E44-8C0F-23AD1D1EEA64}"/>
    <cellStyle name="Comma 3 8 7 6" xfId="12257" xr:uid="{6F446B60-34BE-4884-A7FF-402140DB6210}"/>
    <cellStyle name="Comma 3 8 7 7" xfId="14002" xr:uid="{D0BF42A5-C973-4BCC-B65E-277708844B87}"/>
    <cellStyle name="Comma 3 8 8" xfId="1985" xr:uid="{1A684EF9-8F47-46B8-97B6-261E63A71FE0}"/>
    <cellStyle name="Comma 3 8 8 2" xfId="3705" xr:uid="{4D7A3CD6-C7BC-46B9-A25E-46167FC4C97B}"/>
    <cellStyle name="Comma 3 8 8 3" xfId="7631" xr:uid="{CC59734E-7048-483C-8A9F-82DB1592CE4B}"/>
    <cellStyle name="Comma 3 8 8 4" xfId="9149" xr:uid="{05F62BDC-19A7-40FC-BD7E-876260FE21BC}"/>
    <cellStyle name="Comma 3 8 8 5" xfId="12763" xr:uid="{4E0008D4-3F52-4E56-9776-D746C0F16919}"/>
    <cellStyle name="Comma 3 8 8 6" xfId="14508" xr:uid="{9D5FF45C-06F0-40F4-8111-6C0F6EF81361}"/>
    <cellStyle name="Comma 3 8 9" xfId="4701" xr:uid="{FFBF682D-499C-4443-9EAA-9D0EACFD62C3}"/>
    <cellStyle name="Comma 3 8 9 2" xfId="10147" xr:uid="{0322E350-D9DA-4C80-BE7D-42EB6C93748E}"/>
    <cellStyle name="Comma 3 9" xfId="965" xr:uid="{88047C70-2B60-4BC8-A48E-85DE34459EF6}"/>
    <cellStyle name="Comma 3 9 10" xfId="5179" xr:uid="{A412D0ED-484D-4C2B-94E6-C91655662A85}"/>
    <cellStyle name="Comma 3 9 10 2" xfId="10651" xr:uid="{DB24FB68-D3A6-416B-8F39-5860855D1AB3}"/>
    <cellStyle name="Comma 3 9 11" xfId="5679" xr:uid="{EA215EB3-3949-45DD-8079-51FAABA1FD57}"/>
    <cellStyle name="Comma 3 9 11 2" xfId="11153" xr:uid="{E75A92E1-616B-49A6-91F2-C86318F10CAC}"/>
    <cellStyle name="Comma 3 9 12" xfId="2721" xr:uid="{8BF55B4D-44B9-424D-BACA-88A5CD99A38E}"/>
    <cellStyle name="Comma 3 9 13" xfId="6616" xr:uid="{4684C068-89E1-4E00-97C7-8486A5536464}"/>
    <cellStyle name="Comma 3 9 14" xfId="8143" xr:uid="{3358CF6E-635D-44C1-A078-14966A179555}"/>
    <cellStyle name="Comma 3 9 15" xfId="11753" xr:uid="{5B791AAB-8C7F-414A-BA54-35D649909ABE}"/>
    <cellStyle name="Comma 3 9 16" xfId="13498" xr:uid="{98F9803B-D902-4274-92A4-B09AD0B5928B}"/>
    <cellStyle name="Comma 3 9 2" xfId="995" xr:uid="{5EC76B69-7DFC-49E4-AEEB-052743CF279E}"/>
    <cellStyle name="Comma 3 9 2 10" xfId="2741" xr:uid="{C7C7EAB0-C2CC-46F8-BA88-50309CDA89F2}"/>
    <cellStyle name="Comma 3 9 2 11" xfId="6641" xr:uid="{9532BB72-4588-4007-91E1-37A451B2FCDF}"/>
    <cellStyle name="Comma 3 9 2 12" xfId="8165" xr:uid="{B58AFEE7-BCFE-40D5-8AED-39E0CD9AD9B2}"/>
    <cellStyle name="Comma 3 9 2 13" xfId="11775" xr:uid="{23FDBE54-1357-4FCC-8A3B-24873D967E43}"/>
    <cellStyle name="Comma 3 9 2 14" xfId="13520" xr:uid="{36E5ED8E-BE7C-4FE0-B879-53ADF2C2BE53}"/>
    <cellStyle name="Comma 3 9 2 2" xfId="1045" xr:uid="{35476306-2BB9-410E-9BA9-CD5A3651EF62}"/>
    <cellStyle name="Comma 3 9 2 2 10" xfId="6691" xr:uid="{B36791F7-946E-4BCB-8F4B-2047757A3126}"/>
    <cellStyle name="Comma 3 9 2 2 11" xfId="8215" xr:uid="{761A5F85-7178-4786-9334-3C15DC567A06}"/>
    <cellStyle name="Comma 3 9 2 2 12" xfId="11825" xr:uid="{EDD847AF-E438-4083-B35B-415E7C2E6FBD}"/>
    <cellStyle name="Comma 3 9 2 2 13" xfId="13570" xr:uid="{21EE644F-D7CD-40BC-9B54-61012CB088CB}"/>
    <cellStyle name="Comma 3 9 2 2 2" xfId="1169" xr:uid="{2DDFAA97-BB18-4186-A5F5-234DD9DFB24C}"/>
    <cellStyle name="Comma 3 9 2 2 2 10" xfId="8339" xr:uid="{F558AEFA-4552-4311-A213-E4FE21D11DBB}"/>
    <cellStyle name="Comma 3 9 2 2 2 11" xfId="11949" xr:uid="{B66254B0-667F-4B87-8CBB-E1D1F94657EB}"/>
    <cellStyle name="Comma 3 9 2 2 2 12" xfId="13694" xr:uid="{E9902C32-63A4-4152-96FF-517770FDBF57}"/>
    <cellStyle name="Comma 3 9 2 2 2 2" xfId="1417" xr:uid="{2D219C47-34F3-4073-8094-6D78C6713568}"/>
    <cellStyle name="Comma 3 9 2 2 2 2 10" xfId="12197" xr:uid="{59C7075F-5EC8-4B6E-B38F-44E61B75A50C}"/>
    <cellStyle name="Comma 3 9 2 2 2 2 11" xfId="13942" xr:uid="{03FF0F21-D38C-44C7-B013-B828DBE29653}"/>
    <cellStyle name="Comma 3 9 2 2 2 2 2" xfId="1923" xr:uid="{12DD0D93-E5ED-48A9-9182-F632F0935FBE}"/>
    <cellStyle name="Comma 3 9 2 2 2 2 2 2" xfId="4645" xr:uid="{69631485-3B38-4BDA-B424-D0E078444F54}"/>
    <cellStyle name="Comma 3 9 2 2 2 2 2 2 2" xfId="10091" xr:uid="{6CAF8900-D1A1-44C8-A072-535E4E8CC252}"/>
    <cellStyle name="Comma 3 9 2 2 2 2 2 3" xfId="3635" xr:uid="{B4F3A4A5-52AF-419F-857D-298FEE125CDB}"/>
    <cellStyle name="Comma 3 9 2 2 2 2 2 4" xfId="7569" xr:uid="{ADBE620D-94CD-4A11-BCD8-63E97F2908AB}"/>
    <cellStyle name="Comma 3 9 2 2 2 2 2 5" xfId="9083" xr:uid="{5B3B6D89-5D25-40E4-BA54-712E4F0ED2BA}"/>
    <cellStyle name="Comma 3 9 2 2 2 2 2 6" xfId="12703" xr:uid="{6995CA11-B75B-478C-A5A2-8B4AA0C52B8D}"/>
    <cellStyle name="Comma 3 9 2 2 2 2 2 7" xfId="14448" xr:uid="{9D97835C-CA60-4FE1-9BFA-239326A47C99}"/>
    <cellStyle name="Comma 3 9 2 2 2 2 3" xfId="2431" xr:uid="{17A81C59-F386-418C-A844-CBAF2A9DDAFC}"/>
    <cellStyle name="Comma 3 9 2 2 2 2 3 2" xfId="4151" xr:uid="{24BB5272-D192-4BE4-A1E4-904429DAD317}"/>
    <cellStyle name="Comma 3 9 2 2 2 2 3 3" xfId="8077" xr:uid="{7586D02D-EB59-494A-A19D-C3C2164AE63F}"/>
    <cellStyle name="Comma 3 9 2 2 2 2 3 4" xfId="9595" xr:uid="{EB4D229B-0AF3-417F-8909-36A1237847E8}"/>
    <cellStyle name="Comma 3 9 2 2 2 2 3 5" xfId="13209" xr:uid="{DED38332-04A1-48E0-BE28-A8CADBEDF988}"/>
    <cellStyle name="Comma 3 9 2 2 2 2 3 6" xfId="14954" xr:uid="{1402F40E-5309-410A-9EEE-EA43B23A20D1}"/>
    <cellStyle name="Comma 3 9 2 2 2 2 4" xfId="5123" xr:uid="{D9007E23-FC3F-4796-ADEC-54C611907F63}"/>
    <cellStyle name="Comma 3 9 2 2 2 2 4 2" xfId="10593" xr:uid="{794E5312-61B8-4DC1-8611-D7C2E5C98176}"/>
    <cellStyle name="Comma 3 9 2 2 2 2 5" xfId="5621" xr:uid="{FDEA3045-E062-4049-8F0C-F383E745E2F9}"/>
    <cellStyle name="Comma 3 9 2 2 2 2 5 2" xfId="11095" xr:uid="{BA5D48EC-579C-475C-AD21-10358D7D3567}"/>
    <cellStyle name="Comma 3 9 2 2 2 2 6" xfId="6123" xr:uid="{33E717A8-3D41-4841-AA87-325BF7929C15}"/>
    <cellStyle name="Comma 3 9 2 2 2 2 6 2" xfId="11597" xr:uid="{B02B51E0-0960-4C50-8587-A5402040ED5F}"/>
    <cellStyle name="Comma 3 9 2 2 2 2 7" xfId="3141" xr:uid="{478FBA3F-7AA6-4530-B8D4-EAE97C064B56}"/>
    <cellStyle name="Comma 3 9 2 2 2 2 8" xfId="7063" xr:uid="{896CD74C-51F4-4917-A957-49A405F78A68}"/>
    <cellStyle name="Comma 3 9 2 2 2 2 9" xfId="8587" xr:uid="{46937392-6725-4388-9BD2-6B81A66226F0}"/>
    <cellStyle name="Comma 3 9 2 2 2 3" xfId="1675" xr:uid="{2D55571A-4013-463B-A6B7-B3F7AA57B596}"/>
    <cellStyle name="Comma 3 9 2 2 2 3 2" xfId="4397" xr:uid="{5023E071-3379-4FA2-9AB0-96A9CA874C38}"/>
    <cellStyle name="Comma 3 9 2 2 2 3 2 2" xfId="9843" xr:uid="{6CF34673-77BD-43C2-8430-C9F2A27F6BFA}"/>
    <cellStyle name="Comma 3 9 2 2 2 3 3" xfId="3387" xr:uid="{87288D7F-0463-4DB6-B435-B46E6F2A9457}"/>
    <cellStyle name="Comma 3 9 2 2 2 3 4" xfId="7321" xr:uid="{FAD93AA8-EC6E-45A4-ADFA-5992DC4FFD73}"/>
    <cellStyle name="Comma 3 9 2 2 2 3 5" xfId="8835" xr:uid="{01781DCB-59B8-4DF6-805E-7BA8DD0D89EB}"/>
    <cellStyle name="Comma 3 9 2 2 2 3 6" xfId="12455" xr:uid="{0CFF7E5E-A9A5-4DAF-AC68-A3692D3043FF}"/>
    <cellStyle name="Comma 3 9 2 2 2 3 7" xfId="14200" xr:uid="{FB0855E0-82D0-4F18-941A-3D7BE6928D15}"/>
    <cellStyle name="Comma 3 9 2 2 2 4" xfId="2183" xr:uid="{7DF2E159-029C-4ED4-B37F-7FE11A282AE5}"/>
    <cellStyle name="Comma 3 9 2 2 2 4 2" xfId="3903" xr:uid="{E34ECF86-90AB-448C-B852-E33E29449E57}"/>
    <cellStyle name="Comma 3 9 2 2 2 4 3" xfId="7829" xr:uid="{3F210359-73D0-41AE-B5BA-0319B619CBA0}"/>
    <cellStyle name="Comma 3 9 2 2 2 4 4" xfId="9347" xr:uid="{C03F34B8-A82C-4F37-9FA9-11C970670F58}"/>
    <cellStyle name="Comma 3 9 2 2 2 4 5" xfId="12961" xr:uid="{606C812D-26C3-4319-884E-5FFB9F289AF3}"/>
    <cellStyle name="Comma 3 9 2 2 2 4 6" xfId="14706" xr:uid="{FD9E38FA-EA9C-4193-B8AE-B477FF61C9DD}"/>
    <cellStyle name="Comma 3 9 2 2 2 5" xfId="4884" xr:uid="{70A3537C-21C0-4317-8339-9315AE2034BB}"/>
    <cellStyle name="Comma 3 9 2 2 2 5 2" xfId="10345" xr:uid="{A2770DEC-0205-424F-BEE3-04B8628E400F}"/>
    <cellStyle name="Comma 3 9 2 2 2 6" xfId="5373" xr:uid="{48A6D378-8CD5-4A27-92E2-335FC2A847C9}"/>
    <cellStyle name="Comma 3 9 2 2 2 6 2" xfId="10847" xr:uid="{530D8087-2E3E-40C6-9784-AF5D54F7C786}"/>
    <cellStyle name="Comma 3 9 2 2 2 7" xfId="5875" xr:uid="{33080AC5-8FF0-43D3-A101-030A6ACA7016}"/>
    <cellStyle name="Comma 3 9 2 2 2 7 2" xfId="11349" xr:uid="{FF67FB76-A451-4809-BB74-426B5A51DACB}"/>
    <cellStyle name="Comma 3 9 2 2 2 8" xfId="2900" xr:uid="{4D01D7F5-94D0-4556-939D-8A629A190112}"/>
    <cellStyle name="Comma 3 9 2 2 2 9" xfId="6815" xr:uid="{5A9A951E-2D75-44AB-983B-AD3CA6404014}"/>
    <cellStyle name="Comma 3 9 2 2 3" xfId="1293" xr:uid="{A87CC160-E902-4211-A495-F7E1983CB289}"/>
    <cellStyle name="Comma 3 9 2 2 3 10" xfId="12073" xr:uid="{33118359-4787-4553-BB56-F897EE7E9A3C}"/>
    <cellStyle name="Comma 3 9 2 2 3 11" xfId="13818" xr:uid="{A58E7099-2F64-4366-AD03-F395695E9370}"/>
    <cellStyle name="Comma 3 9 2 2 3 2" xfId="1799" xr:uid="{FECB1A9F-DFAB-4BA4-A7F3-1E4D36E9B2E8}"/>
    <cellStyle name="Comma 3 9 2 2 3 2 2" xfId="4521" xr:uid="{1C7A1297-2757-40A7-AEED-8B2C2D287240}"/>
    <cellStyle name="Comma 3 9 2 2 3 2 2 2" xfId="9967" xr:uid="{00D8E3D1-4AE0-4BCC-A6CC-E20BD9D4EE5B}"/>
    <cellStyle name="Comma 3 9 2 2 3 2 3" xfId="3511" xr:uid="{53D97C68-7580-41AF-BD1B-95639F271CA9}"/>
    <cellStyle name="Comma 3 9 2 2 3 2 4" xfId="7445" xr:uid="{8F0BF090-2DCF-4056-A7F1-2C48A1B2B421}"/>
    <cellStyle name="Comma 3 9 2 2 3 2 5" xfId="8959" xr:uid="{482ACA6B-517D-46DF-8B4F-A46211604D76}"/>
    <cellStyle name="Comma 3 9 2 2 3 2 6" xfId="12579" xr:uid="{D8360F66-ADFF-4A9F-9FCF-2CE8CB0CF544}"/>
    <cellStyle name="Comma 3 9 2 2 3 2 7" xfId="14324" xr:uid="{6F120C5A-967A-4318-805B-1B5CF672C145}"/>
    <cellStyle name="Comma 3 9 2 2 3 3" xfId="2307" xr:uid="{DB50C824-DE07-4F1E-862C-D0C67FA5E37E}"/>
    <cellStyle name="Comma 3 9 2 2 3 3 2" xfId="4027" xr:uid="{B1676086-43ED-48A2-A467-743E6ACB5F46}"/>
    <cellStyle name="Comma 3 9 2 2 3 3 3" xfId="7953" xr:uid="{76B88F93-706B-4831-882B-F8884E70A846}"/>
    <cellStyle name="Comma 3 9 2 2 3 3 4" xfId="9471" xr:uid="{407F97A3-DF5F-4002-B974-CD626E79786E}"/>
    <cellStyle name="Comma 3 9 2 2 3 3 5" xfId="13085" xr:uid="{8BC04082-1900-4D89-BA02-6EAB2D985FEB}"/>
    <cellStyle name="Comma 3 9 2 2 3 3 6" xfId="14830" xr:uid="{03588C3A-18D0-4191-B23C-33ADC8E74AFC}"/>
    <cellStyle name="Comma 3 9 2 2 3 4" xfId="5000" xr:uid="{518377AA-27ED-4052-8281-1D8F29C4E537}"/>
    <cellStyle name="Comma 3 9 2 2 3 4 2" xfId="10469" xr:uid="{2FA66EA7-048E-4545-85FC-6B5BE1453F3D}"/>
    <cellStyle name="Comma 3 9 2 2 3 5" xfId="5497" xr:uid="{C4C86A6D-9655-43A4-BE5A-DB662E392B31}"/>
    <cellStyle name="Comma 3 9 2 2 3 5 2" xfId="10971" xr:uid="{408B1B32-5579-440E-9035-28DEFC8C6DE7}"/>
    <cellStyle name="Comma 3 9 2 2 3 6" xfId="5999" xr:uid="{A5059AFD-E26B-435B-9342-8A1C06167D31}"/>
    <cellStyle name="Comma 3 9 2 2 3 6 2" xfId="11473" xr:uid="{7C8B8AB3-8F3C-45C4-BC71-5605C9ED9ABA}"/>
    <cellStyle name="Comma 3 9 2 2 3 7" xfId="3018" xr:uid="{D94170F7-0230-40FB-9C43-3FC7F5B57028}"/>
    <cellStyle name="Comma 3 9 2 2 3 8" xfId="6939" xr:uid="{D533EF5C-41AA-4C8A-9330-07B9092F3D04}"/>
    <cellStyle name="Comma 3 9 2 2 3 9" xfId="8463" xr:uid="{416ADDDA-C38A-4C3F-B452-73290654211B}"/>
    <cellStyle name="Comma 3 9 2 2 4" xfId="1551" xr:uid="{21DF42ED-AD9C-4958-9432-8C5C05B5C430}"/>
    <cellStyle name="Comma 3 9 2 2 4 2" xfId="4274" xr:uid="{A8BF3453-9C99-4ADB-A718-CE50E019F341}"/>
    <cellStyle name="Comma 3 9 2 2 4 2 2" xfId="9719" xr:uid="{0963BC05-B8F3-43EF-BA1A-F8AE5CEC32CD}"/>
    <cellStyle name="Comma 3 9 2 2 4 3" xfId="3264" xr:uid="{62FF8E51-4A3D-41D7-A386-119F1DFB19BD}"/>
    <cellStyle name="Comma 3 9 2 2 4 4" xfId="7197" xr:uid="{74F910AB-A910-4318-A4B1-8041DFCC449D}"/>
    <cellStyle name="Comma 3 9 2 2 4 5" xfId="8711" xr:uid="{830AF701-8DD0-44A4-861C-7F24A3B43608}"/>
    <cellStyle name="Comma 3 9 2 2 4 6" xfId="12331" xr:uid="{489165A0-C8C7-48FD-844E-D92752398CA0}"/>
    <cellStyle name="Comma 3 9 2 2 4 7" xfId="14076" xr:uid="{71A39357-FBD3-484E-9ECA-11693F2BDE4B}"/>
    <cellStyle name="Comma 3 9 2 2 5" xfId="2059" xr:uid="{95300CFE-19F6-47F7-BE3F-DD2510616016}"/>
    <cellStyle name="Comma 3 9 2 2 5 2" xfId="3779" xr:uid="{E0B0A55D-41C3-4286-A879-6210F3355C7C}"/>
    <cellStyle name="Comma 3 9 2 2 5 3" xfId="7705" xr:uid="{778FE333-C5AC-4969-B706-B957FC5C21C1}"/>
    <cellStyle name="Comma 3 9 2 2 5 4" xfId="9223" xr:uid="{8363D5CF-D8DE-45F2-933C-0FF7B2817F89}"/>
    <cellStyle name="Comma 3 9 2 2 5 5" xfId="12837" xr:uid="{98880BB1-AC42-4B89-A73C-E090A57EA396}"/>
    <cellStyle name="Comma 3 9 2 2 5 6" xfId="14582" xr:uid="{D76C5B0A-A98B-49F6-9E0C-A19C82EFC605}"/>
    <cellStyle name="Comma 3 9 2 2 6" xfId="4770" xr:uid="{29F7AE1F-5F77-424C-B5C4-8704F9E24EDE}"/>
    <cellStyle name="Comma 3 9 2 2 6 2" xfId="10221" xr:uid="{E8ADADB1-7BC1-48B6-AC3C-9ECF545406DD}"/>
    <cellStyle name="Comma 3 9 2 2 7" xfId="5249" xr:uid="{24FD5583-6D47-454A-9466-7AD6C5434F05}"/>
    <cellStyle name="Comma 3 9 2 2 7 2" xfId="10723" xr:uid="{8E337577-53E3-4106-AA08-0F59E74626B6}"/>
    <cellStyle name="Comma 3 9 2 2 8" xfId="5751" xr:uid="{51DEB3E4-8A33-424B-9E9D-3097C092E014}"/>
    <cellStyle name="Comma 3 9 2 2 8 2" xfId="11225" xr:uid="{9DA92293-08A1-44D7-8D6F-3DDDE6F8AFB1}"/>
    <cellStyle name="Comma 3 9 2 2 9" xfId="2786" xr:uid="{A4E848EC-8605-4956-9D85-B67BBAF32BA3}"/>
    <cellStyle name="Comma 3 9 2 3" xfId="1119" xr:uid="{EB71B8B6-16CF-4726-8062-ECDBBEB0A67E}"/>
    <cellStyle name="Comma 3 9 2 3 10" xfId="8289" xr:uid="{B9B9C3EA-D30A-4B1A-9596-D7848C770130}"/>
    <cellStyle name="Comma 3 9 2 3 11" xfId="11899" xr:uid="{1F6761A5-3611-4C1E-B2EE-07F0C822FDC4}"/>
    <cellStyle name="Comma 3 9 2 3 12" xfId="13644" xr:uid="{6F23692A-EA37-44AE-87D2-2D3CBC56BE2F}"/>
    <cellStyle name="Comma 3 9 2 3 2" xfId="1367" xr:uid="{8DF9415F-4545-4F28-9D84-8AF14514582F}"/>
    <cellStyle name="Comma 3 9 2 3 2 10" xfId="12147" xr:uid="{F6414D8D-8472-425F-B3D4-8AD0A3F34881}"/>
    <cellStyle name="Comma 3 9 2 3 2 11" xfId="13892" xr:uid="{E37AAA89-288D-4CBC-90CF-0CA45E49FAED}"/>
    <cellStyle name="Comma 3 9 2 3 2 2" xfId="1873" xr:uid="{59B6ED99-F759-4807-B933-8C438668B09A}"/>
    <cellStyle name="Comma 3 9 2 3 2 2 2" xfId="4595" xr:uid="{3DDD5513-BB39-4066-A71E-12120A1B085B}"/>
    <cellStyle name="Comma 3 9 2 3 2 2 2 2" xfId="10041" xr:uid="{DA99CB8D-CFE5-4C40-8ABF-48E98D5B5EC0}"/>
    <cellStyle name="Comma 3 9 2 3 2 2 3" xfId="3585" xr:uid="{559E08C2-5508-4085-9634-85777F06091A}"/>
    <cellStyle name="Comma 3 9 2 3 2 2 4" xfId="7519" xr:uid="{780409F3-3FE6-4D93-97CC-A67F77E0A428}"/>
    <cellStyle name="Comma 3 9 2 3 2 2 5" xfId="9033" xr:uid="{36D7CC52-F7D9-4B04-B6A9-60BAA6076C9F}"/>
    <cellStyle name="Comma 3 9 2 3 2 2 6" xfId="12653" xr:uid="{6B0E8121-F0C0-4A01-8731-C2BC7EFD16AB}"/>
    <cellStyle name="Comma 3 9 2 3 2 2 7" xfId="14398" xr:uid="{2D1D2C1B-8080-4032-B334-22BD90D59A45}"/>
    <cellStyle name="Comma 3 9 2 3 2 3" xfId="2381" xr:uid="{1AFA3102-4ACE-4A36-B0EA-CB98F1F87B53}"/>
    <cellStyle name="Comma 3 9 2 3 2 3 2" xfId="4101" xr:uid="{0E835F0C-5DEF-4D7C-9870-E510AAD2F42C}"/>
    <cellStyle name="Comma 3 9 2 3 2 3 3" xfId="8027" xr:uid="{3374A0BA-E18C-4C71-83D7-0E86C7C8D57D}"/>
    <cellStyle name="Comma 3 9 2 3 2 3 4" xfId="9545" xr:uid="{71B5499C-94B9-4F79-9662-399BFB2FE319}"/>
    <cellStyle name="Comma 3 9 2 3 2 3 5" xfId="13159" xr:uid="{781DC50A-3B3A-4CC0-8CAF-73E6D828A8BE}"/>
    <cellStyle name="Comma 3 9 2 3 2 3 6" xfId="14904" xr:uid="{03AEEED7-A75F-48E1-9986-050550318ECD}"/>
    <cellStyle name="Comma 3 9 2 3 2 4" xfId="5073" xr:uid="{EB245F9B-6FB5-4172-8DBE-85A4A16BBF7D}"/>
    <cellStyle name="Comma 3 9 2 3 2 4 2" xfId="10543" xr:uid="{5BFD0FA7-DDB0-4CB1-9458-F8AC20FCE4D6}"/>
    <cellStyle name="Comma 3 9 2 3 2 5" xfId="5571" xr:uid="{77C9C81B-4600-4BD9-A1FD-16B1E684C0DA}"/>
    <cellStyle name="Comma 3 9 2 3 2 5 2" xfId="11045" xr:uid="{C6327499-F1FF-4657-A57D-1847512B714C}"/>
    <cellStyle name="Comma 3 9 2 3 2 6" xfId="6073" xr:uid="{F88EECCD-1A30-4E99-8FCB-52930389A309}"/>
    <cellStyle name="Comma 3 9 2 3 2 6 2" xfId="11547" xr:uid="{23E3C422-7446-4822-8C15-0A478DF7BDB4}"/>
    <cellStyle name="Comma 3 9 2 3 2 7" xfId="3091" xr:uid="{1B473C0D-4CD3-43CE-BFFB-545389513BA8}"/>
    <cellStyle name="Comma 3 9 2 3 2 8" xfId="7013" xr:uid="{8200224C-61F1-4655-8C1D-24E06BB8DB14}"/>
    <cellStyle name="Comma 3 9 2 3 2 9" xfId="8537" xr:uid="{6D033FBA-51B1-4002-87F8-FD40E784D12B}"/>
    <cellStyle name="Comma 3 9 2 3 3" xfId="1625" xr:uid="{79DC5BC4-036C-4F7D-9256-C0C717C8597F}"/>
    <cellStyle name="Comma 3 9 2 3 3 2" xfId="4347" xr:uid="{A6C369AE-4521-47C5-AAC2-DB4E04F0BE5A}"/>
    <cellStyle name="Comma 3 9 2 3 3 2 2" xfId="9793" xr:uid="{F91EE0DF-BAA7-42B5-9973-65C479385F1D}"/>
    <cellStyle name="Comma 3 9 2 3 3 3" xfId="3337" xr:uid="{AF614679-E42E-4A85-B9E6-2BAD47621236}"/>
    <cellStyle name="Comma 3 9 2 3 3 4" xfId="7271" xr:uid="{8DDACFAF-F0A5-418D-9E50-33DFEB2CDAFF}"/>
    <cellStyle name="Comma 3 9 2 3 3 5" xfId="8785" xr:uid="{4BD652FC-DFA8-4F9B-ABD1-35C09B74D3E1}"/>
    <cellStyle name="Comma 3 9 2 3 3 6" xfId="12405" xr:uid="{C775152F-7CD0-442F-93C5-1AB3D3664586}"/>
    <cellStyle name="Comma 3 9 2 3 3 7" xfId="14150" xr:uid="{3CC34F8F-DD53-49DB-B1D1-EAF8EFD3C24E}"/>
    <cellStyle name="Comma 3 9 2 3 4" xfId="2133" xr:uid="{64EADEE6-535D-40C5-B77B-8D80CA1B7F00}"/>
    <cellStyle name="Comma 3 9 2 3 4 2" xfId="3853" xr:uid="{6F39B553-6943-4233-BE1F-2E74B9391F59}"/>
    <cellStyle name="Comma 3 9 2 3 4 3" xfId="7779" xr:uid="{354B6C3F-76EA-4985-A8B8-4CC0B9C35554}"/>
    <cellStyle name="Comma 3 9 2 3 4 4" xfId="9297" xr:uid="{0ABF4081-C848-42C1-BC66-F4EC1DC58E52}"/>
    <cellStyle name="Comma 3 9 2 3 4 5" xfId="12911" xr:uid="{67A6CA24-CC8E-4819-8246-A68DF3F3DECA}"/>
    <cellStyle name="Comma 3 9 2 3 4 6" xfId="14656" xr:uid="{E846AEA6-965D-4C48-8840-482078C36478}"/>
    <cellStyle name="Comma 3 9 2 3 5" xfId="4837" xr:uid="{EA0C5243-E7D0-4518-8641-07422E353453}"/>
    <cellStyle name="Comma 3 9 2 3 5 2" xfId="10295" xr:uid="{2799127E-8C45-4647-A58E-1FDC47193385}"/>
    <cellStyle name="Comma 3 9 2 3 6" xfId="5323" xr:uid="{EF3BC6B1-AFAE-467D-B09A-C7F8BE000C88}"/>
    <cellStyle name="Comma 3 9 2 3 6 2" xfId="10797" xr:uid="{C1A563B5-EC59-4687-9F2E-E1429B92624B}"/>
    <cellStyle name="Comma 3 9 2 3 7" xfId="5825" xr:uid="{D90F8206-826D-4AE2-8C77-744CF170977B}"/>
    <cellStyle name="Comma 3 9 2 3 7 2" xfId="11299" xr:uid="{6AEB331A-F9CD-4616-A50F-EFFE33C88D44}"/>
    <cellStyle name="Comma 3 9 2 3 8" xfId="2853" xr:uid="{D60AEDE4-381C-4467-977F-94B9DA0D6014}"/>
    <cellStyle name="Comma 3 9 2 3 9" xfId="6765" xr:uid="{0665CDD6-4F57-44ED-86E4-CE64D495F623}"/>
    <cellStyle name="Comma 3 9 2 4" xfId="1243" xr:uid="{133A715A-3427-49BB-A059-A80516CC6826}"/>
    <cellStyle name="Comma 3 9 2 4 10" xfId="12023" xr:uid="{696ADE2B-E1F5-4D57-B86B-4B5BB656D32E}"/>
    <cellStyle name="Comma 3 9 2 4 11" xfId="13768" xr:uid="{7E95E717-D6B4-4E78-AB89-B82683A17061}"/>
    <cellStyle name="Comma 3 9 2 4 2" xfId="1749" xr:uid="{C3233311-022F-4CE0-89B8-F4151A1CF165}"/>
    <cellStyle name="Comma 3 9 2 4 2 2" xfId="4471" xr:uid="{655DD378-C588-4630-BD0E-A678B03EF12D}"/>
    <cellStyle name="Comma 3 9 2 4 2 2 2" xfId="9917" xr:uid="{12BE26AD-CF0C-43E9-857A-E586E1B568C8}"/>
    <cellStyle name="Comma 3 9 2 4 2 3" xfId="3461" xr:uid="{505BD737-53E3-447A-BB40-999D89A719C5}"/>
    <cellStyle name="Comma 3 9 2 4 2 4" xfId="7395" xr:uid="{4DE5C77C-338A-44F9-926F-09B2DE613F3C}"/>
    <cellStyle name="Comma 3 9 2 4 2 5" xfId="8909" xr:uid="{9337C567-40F9-4EC6-B15E-9C9686D0D622}"/>
    <cellStyle name="Comma 3 9 2 4 2 6" xfId="12529" xr:uid="{E69F9197-4866-4F35-B8F0-0F7FE8411646}"/>
    <cellStyle name="Comma 3 9 2 4 2 7" xfId="14274" xr:uid="{39A19345-27A3-4B75-896A-ABF9DFA13CF0}"/>
    <cellStyle name="Comma 3 9 2 4 3" xfId="2257" xr:uid="{85B56027-EAEC-4BBF-B168-FFAFFB94DDBB}"/>
    <cellStyle name="Comma 3 9 2 4 3 2" xfId="3977" xr:uid="{36684A7F-ECA6-480D-B8D8-76F1D25E107C}"/>
    <cellStyle name="Comma 3 9 2 4 3 3" xfId="7903" xr:uid="{371A23AD-00DA-4A63-8069-90E9C9DBD5D6}"/>
    <cellStyle name="Comma 3 9 2 4 3 4" xfId="9421" xr:uid="{6D52E75D-57D8-4223-A16D-1B5890A783E5}"/>
    <cellStyle name="Comma 3 9 2 4 3 5" xfId="13035" xr:uid="{84627C19-6D7D-40E7-A463-C054ECCE3A21}"/>
    <cellStyle name="Comma 3 9 2 4 3 6" xfId="14780" xr:uid="{FBB4BDB2-1EC5-434A-8267-C4209F9F1F4A}"/>
    <cellStyle name="Comma 3 9 2 4 4" xfId="4953" xr:uid="{9FBC899A-C54E-4A46-A60C-0C96EF6EFA81}"/>
    <cellStyle name="Comma 3 9 2 4 4 2" xfId="10419" xr:uid="{4AF44CF1-366E-4496-A2FF-D94420D42774}"/>
    <cellStyle name="Comma 3 9 2 4 5" xfId="5447" xr:uid="{B3AEEDD3-7060-44FA-8BDC-23AF007550AA}"/>
    <cellStyle name="Comma 3 9 2 4 5 2" xfId="10921" xr:uid="{A1DED164-57CB-4CB4-BF8A-6EACF12D98D8}"/>
    <cellStyle name="Comma 3 9 2 4 6" xfId="5949" xr:uid="{84BC3EDC-E4C5-46ED-BD08-1A17E5588ACC}"/>
    <cellStyle name="Comma 3 9 2 4 6 2" xfId="11423" xr:uid="{8AFD00A2-833E-4FE2-995B-969775DF808C}"/>
    <cellStyle name="Comma 3 9 2 4 7" xfId="2971" xr:uid="{F745DF23-9791-4D30-824E-1E13E31FDFD8}"/>
    <cellStyle name="Comma 3 9 2 4 8" xfId="6889" xr:uid="{74369397-CCE4-4976-ABAF-30A5EB1EA962}"/>
    <cellStyle name="Comma 3 9 2 4 9" xfId="8413" xr:uid="{565CA9CE-818E-468A-B461-C5141ABC4134}"/>
    <cellStyle name="Comma 3 9 2 5" xfId="1501" xr:uid="{DF6D5864-3671-4841-869B-860E7382960C}"/>
    <cellStyle name="Comma 3 9 2 5 2" xfId="4225" xr:uid="{66623201-5FA0-4470-B0D8-8B14F281B387}"/>
    <cellStyle name="Comma 3 9 2 5 2 2" xfId="9669" xr:uid="{0BBE5366-8C80-4B11-9700-B28437E56CAB}"/>
    <cellStyle name="Comma 3 9 2 5 3" xfId="3215" xr:uid="{3D822114-2F46-4AB6-81FB-A7ACA7EE80F7}"/>
    <cellStyle name="Comma 3 9 2 5 4" xfId="7147" xr:uid="{6A04D671-1B24-4FDE-A7F6-B23D79446CFC}"/>
    <cellStyle name="Comma 3 9 2 5 5" xfId="8661" xr:uid="{529AF3FF-3D32-4958-B6DD-DE62695A8CC9}"/>
    <cellStyle name="Comma 3 9 2 5 6" xfId="12281" xr:uid="{AF9678EB-F105-4626-BD54-E7FD2514D68F}"/>
    <cellStyle name="Comma 3 9 2 5 7" xfId="14026" xr:uid="{6EDC005C-003E-4D11-B6BA-4A69C0A24BEA}"/>
    <cellStyle name="Comma 3 9 2 6" xfId="2009" xr:uid="{1F46B3A4-63F8-41D7-AA36-9AF3EFF87A9B}"/>
    <cellStyle name="Comma 3 9 2 6 2" xfId="3729" xr:uid="{57D6E409-BD55-4722-B7E0-AD6FC7AEAE27}"/>
    <cellStyle name="Comma 3 9 2 6 3" xfId="7655" xr:uid="{52E2EF84-A27F-4ED1-A37D-3ED1B88A166F}"/>
    <cellStyle name="Comma 3 9 2 6 4" xfId="9173" xr:uid="{88DBE0ED-D4F1-4B32-BE7D-412B94BFC8A8}"/>
    <cellStyle name="Comma 3 9 2 6 5" xfId="12787" xr:uid="{8BFAC030-A188-4317-BF8B-C104DD988F75}"/>
    <cellStyle name="Comma 3 9 2 6 6" xfId="14532" xr:uid="{2575EF2B-BE02-4887-AE4A-99579271B26B}"/>
    <cellStyle name="Comma 3 9 2 7" xfId="4725" xr:uid="{89969222-2553-49BC-9C0E-5CF06282944A}"/>
    <cellStyle name="Comma 3 9 2 7 2" xfId="10171" xr:uid="{721EC603-2589-4802-B25B-71026EA4023F}"/>
    <cellStyle name="Comma 3 9 2 8" xfId="5199" xr:uid="{81686AC3-718A-4AFF-B706-B939D24F9A98}"/>
    <cellStyle name="Comma 3 9 2 8 2" xfId="10673" xr:uid="{6D67002E-3082-4DD6-B535-88B8D98BDC8B}"/>
    <cellStyle name="Comma 3 9 2 9" xfId="5701" xr:uid="{A1CEE2DB-B969-4C90-BFDF-C9B8F6684EA5}"/>
    <cellStyle name="Comma 3 9 2 9 2" xfId="11175" xr:uid="{2DA44CCD-55A1-4D09-A4FD-B428367DCACC}"/>
    <cellStyle name="Comma 3 9 3" xfId="1015" xr:uid="{8655EB25-6DF2-443A-9BA4-92F1D3406926}"/>
    <cellStyle name="Comma 3 9 3 10" xfId="2759" xr:uid="{00C25288-6DE5-49FF-9454-AF9D810FBD1A}"/>
    <cellStyle name="Comma 3 9 3 11" xfId="6661" xr:uid="{4438ABAA-A32E-41D9-9A9E-E87F7EA3ED77}"/>
    <cellStyle name="Comma 3 9 3 12" xfId="8185" xr:uid="{EC649608-8580-4111-BA3B-52AD66C8FD26}"/>
    <cellStyle name="Comma 3 9 3 13" xfId="11795" xr:uid="{A9C94137-E903-48FB-AE65-27CEE774E11D}"/>
    <cellStyle name="Comma 3 9 3 14" xfId="13540" xr:uid="{A974CBD8-43C9-4D49-9464-AEC644C68435}"/>
    <cellStyle name="Comma 3 9 3 2" xfId="1046" xr:uid="{0ADCE04B-5470-4316-B438-BD4C176019E8}"/>
    <cellStyle name="Comma 3 9 3 2 10" xfId="6692" xr:uid="{8EE16629-08A2-4682-AA16-34B2B22A9C87}"/>
    <cellStyle name="Comma 3 9 3 2 11" xfId="8216" xr:uid="{060AD74C-FA07-4EA2-9659-5D7AD0795BB6}"/>
    <cellStyle name="Comma 3 9 3 2 12" xfId="11826" xr:uid="{3F2D3EBA-A4B7-4535-98E6-628BAA7F57B2}"/>
    <cellStyle name="Comma 3 9 3 2 13" xfId="13571" xr:uid="{FC2F3AD4-B929-469D-80C1-354C7B16A823}"/>
    <cellStyle name="Comma 3 9 3 2 2" xfId="1170" xr:uid="{6DFFE0EE-4567-4CAA-83AE-CED06E78F3DF}"/>
    <cellStyle name="Comma 3 9 3 2 2 10" xfId="8340" xr:uid="{E21F7F26-D24F-4E26-AD3F-7E56F0EF4ED0}"/>
    <cellStyle name="Comma 3 9 3 2 2 11" xfId="11950" xr:uid="{A7B72F0D-044D-45D4-B154-CF20A3F6A26E}"/>
    <cellStyle name="Comma 3 9 3 2 2 12" xfId="13695" xr:uid="{D4754FF1-74C1-470F-BA0A-47FADC5B3725}"/>
    <cellStyle name="Comma 3 9 3 2 2 2" xfId="1418" xr:uid="{844511ED-D91C-4130-BB4B-999A2141F8BF}"/>
    <cellStyle name="Comma 3 9 3 2 2 2 10" xfId="12198" xr:uid="{C41217AB-E60A-4914-9FEA-1F7C16268D98}"/>
    <cellStyle name="Comma 3 9 3 2 2 2 11" xfId="13943" xr:uid="{5B1A6E23-ABE4-4927-8BF6-1EA8BF574B57}"/>
    <cellStyle name="Comma 3 9 3 2 2 2 2" xfId="1924" xr:uid="{98122959-D569-477E-8E26-F89AE0EAF902}"/>
    <cellStyle name="Comma 3 9 3 2 2 2 2 2" xfId="4646" xr:uid="{EA35A9B2-7154-4B41-BEF3-54BA52CBA50E}"/>
    <cellStyle name="Comma 3 9 3 2 2 2 2 2 2" xfId="10092" xr:uid="{C6A34093-27A2-4C7C-BAA2-32750007A185}"/>
    <cellStyle name="Comma 3 9 3 2 2 2 2 3" xfId="3636" xr:uid="{56F8B14F-E1FC-4A21-B385-808899BC893B}"/>
    <cellStyle name="Comma 3 9 3 2 2 2 2 4" xfId="7570" xr:uid="{493D9D6C-7082-430E-97DB-E818812C0679}"/>
    <cellStyle name="Comma 3 9 3 2 2 2 2 5" xfId="9084" xr:uid="{F21CC4A3-3AF5-4955-AE91-1E1A874A8942}"/>
    <cellStyle name="Comma 3 9 3 2 2 2 2 6" xfId="12704" xr:uid="{76B57394-47A0-4167-B376-602230857BAB}"/>
    <cellStyle name="Comma 3 9 3 2 2 2 2 7" xfId="14449" xr:uid="{127A684C-405B-40FA-B62E-9172A5408DEB}"/>
    <cellStyle name="Comma 3 9 3 2 2 2 3" xfId="2432" xr:uid="{5D0E03E6-8356-4D7D-AC55-21A55F5C35A4}"/>
    <cellStyle name="Comma 3 9 3 2 2 2 3 2" xfId="4152" xr:uid="{37999111-F1D8-448F-914B-02A0F717D9AE}"/>
    <cellStyle name="Comma 3 9 3 2 2 2 3 3" xfId="8078" xr:uid="{6B643B8B-4512-4954-B59F-B6568138B3BF}"/>
    <cellStyle name="Comma 3 9 3 2 2 2 3 4" xfId="9596" xr:uid="{A0598E7E-B505-4DAE-AA2A-9F383D69FFEB}"/>
    <cellStyle name="Comma 3 9 3 2 2 2 3 5" xfId="13210" xr:uid="{DDA2BF18-3674-4209-BD70-D3E09C4D4443}"/>
    <cellStyle name="Comma 3 9 3 2 2 2 3 6" xfId="14955" xr:uid="{B6EA776F-75AA-4718-A9A0-E631F838841A}"/>
    <cellStyle name="Comma 3 9 3 2 2 2 4" xfId="5124" xr:uid="{7105F8BD-1B80-41CA-9074-F2ABB53C739D}"/>
    <cellStyle name="Comma 3 9 3 2 2 2 4 2" xfId="10594" xr:uid="{232D8D15-EA84-4EA2-9F2B-B87BD524BED6}"/>
    <cellStyle name="Comma 3 9 3 2 2 2 5" xfId="5622" xr:uid="{708BE4C6-1DAE-4A00-8A17-B9410E89D1D1}"/>
    <cellStyle name="Comma 3 9 3 2 2 2 5 2" xfId="11096" xr:uid="{7B32BB9A-7D69-4A24-AA2E-404D971771DB}"/>
    <cellStyle name="Comma 3 9 3 2 2 2 6" xfId="6124" xr:uid="{4E3F30DE-CDAB-44B5-A104-8B8C116BD766}"/>
    <cellStyle name="Comma 3 9 3 2 2 2 6 2" xfId="11598" xr:uid="{4E8E5154-9172-4709-982E-D1D313DEF5F8}"/>
    <cellStyle name="Comma 3 9 3 2 2 2 7" xfId="3142" xr:uid="{9BAD31D8-01A5-409D-B02A-FF9480E61D9F}"/>
    <cellStyle name="Comma 3 9 3 2 2 2 8" xfId="7064" xr:uid="{3300AFCF-54E6-4CA6-8B9F-FA0A5A5C868C}"/>
    <cellStyle name="Comma 3 9 3 2 2 2 9" xfId="8588" xr:uid="{EC033C61-8C35-470A-98F9-9808D8964A38}"/>
    <cellStyle name="Comma 3 9 3 2 2 3" xfId="1676" xr:uid="{5539CD24-065A-4B98-8318-C283BCE0ED8F}"/>
    <cellStyle name="Comma 3 9 3 2 2 3 2" xfId="4398" xr:uid="{AD8D7DA3-2F5A-4B3E-9EB9-D22B77CEF03E}"/>
    <cellStyle name="Comma 3 9 3 2 2 3 2 2" xfId="9844" xr:uid="{5DB7F780-A32F-4229-AE7E-6B8B2E4228BA}"/>
    <cellStyle name="Comma 3 9 3 2 2 3 3" xfId="3388" xr:uid="{748AE93F-9295-4253-B8BB-8C6FC29FE97E}"/>
    <cellStyle name="Comma 3 9 3 2 2 3 4" xfId="7322" xr:uid="{2E0CC308-F691-4F5E-8C98-EE3ED67F2AB1}"/>
    <cellStyle name="Comma 3 9 3 2 2 3 5" xfId="8836" xr:uid="{3AD94208-E359-454A-B409-25FE5DB7F04A}"/>
    <cellStyle name="Comma 3 9 3 2 2 3 6" xfId="12456" xr:uid="{F266763C-AB0D-4E4A-87B2-2AE39DD33E9F}"/>
    <cellStyle name="Comma 3 9 3 2 2 3 7" xfId="14201" xr:uid="{EE3D4557-09AA-45E3-B058-F887EF102BEF}"/>
    <cellStyle name="Comma 3 9 3 2 2 4" xfId="2184" xr:uid="{C0DE0A54-D8BC-47B4-BEA3-D37EE11E730F}"/>
    <cellStyle name="Comma 3 9 3 2 2 4 2" xfId="3904" xr:uid="{61F197D2-4654-4BEB-B405-CBE6C9E8C122}"/>
    <cellStyle name="Comma 3 9 3 2 2 4 3" xfId="7830" xr:uid="{E20439A3-2306-4E5C-B5C2-C3AB7757ADE0}"/>
    <cellStyle name="Comma 3 9 3 2 2 4 4" xfId="9348" xr:uid="{14800A95-B4C7-4DFF-9FE3-98CEEE72928E}"/>
    <cellStyle name="Comma 3 9 3 2 2 4 5" xfId="12962" xr:uid="{75E3BD2D-1F84-4B1F-A171-C308C05607E0}"/>
    <cellStyle name="Comma 3 9 3 2 2 4 6" xfId="14707" xr:uid="{D3603E39-02BF-44E4-AC73-B3D25126FDD2}"/>
    <cellStyle name="Comma 3 9 3 2 2 5" xfId="4885" xr:uid="{40FD0FE2-9721-4CF9-8A3A-959D9C04783E}"/>
    <cellStyle name="Comma 3 9 3 2 2 5 2" xfId="10346" xr:uid="{89A2FA9E-3F40-4198-998C-01BD038E396B}"/>
    <cellStyle name="Comma 3 9 3 2 2 6" xfId="5374" xr:uid="{3BE90A8B-C83C-4F84-847F-7E0C7B7CBCBE}"/>
    <cellStyle name="Comma 3 9 3 2 2 6 2" xfId="10848" xr:uid="{199CA11C-6CCC-4B50-8A03-4547D4104C49}"/>
    <cellStyle name="Comma 3 9 3 2 2 7" xfId="5876" xr:uid="{B968FE07-12D3-4A6D-8A76-8081057FD361}"/>
    <cellStyle name="Comma 3 9 3 2 2 7 2" xfId="11350" xr:uid="{C116CF5D-6B97-44AD-A4C2-B737BBF105A0}"/>
    <cellStyle name="Comma 3 9 3 2 2 8" xfId="2901" xr:uid="{678E7E76-8F92-4286-863A-7F9B51E8AF52}"/>
    <cellStyle name="Comma 3 9 3 2 2 9" xfId="6816" xr:uid="{57371C42-F31B-4288-9560-6C953DD33938}"/>
    <cellStyle name="Comma 3 9 3 2 3" xfId="1294" xr:uid="{F7FE6CBE-B224-4005-9783-B4E86F6BC68A}"/>
    <cellStyle name="Comma 3 9 3 2 3 10" xfId="12074" xr:uid="{E999119A-ECD5-411C-90B2-0AD0B4452489}"/>
    <cellStyle name="Comma 3 9 3 2 3 11" xfId="13819" xr:uid="{568FC90C-FAA1-41E6-AC65-5C2B8410B462}"/>
    <cellStyle name="Comma 3 9 3 2 3 2" xfId="1800" xr:uid="{08974DA8-B120-4ABC-88F3-CB70C22887EC}"/>
    <cellStyle name="Comma 3 9 3 2 3 2 2" xfId="4522" xr:uid="{71F4A0DE-0A2E-4800-83BB-2ED3FB8C0841}"/>
    <cellStyle name="Comma 3 9 3 2 3 2 2 2" xfId="9968" xr:uid="{9B2E73B2-3547-4725-A54C-B056A5F6209A}"/>
    <cellStyle name="Comma 3 9 3 2 3 2 3" xfId="3512" xr:uid="{06CFA804-01DA-4428-A6F8-F23E08207E43}"/>
    <cellStyle name="Comma 3 9 3 2 3 2 4" xfId="7446" xr:uid="{952282C4-C828-401F-9F37-F5E256C3A7CF}"/>
    <cellStyle name="Comma 3 9 3 2 3 2 5" xfId="8960" xr:uid="{3601CA19-865D-4EF0-A0F0-DBDE70BFAA8A}"/>
    <cellStyle name="Comma 3 9 3 2 3 2 6" xfId="12580" xr:uid="{024B6A79-0ED6-40A9-8236-53430D5EE1DD}"/>
    <cellStyle name="Comma 3 9 3 2 3 2 7" xfId="14325" xr:uid="{70DD8F0D-EE48-47B7-A1CC-6207ADD1679F}"/>
    <cellStyle name="Comma 3 9 3 2 3 3" xfId="2308" xr:uid="{8378A878-3AE6-4BD5-9A47-50107D131DAB}"/>
    <cellStyle name="Comma 3 9 3 2 3 3 2" xfId="4028" xr:uid="{AC3BB415-96A4-43EC-894A-C01F6F1ED385}"/>
    <cellStyle name="Comma 3 9 3 2 3 3 3" xfId="7954" xr:uid="{441838D6-2D1B-4770-87C3-363D1D407F03}"/>
    <cellStyle name="Comma 3 9 3 2 3 3 4" xfId="9472" xr:uid="{A78C046B-E4CF-4D5C-8452-66B7B44D8917}"/>
    <cellStyle name="Comma 3 9 3 2 3 3 5" xfId="13086" xr:uid="{61936405-6833-47E3-813D-EAE68BB7AEAC}"/>
    <cellStyle name="Comma 3 9 3 2 3 3 6" xfId="14831" xr:uid="{62D6A3F3-8D04-4C09-A4FF-B7EA2678F8B9}"/>
    <cellStyle name="Comma 3 9 3 2 3 4" xfId="5001" xr:uid="{F8AE3A1E-D5F7-4FB7-862B-2AD26B2305E9}"/>
    <cellStyle name="Comma 3 9 3 2 3 4 2" xfId="10470" xr:uid="{B68A2A16-148A-49DA-B917-EEEF637F743B}"/>
    <cellStyle name="Comma 3 9 3 2 3 5" xfId="5498" xr:uid="{25B914B2-7D93-4CDF-AF50-E3710BEDE284}"/>
    <cellStyle name="Comma 3 9 3 2 3 5 2" xfId="10972" xr:uid="{7C797664-2267-40A2-BDEC-9FBC33B7CAD7}"/>
    <cellStyle name="Comma 3 9 3 2 3 6" xfId="6000" xr:uid="{6E191B79-0A30-492E-80F5-479C6CBBD448}"/>
    <cellStyle name="Comma 3 9 3 2 3 6 2" xfId="11474" xr:uid="{CBF85E1D-539A-4238-919C-3596B43F7A17}"/>
    <cellStyle name="Comma 3 9 3 2 3 7" xfId="3019" xr:uid="{51D2AF52-8569-47E8-B8D9-EEA2D81E4F53}"/>
    <cellStyle name="Comma 3 9 3 2 3 8" xfId="6940" xr:uid="{6A84A5C0-03DB-4ECA-8D57-131742D2ECA1}"/>
    <cellStyle name="Comma 3 9 3 2 3 9" xfId="8464" xr:uid="{D0CDA111-26D0-4C2A-8C1C-3012599ACBC6}"/>
    <cellStyle name="Comma 3 9 3 2 4" xfId="1552" xr:uid="{00803FE0-713A-4739-B4AB-05DE47FBA008}"/>
    <cellStyle name="Comma 3 9 3 2 4 2" xfId="4275" xr:uid="{8C4F1A61-C2DA-4CE8-A0D0-10607834E650}"/>
    <cellStyle name="Comma 3 9 3 2 4 2 2" xfId="9720" xr:uid="{0A74A14A-3445-4ABF-824D-B6700E64CB54}"/>
    <cellStyle name="Comma 3 9 3 2 4 3" xfId="3265" xr:uid="{B5EAD86F-6EDF-4D5F-8C76-8B1E105F6DCD}"/>
    <cellStyle name="Comma 3 9 3 2 4 4" xfId="7198" xr:uid="{EFE39990-9B29-479F-B987-1B9569122BA4}"/>
    <cellStyle name="Comma 3 9 3 2 4 5" xfId="8712" xr:uid="{F840103F-3CF4-41C8-9D08-20090F074E72}"/>
    <cellStyle name="Comma 3 9 3 2 4 6" xfId="12332" xr:uid="{5AD0DB3B-0FE6-4E4C-B92B-97AD7AFE1374}"/>
    <cellStyle name="Comma 3 9 3 2 4 7" xfId="14077" xr:uid="{91F5B309-34C0-486F-A0BA-E72A0235B5F6}"/>
    <cellStyle name="Comma 3 9 3 2 5" xfId="2060" xr:uid="{B97F9437-2858-47BB-A97C-29D29FE7B994}"/>
    <cellStyle name="Comma 3 9 3 2 5 2" xfId="3780" xr:uid="{77D380AE-E94A-47D0-9AD4-9678900507CC}"/>
    <cellStyle name="Comma 3 9 3 2 5 3" xfId="7706" xr:uid="{C09FE705-89C2-4000-9A64-4D26A04D9C87}"/>
    <cellStyle name="Comma 3 9 3 2 5 4" xfId="9224" xr:uid="{67AFA356-BFBC-4C30-BC69-36C5F9CEE522}"/>
    <cellStyle name="Comma 3 9 3 2 5 5" xfId="12838" xr:uid="{F614A430-A1F9-4CEB-A64C-484E8FCC418A}"/>
    <cellStyle name="Comma 3 9 3 2 5 6" xfId="14583" xr:uid="{B5554491-DED6-4FE5-B182-6AEBE47A5E2B}"/>
    <cellStyle name="Comma 3 9 3 2 6" xfId="4771" xr:uid="{64095215-2925-46C3-BDAF-2EFF41C915D9}"/>
    <cellStyle name="Comma 3 9 3 2 6 2" xfId="10222" xr:uid="{F882D027-5771-4450-8B9D-2CC6BECD5995}"/>
    <cellStyle name="Comma 3 9 3 2 7" xfId="5250" xr:uid="{09E4C7F7-1E75-45BA-86E0-8A7196868D6C}"/>
    <cellStyle name="Comma 3 9 3 2 7 2" xfId="10724" xr:uid="{C522D46D-AD2F-46B1-87E0-53507DFAA783}"/>
    <cellStyle name="Comma 3 9 3 2 8" xfId="5752" xr:uid="{EA017AAE-E99E-4FCD-B2E9-1F8B1557ABC1}"/>
    <cellStyle name="Comma 3 9 3 2 8 2" xfId="11226" xr:uid="{4AE18295-72A6-46AD-92E0-44B4E9B1C904}"/>
    <cellStyle name="Comma 3 9 3 2 9" xfId="2787" xr:uid="{10FAE9FB-9955-4DE4-AFD1-AF5AF143B796}"/>
    <cellStyle name="Comma 3 9 3 3" xfId="1139" xr:uid="{BB999E01-0131-4ACE-9FCD-1D5954FFA77D}"/>
    <cellStyle name="Comma 3 9 3 3 10" xfId="8309" xr:uid="{3DF1F80F-561F-4174-89D5-12EA3528809B}"/>
    <cellStyle name="Comma 3 9 3 3 11" xfId="11919" xr:uid="{3116CE53-3CB2-42D5-943A-A6E1681AA9E5}"/>
    <cellStyle name="Comma 3 9 3 3 12" xfId="13664" xr:uid="{B477FF02-6FAC-4763-997D-3A98A17FE210}"/>
    <cellStyle name="Comma 3 9 3 3 2" xfId="1387" xr:uid="{E3748B07-8075-4517-A000-116CD88E865E}"/>
    <cellStyle name="Comma 3 9 3 3 2 10" xfId="12167" xr:uid="{C17C4355-BF92-4550-94D7-91B16D795DD7}"/>
    <cellStyle name="Comma 3 9 3 3 2 11" xfId="13912" xr:uid="{38130357-A5E0-4B8A-BD66-DA3E61308D91}"/>
    <cellStyle name="Comma 3 9 3 3 2 2" xfId="1893" xr:uid="{4DDF0FD6-686C-488C-A9E4-856D39F74B9E}"/>
    <cellStyle name="Comma 3 9 3 3 2 2 2" xfId="4615" xr:uid="{FCACAC54-B304-4117-ABB5-8909F4A766A0}"/>
    <cellStyle name="Comma 3 9 3 3 2 2 2 2" xfId="10061" xr:uid="{E6096C42-A819-410C-A11A-DB721AAA5E30}"/>
    <cellStyle name="Comma 3 9 3 3 2 2 3" xfId="3605" xr:uid="{A9800A40-A4AF-4B35-A588-7E20AFE5CE71}"/>
    <cellStyle name="Comma 3 9 3 3 2 2 4" xfId="7539" xr:uid="{0E5AAAB0-4142-4ED8-B187-84C603A26C2E}"/>
    <cellStyle name="Comma 3 9 3 3 2 2 5" xfId="9053" xr:uid="{E846CF75-5D30-4600-9805-F9D67829A51C}"/>
    <cellStyle name="Comma 3 9 3 3 2 2 6" xfId="12673" xr:uid="{70FDB335-7B99-40F2-88BE-2486859CADDF}"/>
    <cellStyle name="Comma 3 9 3 3 2 2 7" xfId="14418" xr:uid="{7173D0B5-AE87-49E8-845C-F84EA43F081B}"/>
    <cellStyle name="Comma 3 9 3 3 2 3" xfId="2401" xr:uid="{F2EE76D6-776A-4656-8088-8774BEF8D4BE}"/>
    <cellStyle name="Comma 3 9 3 3 2 3 2" xfId="4121" xr:uid="{381E1FB3-6946-4B10-9C04-21800FD62D40}"/>
    <cellStyle name="Comma 3 9 3 3 2 3 3" xfId="8047" xr:uid="{A1819E75-9E83-4DA6-9C60-B73AE3C6A96D}"/>
    <cellStyle name="Comma 3 9 3 3 2 3 4" xfId="9565" xr:uid="{C5251FFB-77BC-4A13-B0B4-384F1556EFBF}"/>
    <cellStyle name="Comma 3 9 3 3 2 3 5" xfId="13179" xr:uid="{430D8B7C-A22F-4D2A-BEEE-9A1D955AC910}"/>
    <cellStyle name="Comma 3 9 3 3 2 3 6" xfId="14924" xr:uid="{43D1D1E8-80A3-4B15-97F7-D6C6E896A600}"/>
    <cellStyle name="Comma 3 9 3 3 2 4" xfId="5093" xr:uid="{5EF61230-5CCE-4AED-BDF5-2479044778E1}"/>
    <cellStyle name="Comma 3 9 3 3 2 4 2" xfId="10563" xr:uid="{327DB1AD-B769-4C40-AAFA-BF6A30C6A8DC}"/>
    <cellStyle name="Comma 3 9 3 3 2 5" xfId="5591" xr:uid="{9F146681-F849-4114-93FE-C8FE481102E4}"/>
    <cellStyle name="Comma 3 9 3 3 2 5 2" xfId="11065" xr:uid="{82706C67-B837-493E-9C38-72C7C080CEFD}"/>
    <cellStyle name="Comma 3 9 3 3 2 6" xfId="6093" xr:uid="{5F5C51AA-CECC-4451-923E-BD393D50A773}"/>
    <cellStyle name="Comma 3 9 3 3 2 6 2" xfId="11567" xr:uid="{220FC663-8051-4A59-9A3D-A45917099FC1}"/>
    <cellStyle name="Comma 3 9 3 3 2 7" xfId="3111" xr:uid="{50341C2F-D732-40AE-B4A8-A82EB75A17B5}"/>
    <cellStyle name="Comma 3 9 3 3 2 8" xfId="7033" xr:uid="{1C780CE3-CD52-4FAA-901E-4D2E1B6A29D1}"/>
    <cellStyle name="Comma 3 9 3 3 2 9" xfId="8557" xr:uid="{D9FABB0E-4C15-4B86-A629-2DEFD722825C}"/>
    <cellStyle name="Comma 3 9 3 3 3" xfId="1645" xr:uid="{94AEEC31-881F-4E8F-9B07-A9C3B665DC47}"/>
    <cellStyle name="Comma 3 9 3 3 3 2" xfId="4367" xr:uid="{BF291D12-BC9B-44E5-B603-CF14A696A6B2}"/>
    <cellStyle name="Comma 3 9 3 3 3 2 2" xfId="9813" xr:uid="{78A36C0D-ED06-4D88-89F0-94171E0F3809}"/>
    <cellStyle name="Comma 3 9 3 3 3 3" xfId="3357" xr:uid="{8B168978-6A7E-482A-854D-92DF1A172929}"/>
    <cellStyle name="Comma 3 9 3 3 3 4" xfId="7291" xr:uid="{CBC9E5A9-E149-465A-A411-115F7F5738A4}"/>
    <cellStyle name="Comma 3 9 3 3 3 5" xfId="8805" xr:uid="{0C0266CA-A504-42C3-AB77-2F45E36EC272}"/>
    <cellStyle name="Comma 3 9 3 3 3 6" xfId="12425" xr:uid="{2FF19ABD-ADE3-464A-806E-0C30999E23E1}"/>
    <cellStyle name="Comma 3 9 3 3 3 7" xfId="14170" xr:uid="{D57299F3-3910-4D91-8F73-6F77F5CC3B3B}"/>
    <cellStyle name="Comma 3 9 3 3 4" xfId="2153" xr:uid="{8CF20301-059E-44D1-809E-5A44A2ED382D}"/>
    <cellStyle name="Comma 3 9 3 3 4 2" xfId="3873" xr:uid="{EED3BC55-8289-4D93-8254-7711E6B25D84}"/>
    <cellStyle name="Comma 3 9 3 3 4 3" xfId="7799" xr:uid="{388E985B-E54C-42B2-8F14-8E87A3FF3B7F}"/>
    <cellStyle name="Comma 3 9 3 3 4 4" xfId="9317" xr:uid="{062E7882-14E6-45F8-8775-CE8DF488CD9D}"/>
    <cellStyle name="Comma 3 9 3 3 4 5" xfId="12931" xr:uid="{7688EA72-40EC-4F03-A501-ACB5FEA60213}"/>
    <cellStyle name="Comma 3 9 3 3 4 6" xfId="14676" xr:uid="{1531AAA6-3D57-4161-AD7E-9EEBB1244883}"/>
    <cellStyle name="Comma 3 9 3 3 5" xfId="4855" xr:uid="{7F7102AE-1A43-41AC-8756-6BF77D740AC6}"/>
    <cellStyle name="Comma 3 9 3 3 5 2" xfId="10315" xr:uid="{C5133C53-9606-4E14-977A-A0261020591B}"/>
    <cellStyle name="Comma 3 9 3 3 6" xfId="5343" xr:uid="{E46A6433-4F2F-4B4F-A5BB-E64BBAD4F9F4}"/>
    <cellStyle name="Comma 3 9 3 3 6 2" xfId="10817" xr:uid="{3F6CF502-F18C-4BB3-8E11-3382C3D2F28D}"/>
    <cellStyle name="Comma 3 9 3 3 7" xfId="5845" xr:uid="{E84523BA-A07B-40F1-88D3-2D9C88C49872}"/>
    <cellStyle name="Comma 3 9 3 3 7 2" xfId="11319" xr:uid="{BC699B7C-FDCF-4A28-9DE3-0F76A2A4ED0B}"/>
    <cellStyle name="Comma 3 9 3 3 8" xfId="2871" xr:uid="{C98D6F21-67F3-4E76-9CA7-91E80230BCF8}"/>
    <cellStyle name="Comma 3 9 3 3 9" xfId="6785" xr:uid="{0F2F6246-DC30-4D99-A793-22EDCDF115FB}"/>
    <cellStyle name="Comma 3 9 3 4" xfId="1263" xr:uid="{90E4FF5F-101A-46A6-B248-57D16C1ADF3C}"/>
    <cellStyle name="Comma 3 9 3 4 10" xfId="12043" xr:uid="{6D74E3FD-CE20-4669-B1B9-B34BC8CC32D0}"/>
    <cellStyle name="Comma 3 9 3 4 11" xfId="13788" xr:uid="{1933A8DF-1CA3-4E56-B68A-6DB879E1FF46}"/>
    <cellStyle name="Comma 3 9 3 4 2" xfId="1769" xr:uid="{5AC3185C-08B3-482B-B7EB-E992545FD4C5}"/>
    <cellStyle name="Comma 3 9 3 4 2 2" xfId="4491" xr:uid="{734A15B9-0CE7-4C15-8DBD-29B27461EEC0}"/>
    <cellStyle name="Comma 3 9 3 4 2 2 2" xfId="9937" xr:uid="{9E32A1BB-BCB1-4D64-A163-4250044C6324}"/>
    <cellStyle name="Comma 3 9 3 4 2 3" xfId="3481" xr:uid="{A883D024-8665-4EA1-AE58-052F3C6CE81B}"/>
    <cellStyle name="Comma 3 9 3 4 2 4" xfId="7415" xr:uid="{EAE83C04-6F7D-49CC-9CCD-6756960F71FE}"/>
    <cellStyle name="Comma 3 9 3 4 2 5" xfId="8929" xr:uid="{FA5AD472-0B52-46FB-9C72-FD43109EAD7B}"/>
    <cellStyle name="Comma 3 9 3 4 2 6" xfId="12549" xr:uid="{21E93DFC-3D66-4FA1-B0DB-34580711FE2E}"/>
    <cellStyle name="Comma 3 9 3 4 2 7" xfId="14294" xr:uid="{48D8B173-99D0-4AEE-863F-F42904B5B711}"/>
    <cellStyle name="Comma 3 9 3 4 3" xfId="2277" xr:uid="{052232F3-F95B-4C18-B87B-8BDFFC7A2078}"/>
    <cellStyle name="Comma 3 9 3 4 3 2" xfId="3997" xr:uid="{D9B4B68D-8436-470A-AA5A-3F9D47AAC827}"/>
    <cellStyle name="Comma 3 9 3 4 3 3" xfId="7923" xr:uid="{47C8FEEA-275B-496E-A876-F7FA56426FB6}"/>
    <cellStyle name="Comma 3 9 3 4 3 4" xfId="9441" xr:uid="{C6F40606-38E1-4F3C-AE6A-E2295AD42FC0}"/>
    <cellStyle name="Comma 3 9 3 4 3 5" xfId="13055" xr:uid="{7D4A0140-2A41-4BB2-997E-26D0E6F6EB59}"/>
    <cellStyle name="Comma 3 9 3 4 3 6" xfId="14800" xr:uid="{3D2939B9-88BA-42CE-B68A-817E0C24CC62}"/>
    <cellStyle name="Comma 3 9 3 4 4" xfId="4971" xr:uid="{4051C48B-7FA5-4E5D-A1F8-94318C7AD1CD}"/>
    <cellStyle name="Comma 3 9 3 4 4 2" xfId="10439" xr:uid="{5CAE1910-01AE-4406-AA4A-FADD230DCBE2}"/>
    <cellStyle name="Comma 3 9 3 4 5" xfId="5467" xr:uid="{6A6982B4-074A-4FC3-A557-878AB3778354}"/>
    <cellStyle name="Comma 3 9 3 4 5 2" xfId="10941" xr:uid="{3CBE2FAB-E305-41EE-AFFC-2CA42236A2C8}"/>
    <cellStyle name="Comma 3 9 3 4 6" xfId="5969" xr:uid="{625D7AAA-C6C5-42BC-9E7F-D384AD5A3607}"/>
    <cellStyle name="Comma 3 9 3 4 6 2" xfId="11443" xr:uid="{5E7E131F-4B76-4D19-B1AC-0AD662A4214F}"/>
    <cellStyle name="Comma 3 9 3 4 7" xfId="2989" xr:uid="{6965E079-09E0-406E-83D0-663C6C11F440}"/>
    <cellStyle name="Comma 3 9 3 4 8" xfId="6909" xr:uid="{F82D9167-ACBE-4FF4-B24F-54EFB0206E57}"/>
    <cellStyle name="Comma 3 9 3 4 9" xfId="8433" xr:uid="{7808E6F8-194E-4B4B-8785-2446F85F61F9}"/>
    <cellStyle name="Comma 3 9 3 5" xfId="1521" xr:uid="{E4324325-A2DA-47CA-8686-6346589F40C9}"/>
    <cellStyle name="Comma 3 9 3 5 2" xfId="4245" xr:uid="{3C505B42-EB9B-43B8-A1E1-433E444C4F2E}"/>
    <cellStyle name="Comma 3 9 3 5 2 2" xfId="9689" xr:uid="{CE51896B-2DDC-4081-AF81-B9FB3EE873B7}"/>
    <cellStyle name="Comma 3 9 3 5 3" xfId="3235" xr:uid="{E80BB2ED-B820-41B6-A4AC-2DE1B5D1CC72}"/>
    <cellStyle name="Comma 3 9 3 5 4" xfId="7167" xr:uid="{0AC42DA3-1D7A-4788-8BB1-1EEF7DAEE90F}"/>
    <cellStyle name="Comma 3 9 3 5 5" xfId="8681" xr:uid="{8D66C5B4-0270-42DC-83F1-DCDF48D33384}"/>
    <cellStyle name="Comma 3 9 3 5 6" xfId="12301" xr:uid="{4E431D09-8A96-44BD-95B7-CB92A83495FD}"/>
    <cellStyle name="Comma 3 9 3 5 7" xfId="14046" xr:uid="{DFF73CAF-D9CE-4A12-94FF-E074D5D9EACD}"/>
    <cellStyle name="Comma 3 9 3 6" xfId="2029" xr:uid="{6ED62301-A0E3-4D8F-8CA8-310DBA92457B}"/>
    <cellStyle name="Comma 3 9 3 6 2" xfId="3749" xr:uid="{E983F7AD-6F2A-4254-95DD-9695D14AEA56}"/>
    <cellStyle name="Comma 3 9 3 6 3" xfId="7675" xr:uid="{C0A28AED-DA38-4C5D-A33B-A507E30C9473}"/>
    <cellStyle name="Comma 3 9 3 6 4" xfId="9193" xr:uid="{E0501EF9-A8B8-42AE-87F1-3494B7397326}"/>
    <cellStyle name="Comma 3 9 3 6 5" xfId="12807" xr:uid="{96565D50-A515-4271-AC91-83AD6D0E6679}"/>
    <cellStyle name="Comma 3 9 3 6 6" xfId="14552" xr:uid="{C5562847-5F84-4583-A239-4EEE29772235}"/>
    <cellStyle name="Comma 3 9 3 7" xfId="4743" xr:uid="{7F32DB29-0AE5-4107-8DAE-00E051A51FDB}"/>
    <cellStyle name="Comma 3 9 3 7 2" xfId="10191" xr:uid="{010C3B0A-63EA-4324-9441-3DACB82E4817}"/>
    <cellStyle name="Comma 3 9 3 8" xfId="5219" xr:uid="{D3638637-9EF0-4CBE-9114-9C714AB8562A}"/>
    <cellStyle name="Comma 3 9 3 8 2" xfId="10693" xr:uid="{E918021A-3262-40E1-98E1-55927E44D038}"/>
    <cellStyle name="Comma 3 9 3 9" xfId="5721" xr:uid="{80042C9C-2657-4D1E-BA3D-61F5B71D05C3}"/>
    <cellStyle name="Comma 3 9 3 9 2" xfId="11195" xr:uid="{283145C0-04CD-43D0-AF80-90170F763973}"/>
    <cellStyle name="Comma 3 9 4" xfId="1044" xr:uid="{4A3C9A42-4E68-4EB3-8C8C-4E0B11346D44}"/>
    <cellStyle name="Comma 3 9 4 10" xfId="6690" xr:uid="{5549EAA2-8DE6-4C72-9ED6-9DEA8F10B1F0}"/>
    <cellStyle name="Comma 3 9 4 11" xfId="8214" xr:uid="{C27BD939-BBC4-4EBF-B685-B02444D0DC3D}"/>
    <cellStyle name="Comma 3 9 4 12" xfId="11824" xr:uid="{4653C8C6-4F8B-4120-8B56-1AD9FD25318C}"/>
    <cellStyle name="Comma 3 9 4 13" xfId="13569" xr:uid="{332C2FC5-31F8-475F-A300-2FC1C505B73C}"/>
    <cellStyle name="Comma 3 9 4 2" xfId="1168" xr:uid="{CECB264F-524B-4E29-B07F-B6ED994A739D}"/>
    <cellStyle name="Comma 3 9 4 2 10" xfId="8338" xr:uid="{162564EC-B65B-45E4-8692-3436A9AF6499}"/>
    <cellStyle name="Comma 3 9 4 2 11" xfId="11948" xr:uid="{EF9D733E-37EE-4229-96C8-7380E64C9AEF}"/>
    <cellStyle name="Comma 3 9 4 2 12" xfId="13693" xr:uid="{2F68151D-D839-48E4-AEFA-AAC9724663D4}"/>
    <cellStyle name="Comma 3 9 4 2 2" xfId="1416" xr:uid="{AFFB1E85-3655-4C3C-8FED-0D2E0104AF6B}"/>
    <cellStyle name="Comma 3 9 4 2 2 10" xfId="12196" xr:uid="{559ED072-DEFB-44A0-BB7F-0BA0BAAD0927}"/>
    <cellStyle name="Comma 3 9 4 2 2 11" xfId="13941" xr:uid="{D9834C75-FFEE-4FA6-BFB7-9CADC899FDF5}"/>
    <cellStyle name="Comma 3 9 4 2 2 2" xfId="1922" xr:uid="{C47A8344-3A98-41DE-813C-8BB3F49B5349}"/>
    <cellStyle name="Comma 3 9 4 2 2 2 2" xfId="4644" xr:uid="{08CFE127-0ABE-4DA7-8E96-CD9B760C3EC8}"/>
    <cellStyle name="Comma 3 9 4 2 2 2 2 2" xfId="10090" xr:uid="{A2C5F117-2647-4C88-9478-76FAB93A5C7A}"/>
    <cellStyle name="Comma 3 9 4 2 2 2 3" xfId="3634" xr:uid="{C43A26D4-77EA-44F9-B2D7-777B708DD707}"/>
    <cellStyle name="Comma 3 9 4 2 2 2 4" xfId="7568" xr:uid="{9870CBC0-4194-4A7F-9E87-0183BDCDBA28}"/>
    <cellStyle name="Comma 3 9 4 2 2 2 5" xfId="9082" xr:uid="{C03A2610-5020-40E0-9EDD-7FE6595189A1}"/>
    <cellStyle name="Comma 3 9 4 2 2 2 6" xfId="12702" xr:uid="{D7E1D007-EAE0-46EF-81D2-212B37F2F0B4}"/>
    <cellStyle name="Comma 3 9 4 2 2 2 7" xfId="14447" xr:uid="{89064BBC-0AC3-4BE0-9851-55974787DF24}"/>
    <cellStyle name="Comma 3 9 4 2 2 3" xfId="2430" xr:uid="{7A01CF8E-9D49-4AF6-B63A-7D309184408E}"/>
    <cellStyle name="Comma 3 9 4 2 2 3 2" xfId="4150" xr:uid="{78435EB9-461B-44AF-BB9F-2549AE14A314}"/>
    <cellStyle name="Comma 3 9 4 2 2 3 3" xfId="8076" xr:uid="{0C488D2E-8CDC-45D2-B6B2-DB25CBDAEC83}"/>
    <cellStyle name="Comma 3 9 4 2 2 3 4" xfId="9594" xr:uid="{7B98EA84-E9DC-446E-9A50-69A39C9E0651}"/>
    <cellStyle name="Comma 3 9 4 2 2 3 5" xfId="13208" xr:uid="{B11D1E1C-CD6E-4167-9D7B-2A80EC576DB5}"/>
    <cellStyle name="Comma 3 9 4 2 2 3 6" xfId="14953" xr:uid="{7C6E2D5E-5625-4A01-91D0-990864692BEB}"/>
    <cellStyle name="Comma 3 9 4 2 2 4" xfId="5122" xr:uid="{85C45AAC-700C-4820-8F71-439290C8BB35}"/>
    <cellStyle name="Comma 3 9 4 2 2 4 2" xfId="10592" xr:uid="{E0A26694-8C40-452F-90ED-E4DAF0A91E37}"/>
    <cellStyle name="Comma 3 9 4 2 2 5" xfId="5620" xr:uid="{67A4CF97-F59C-490B-BA15-88E07656009E}"/>
    <cellStyle name="Comma 3 9 4 2 2 5 2" xfId="11094" xr:uid="{8179E011-3C3F-44D4-B4DC-988B71D9A518}"/>
    <cellStyle name="Comma 3 9 4 2 2 6" xfId="6122" xr:uid="{D082DF57-FB42-4CA3-9845-7444630B6B03}"/>
    <cellStyle name="Comma 3 9 4 2 2 6 2" xfId="11596" xr:uid="{C8454092-DD59-48E8-A1DB-CDDF58403C7B}"/>
    <cellStyle name="Comma 3 9 4 2 2 7" xfId="3140" xr:uid="{79080C9C-6201-432D-89A3-13BB81580523}"/>
    <cellStyle name="Comma 3 9 4 2 2 8" xfId="7062" xr:uid="{ABC6FB7C-B0CC-4F19-A23B-F00566E1FF12}"/>
    <cellStyle name="Comma 3 9 4 2 2 9" xfId="8586" xr:uid="{41CD19FC-2102-4AD6-B18A-F80E1C1C372A}"/>
    <cellStyle name="Comma 3 9 4 2 3" xfId="1674" xr:uid="{65BF062A-5FE7-48B7-A91C-264398A51D07}"/>
    <cellStyle name="Comma 3 9 4 2 3 2" xfId="4396" xr:uid="{7520A278-0A34-4DB7-A486-C2038859D287}"/>
    <cellStyle name="Comma 3 9 4 2 3 2 2" xfId="9842" xr:uid="{A9AF8691-E2C8-45C2-813F-AB36C7DD76B8}"/>
    <cellStyle name="Comma 3 9 4 2 3 3" xfId="3386" xr:uid="{AE4710C6-21F2-4499-BFC5-C05E36372BDB}"/>
    <cellStyle name="Comma 3 9 4 2 3 4" xfId="7320" xr:uid="{B7087D78-FE9C-42E6-B480-6B8927F8CC57}"/>
    <cellStyle name="Comma 3 9 4 2 3 5" xfId="8834" xr:uid="{9AF44F84-A948-43A5-9A35-0D7BE58258E0}"/>
    <cellStyle name="Comma 3 9 4 2 3 6" xfId="12454" xr:uid="{68436D39-0D8B-4FB3-9CBA-07AC9CBCE023}"/>
    <cellStyle name="Comma 3 9 4 2 3 7" xfId="14199" xr:uid="{E8B35022-01BF-4BDB-A52F-E4732176F144}"/>
    <cellStyle name="Comma 3 9 4 2 4" xfId="2182" xr:uid="{D459ACBE-7B2D-4877-90CF-673889C40DDE}"/>
    <cellStyle name="Comma 3 9 4 2 4 2" xfId="3902" xr:uid="{FBF436D9-D550-40F1-AC3E-CCCFFDE9014B}"/>
    <cellStyle name="Comma 3 9 4 2 4 3" xfId="7828" xr:uid="{277320AF-D59A-4938-861F-59AC1443FF35}"/>
    <cellStyle name="Comma 3 9 4 2 4 4" xfId="9346" xr:uid="{774F4FD8-56D6-416A-ACDA-2149ED25B4F9}"/>
    <cellStyle name="Comma 3 9 4 2 4 5" xfId="12960" xr:uid="{9B6C614E-429E-4AEC-9354-1EA6F537BCFD}"/>
    <cellStyle name="Comma 3 9 4 2 4 6" xfId="14705" xr:uid="{110A0760-6E3A-4442-B437-F5283DD4FA2F}"/>
    <cellStyle name="Comma 3 9 4 2 5" xfId="4883" xr:uid="{A90B9BF5-ED2F-487F-AC8F-09C1B2CC2BAD}"/>
    <cellStyle name="Comma 3 9 4 2 5 2" xfId="10344" xr:uid="{3870E425-6632-4FA2-A895-50FADB69CE0A}"/>
    <cellStyle name="Comma 3 9 4 2 6" xfId="5372" xr:uid="{8207A710-9692-4EB1-9CD3-AAA55932595F}"/>
    <cellStyle name="Comma 3 9 4 2 6 2" xfId="10846" xr:uid="{414D7730-AD8A-408F-A80A-757A51E7D960}"/>
    <cellStyle name="Comma 3 9 4 2 7" xfId="5874" xr:uid="{D8AA5E82-A2C1-4230-9A9E-1FC3205A809E}"/>
    <cellStyle name="Comma 3 9 4 2 7 2" xfId="11348" xr:uid="{632D6894-692A-4248-B487-881E227CD53C}"/>
    <cellStyle name="Comma 3 9 4 2 8" xfId="2899" xr:uid="{DF061BBB-327C-4A24-BD84-99D01227A3BC}"/>
    <cellStyle name="Comma 3 9 4 2 9" xfId="6814" xr:uid="{2A75A0D3-F468-482C-9DAF-A605D6C987ED}"/>
    <cellStyle name="Comma 3 9 4 3" xfId="1292" xr:uid="{51B22031-44F7-4A1A-80F1-6A8E331F627D}"/>
    <cellStyle name="Comma 3 9 4 3 10" xfId="12072" xr:uid="{D41616D2-DD6E-4555-9211-B7D89B55BC5D}"/>
    <cellStyle name="Comma 3 9 4 3 11" xfId="13817" xr:uid="{E34DFD5B-4C1F-44BA-BA8B-F7BCAE620D73}"/>
    <cellStyle name="Comma 3 9 4 3 2" xfId="1798" xr:uid="{73BED72C-B9C1-4366-8DD0-E80796AE8795}"/>
    <cellStyle name="Comma 3 9 4 3 2 2" xfId="4520" xr:uid="{DED1864B-2AF6-4478-89AF-C1F20D7350E9}"/>
    <cellStyle name="Comma 3 9 4 3 2 2 2" xfId="9966" xr:uid="{E473A027-4AC8-46DE-B452-7DB590B9400A}"/>
    <cellStyle name="Comma 3 9 4 3 2 3" xfId="3510" xr:uid="{C52DEB9D-443A-41E4-AF15-3793ACB047B5}"/>
    <cellStyle name="Comma 3 9 4 3 2 4" xfId="7444" xr:uid="{A4FB7654-ED7A-4696-921D-C652E64E5CE4}"/>
    <cellStyle name="Comma 3 9 4 3 2 5" xfId="8958" xr:uid="{57A1217B-44AA-4472-BD1F-290A9BF425CD}"/>
    <cellStyle name="Comma 3 9 4 3 2 6" xfId="12578" xr:uid="{A52464BA-AF1A-4C17-AF94-8449A75F13F7}"/>
    <cellStyle name="Comma 3 9 4 3 2 7" xfId="14323" xr:uid="{55250DB6-E93C-4CD8-8EED-3C53FDDE227D}"/>
    <cellStyle name="Comma 3 9 4 3 3" xfId="2306" xr:uid="{10D7B639-C0E3-4C00-BDF5-F6FE9CF848A2}"/>
    <cellStyle name="Comma 3 9 4 3 3 2" xfId="4026" xr:uid="{02FABF57-0FC2-41D9-88DE-E6960B9C37A8}"/>
    <cellStyle name="Comma 3 9 4 3 3 3" xfId="7952" xr:uid="{5113B8DC-522A-42A7-9556-BED5C163A8AA}"/>
    <cellStyle name="Comma 3 9 4 3 3 4" xfId="9470" xr:uid="{9F7BA627-2F70-4EE0-A22B-2C1821D3DBAF}"/>
    <cellStyle name="Comma 3 9 4 3 3 5" xfId="13084" xr:uid="{D29F2F87-6EA9-4FAC-B7A4-10BE54C4A4D5}"/>
    <cellStyle name="Comma 3 9 4 3 3 6" xfId="14829" xr:uid="{A504E59F-75A3-4492-9910-201CC0F3360A}"/>
    <cellStyle name="Comma 3 9 4 3 4" xfId="4999" xr:uid="{07F26B36-1998-454B-B849-24F99A60D938}"/>
    <cellStyle name="Comma 3 9 4 3 4 2" xfId="10468" xr:uid="{3288016B-4A5C-48D9-A7BE-14F653E0E132}"/>
    <cellStyle name="Comma 3 9 4 3 5" xfId="5496" xr:uid="{F85E0001-53CC-4E1E-8810-FB0F08F28687}"/>
    <cellStyle name="Comma 3 9 4 3 5 2" xfId="10970" xr:uid="{25E67F97-C692-46E1-B58A-C47A5A494CF3}"/>
    <cellStyle name="Comma 3 9 4 3 6" xfId="5998" xr:uid="{F063EDD3-661A-4523-A8F2-0E0ED169098E}"/>
    <cellStyle name="Comma 3 9 4 3 6 2" xfId="11472" xr:uid="{75D7755D-E64E-41FD-AA4E-FF87407EEB75}"/>
    <cellStyle name="Comma 3 9 4 3 7" xfId="3017" xr:uid="{7F343345-E9A9-4F9D-9DAC-8AA8A830FB82}"/>
    <cellStyle name="Comma 3 9 4 3 8" xfId="6938" xr:uid="{7F189447-105E-4B78-8070-6FA1BD344779}"/>
    <cellStyle name="Comma 3 9 4 3 9" xfId="8462" xr:uid="{010E5AB0-6931-4665-9EDA-3B89A8267A50}"/>
    <cellStyle name="Comma 3 9 4 4" xfId="1550" xr:uid="{E6597FAC-6476-4105-80A0-DB2E8D45A402}"/>
    <cellStyle name="Comma 3 9 4 4 2" xfId="4273" xr:uid="{92F66995-33EC-47E4-8A00-436204A696C4}"/>
    <cellStyle name="Comma 3 9 4 4 2 2" xfId="9718" xr:uid="{B0469FCA-F8A3-437A-9DEC-9B87B17AB761}"/>
    <cellStyle name="Comma 3 9 4 4 3" xfId="3263" xr:uid="{4CB88344-6C52-4DAD-B6AA-BFCD94F1D42E}"/>
    <cellStyle name="Comma 3 9 4 4 4" xfId="7196" xr:uid="{E98D9F47-1159-4E57-9A95-7EAE59DEF9D3}"/>
    <cellStyle name="Comma 3 9 4 4 5" xfId="8710" xr:uid="{0DB272E2-48AA-4746-BEF0-86BDC19F9550}"/>
    <cellStyle name="Comma 3 9 4 4 6" xfId="12330" xr:uid="{068555FC-E233-4B79-B596-16659957A622}"/>
    <cellStyle name="Comma 3 9 4 4 7" xfId="14075" xr:uid="{0C1B8153-0E34-48D0-A1D5-017853BF265B}"/>
    <cellStyle name="Comma 3 9 4 5" xfId="2058" xr:uid="{FE773DFF-9297-48B3-BE52-D1167CFDD26C}"/>
    <cellStyle name="Comma 3 9 4 5 2" xfId="3778" xr:uid="{AC2DD10B-7FAB-49D3-9CCC-9492AEDDE8A9}"/>
    <cellStyle name="Comma 3 9 4 5 3" xfId="7704" xr:uid="{37E68921-8D29-4B66-99A4-05A62D1956DA}"/>
    <cellStyle name="Comma 3 9 4 5 4" xfId="9222" xr:uid="{87E40AC2-6455-4D6B-9992-CFB4D95F4828}"/>
    <cellStyle name="Comma 3 9 4 5 5" xfId="12836" xr:uid="{C661A6DF-B5F6-440A-A84F-D9D2C1A2F95E}"/>
    <cellStyle name="Comma 3 9 4 5 6" xfId="14581" xr:uid="{BBFF6304-A4D4-46ED-8F89-3275D9D80A96}"/>
    <cellStyle name="Comma 3 9 4 6" xfId="4769" xr:uid="{2B089A7C-5DB1-4689-A980-A5C5A3A20C76}"/>
    <cellStyle name="Comma 3 9 4 6 2" xfId="10220" xr:uid="{401E9FF2-E0A9-47DF-B670-07EBB2811F96}"/>
    <cellStyle name="Comma 3 9 4 7" xfId="5248" xr:uid="{9B03DC39-C737-4EC6-9B04-0681AE8F10A9}"/>
    <cellStyle name="Comma 3 9 4 7 2" xfId="10722" xr:uid="{A88E14A5-0DCA-4F0E-8F08-1680BCC33875}"/>
    <cellStyle name="Comma 3 9 4 8" xfId="5750" xr:uid="{18B7D2B4-BE67-4F41-B3A0-1306754ABAB3}"/>
    <cellStyle name="Comma 3 9 4 8 2" xfId="11224" xr:uid="{774B0BE9-B619-4546-9328-35D6304C63E9}"/>
    <cellStyle name="Comma 3 9 4 9" xfId="2785" xr:uid="{1152CA99-8300-429A-AF13-1A6FD577E7F9}"/>
    <cellStyle name="Comma 3 9 5" xfId="1097" xr:uid="{82026456-F1AD-4E49-BB34-B7F2F5B9196E}"/>
    <cellStyle name="Comma 3 9 5 10" xfId="8267" xr:uid="{7F0AB058-63EB-459C-B717-8829A7253F42}"/>
    <cellStyle name="Comma 3 9 5 11" xfId="11877" xr:uid="{380DBE18-B070-466B-AB21-9F7C82472EE6}"/>
    <cellStyle name="Comma 3 9 5 12" xfId="13622" xr:uid="{CD587C9F-059C-48D2-963C-A43FAAD7ABDD}"/>
    <cellStyle name="Comma 3 9 5 2" xfId="1345" xr:uid="{FEF031BA-F8FD-4D7B-A90D-28A48E3F7D75}"/>
    <cellStyle name="Comma 3 9 5 2 10" xfId="12125" xr:uid="{0F78D637-80AC-4713-8DA9-0813FBD7CC6B}"/>
    <cellStyle name="Comma 3 9 5 2 11" xfId="13870" xr:uid="{1AF68964-9CC8-47E3-B8D3-781A74CB4612}"/>
    <cellStyle name="Comma 3 9 5 2 2" xfId="1851" xr:uid="{042DCB7A-1B17-4466-B934-FFC035272705}"/>
    <cellStyle name="Comma 3 9 5 2 2 2" xfId="4573" xr:uid="{F74BD343-688F-458D-B521-6F6569B7EC03}"/>
    <cellStyle name="Comma 3 9 5 2 2 2 2" xfId="10019" xr:uid="{C7DD53DD-1102-4280-9AFC-1F9BC98E9627}"/>
    <cellStyle name="Comma 3 9 5 2 2 3" xfId="3563" xr:uid="{6127D674-DCF5-4911-9F62-794F7DFC79B7}"/>
    <cellStyle name="Comma 3 9 5 2 2 4" xfId="7497" xr:uid="{85748139-F8AB-4216-8C49-E7FB528F982A}"/>
    <cellStyle name="Comma 3 9 5 2 2 5" xfId="9011" xr:uid="{EC5ECEF5-74D9-42D8-BC90-C1A0EF5D55A5}"/>
    <cellStyle name="Comma 3 9 5 2 2 6" xfId="12631" xr:uid="{E76049DC-E90B-4B5A-9878-065F0F56511B}"/>
    <cellStyle name="Comma 3 9 5 2 2 7" xfId="14376" xr:uid="{9D65641F-6F5C-47F2-8CDA-6C2AEE4A68B7}"/>
    <cellStyle name="Comma 3 9 5 2 3" xfId="2359" xr:uid="{BE4D2D67-DD08-40E6-A9E7-B0EDEEBED995}"/>
    <cellStyle name="Comma 3 9 5 2 3 2" xfId="4079" xr:uid="{0C5A9842-17B6-47B7-B816-44F14C92FE58}"/>
    <cellStyle name="Comma 3 9 5 2 3 3" xfId="8005" xr:uid="{65D83C67-3601-49CA-ADC6-36D019BC62A5}"/>
    <cellStyle name="Comma 3 9 5 2 3 4" xfId="9523" xr:uid="{FC410F94-3785-40E4-B57E-B9AEC4B0C858}"/>
    <cellStyle name="Comma 3 9 5 2 3 5" xfId="13137" xr:uid="{63A51E17-873D-49E1-BF1F-9FC7D30063F1}"/>
    <cellStyle name="Comma 3 9 5 2 3 6" xfId="14882" xr:uid="{15CAEA67-849A-4950-A7C2-34DBF1BE3843}"/>
    <cellStyle name="Comma 3 9 5 2 4" xfId="5051" xr:uid="{E2D7D043-E1A0-4431-BBF1-F018AB47DB22}"/>
    <cellStyle name="Comma 3 9 5 2 4 2" xfId="10521" xr:uid="{B21C7430-8E34-482C-BFFA-3A7A750EB4A8}"/>
    <cellStyle name="Comma 3 9 5 2 5" xfId="5549" xr:uid="{87626F3C-59D3-4BAE-9F40-1E8F681724BE}"/>
    <cellStyle name="Comma 3 9 5 2 5 2" xfId="11023" xr:uid="{AE2C1065-64E4-4A89-AA8A-5423F0997296}"/>
    <cellStyle name="Comma 3 9 5 2 6" xfId="6051" xr:uid="{DA374EE3-F7E8-454F-ABED-67D6439DB61C}"/>
    <cellStyle name="Comma 3 9 5 2 6 2" xfId="11525" xr:uid="{A3AA6C08-F2F0-4237-B832-157556C0A3BF}"/>
    <cellStyle name="Comma 3 9 5 2 7" xfId="3069" xr:uid="{5F8AF422-2BB1-485A-B5F6-5811F5111E58}"/>
    <cellStyle name="Comma 3 9 5 2 8" xfId="6991" xr:uid="{7229BCB7-9EE8-42C0-BBC0-CC2AA358B374}"/>
    <cellStyle name="Comma 3 9 5 2 9" xfId="8515" xr:uid="{FE2A99D6-576C-4DF9-8D97-C80931B21576}"/>
    <cellStyle name="Comma 3 9 5 3" xfId="1603" xr:uid="{5698CB44-ADE0-4FFF-8392-81FF806E7D76}"/>
    <cellStyle name="Comma 3 9 5 3 2" xfId="4325" xr:uid="{1E829DD5-4B6C-4281-BFEF-088A623D88C3}"/>
    <cellStyle name="Comma 3 9 5 3 2 2" xfId="9771" xr:uid="{77C89D24-F4D9-48E5-806E-81E559E4F7CB}"/>
    <cellStyle name="Comma 3 9 5 3 3" xfId="3315" xr:uid="{94EB455C-2754-46C2-A9B3-9041568D0D5C}"/>
    <cellStyle name="Comma 3 9 5 3 4" xfId="7249" xr:uid="{3D8B0F0A-95ED-4BAE-B202-8BD2B57C807F}"/>
    <cellStyle name="Comma 3 9 5 3 5" xfId="8763" xr:uid="{DB224B1F-70E3-49C9-8F8C-364F2DA4F7BF}"/>
    <cellStyle name="Comma 3 9 5 3 6" xfId="12383" xr:uid="{4BEBA161-CBFF-4983-8450-88ED94E9D1C0}"/>
    <cellStyle name="Comma 3 9 5 3 7" xfId="14128" xr:uid="{0021E986-3B85-4AF9-82EF-A27BCC20D8A6}"/>
    <cellStyle name="Comma 3 9 5 4" xfId="2111" xr:uid="{65E2F265-5CE7-442A-B1A5-C950DB54AEBE}"/>
    <cellStyle name="Comma 3 9 5 4 2" xfId="3831" xr:uid="{9217EA06-CBFC-4A46-8BA7-1264C38F4886}"/>
    <cellStyle name="Comma 3 9 5 4 3" xfId="7757" xr:uid="{A52B0D33-E67A-485E-AFB5-B65983E597C6}"/>
    <cellStyle name="Comma 3 9 5 4 4" xfId="9275" xr:uid="{351DFA2C-5CD0-4E03-9FAD-DB73A4BFA09F}"/>
    <cellStyle name="Comma 3 9 5 4 5" xfId="12889" xr:uid="{F6BB1A2A-7DDB-4996-822A-D3764C58BAE3}"/>
    <cellStyle name="Comma 3 9 5 4 6" xfId="14634" xr:uid="{4DBCFD54-E61F-4513-959D-B8DAF652120E}"/>
    <cellStyle name="Comma 3 9 5 5" xfId="4817" xr:uid="{8EB9F670-B90E-4909-BEF4-FB3EE3309476}"/>
    <cellStyle name="Comma 3 9 5 5 2" xfId="10273" xr:uid="{F3708287-2D21-4C5E-9FE3-33ADBB2AD32F}"/>
    <cellStyle name="Comma 3 9 5 6" xfId="5301" xr:uid="{A6C7F53A-6A83-4472-8234-C6357E893B89}"/>
    <cellStyle name="Comma 3 9 5 6 2" xfId="10775" xr:uid="{D7BF030A-C134-4B4B-80E8-42FEB0729B47}"/>
    <cellStyle name="Comma 3 9 5 7" xfId="5803" xr:uid="{30925754-C5DF-4868-A143-F32903D7BF48}"/>
    <cellStyle name="Comma 3 9 5 7 2" xfId="11277" xr:uid="{5C7167B8-AF51-4F43-8DCC-FCC648079D43}"/>
    <cellStyle name="Comma 3 9 5 8" xfId="2833" xr:uid="{FFB78C1D-BDA1-4306-9DE5-E81618DAD299}"/>
    <cellStyle name="Comma 3 9 5 9" xfId="6743" xr:uid="{A41AE1C7-1CC0-4F07-9092-43337BDD03D1}"/>
    <cellStyle name="Comma 3 9 6" xfId="1221" xr:uid="{C489F7E1-060E-415C-AD7B-5DD878C62E00}"/>
    <cellStyle name="Comma 3 9 6 10" xfId="12001" xr:uid="{242172BE-5972-4143-B04A-26D0712370AB}"/>
    <cellStyle name="Comma 3 9 6 11" xfId="13746" xr:uid="{142B4276-19AF-4374-8A72-35C925655FE6}"/>
    <cellStyle name="Comma 3 9 6 2" xfId="1727" xr:uid="{5C9527C4-8389-4095-AB6A-02C3C7A43557}"/>
    <cellStyle name="Comma 3 9 6 2 2" xfId="4449" xr:uid="{BFCB2FF6-6035-47D2-9957-ECA0E58C7A48}"/>
    <cellStyle name="Comma 3 9 6 2 2 2" xfId="9895" xr:uid="{02387760-7D04-40E7-B302-8214CBEF716A}"/>
    <cellStyle name="Comma 3 9 6 2 3" xfId="3439" xr:uid="{8A25F1DE-DCC8-4EEC-82D9-EAF429EE11CC}"/>
    <cellStyle name="Comma 3 9 6 2 4" xfId="7373" xr:uid="{2DC600FF-5348-4154-9FFA-BB4644851EFC}"/>
    <cellStyle name="Comma 3 9 6 2 5" xfId="8887" xr:uid="{4BCE0A7F-4D71-4678-9D20-BC61D2492D43}"/>
    <cellStyle name="Comma 3 9 6 2 6" xfId="12507" xr:uid="{37446047-C557-475D-8D72-937A0CC42239}"/>
    <cellStyle name="Comma 3 9 6 2 7" xfId="14252" xr:uid="{6BA184E5-E9D6-4F1B-A6EE-59011EA1BD76}"/>
    <cellStyle name="Comma 3 9 6 3" xfId="2235" xr:uid="{FDD6DF8E-C822-4369-AF75-6FF988ED8354}"/>
    <cellStyle name="Comma 3 9 6 3 2" xfId="3955" xr:uid="{DB183ED3-CFB4-4019-ADB2-B96D1C9D68E6}"/>
    <cellStyle name="Comma 3 9 6 3 3" xfId="7881" xr:uid="{4F933CB3-4AD6-407F-A599-FE86C990300D}"/>
    <cellStyle name="Comma 3 9 6 3 4" xfId="9399" xr:uid="{B01EA9C3-7221-44B0-A3AB-49E1235DD479}"/>
    <cellStyle name="Comma 3 9 6 3 5" xfId="13013" xr:uid="{3CC22753-F048-41FE-AC57-FFA379D134E6}"/>
    <cellStyle name="Comma 3 9 6 3 6" xfId="14758" xr:uid="{CEBA9109-789C-4887-AEFE-DF2EA79006EA}"/>
    <cellStyle name="Comma 3 9 6 4" xfId="4933" xr:uid="{B7F0E26B-293C-476B-8FE6-9FBB1D049EAE}"/>
    <cellStyle name="Comma 3 9 6 4 2" xfId="10397" xr:uid="{70434F87-038C-47FA-9CC6-BC4AA99B4591}"/>
    <cellStyle name="Comma 3 9 6 5" xfId="5425" xr:uid="{516BCF55-E2FE-4D57-BC48-D18C9F9B6DC3}"/>
    <cellStyle name="Comma 3 9 6 5 2" xfId="10899" xr:uid="{250B5192-3E35-4A18-965C-03B719F70FC7}"/>
    <cellStyle name="Comma 3 9 6 6" xfId="5927" xr:uid="{30D1A04E-B462-4EEF-AF11-6BFBBF95C317}"/>
    <cellStyle name="Comma 3 9 6 6 2" xfId="11401" xr:uid="{2CDF9F58-E473-424C-B21B-8B675C93BBF1}"/>
    <cellStyle name="Comma 3 9 6 7" xfId="2951" xr:uid="{7605B9A3-6512-4752-905F-9B127163E883}"/>
    <cellStyle name="Comma 3 9 6 8" xfId="6867" xr:uid="{D7E0AECC-EF4F-4AA8-AE33-7F2422A4396E}"/>
    <cellStyle name="Comma 3 9 6 9" xfId="8391" xr:uid="{354A4065-0E59-40FE-B8FB-DD8AEC3FFD63}"/>
    <cellStyle name="Comma 3 9 7" xfId="1479" xr:uid="{16497940-2BD0-450C-8E69-625D05D21EC1}"/>
    <cellStyle name="Comma 3 9 7 2" xfId="4203" xr:uid="{321C4E62-FC41-4E86-9C6E-C80EF0F0A82F}"/>
    <cellStyle name="Comma 3 9 7 2 2" xfId="9647" xr:uid="{32C052D3-EDCB-43F0-A77F-20BFAC7F49F8}"/>
    <cellStyle name="Comma 3 9 7 3" xfId="3193" xr:uid="{255BBA7A-3D0F-41D1-A478-468061C82357}"/>
    <cellStyle name="Comma 3 9 7 4" xfId="7125" xr:uid="{783FBF9A-073B-4C6A-9566-B7F9FDDADFD6}"/>
    <cellStyle name="Comma 3 9 7 5" xfId="8639" xr:uid="{0E2EEE09-B856-4551-972E-DDA1648577BE}"/>
    <cellStyle name="Comma 3 9 7 6" xfId="12259" xr:uid="{DA0332D7-0030-4C7B-9AE1-24BDFEB1D04B}"/>
    <cellStyle name="Comma 3 9 7 7" xfId="14004" xr:uid="{9966767B-15DD-410A-97B1-080CE651EFC8}"/>
    <cellStyle name="Comma 3 9 8" xfId="1987" xr:uid="{9D5ACD04-416D-4F27-9067-2FAAF837D872}"/>
    <cellStyle name="Comma 3 9 8 2" xfId="3707" xr:uid="{360A09A3-1CE4-4C20-818A-97486F5B8743}"/>
    <cellStyle name="Comma 3 9 8 3" xfId="7633" xr:uid="{00E9CD75-7B30-4ADA-9C97-91D4429203F6}"/>
    <cellStyle name="Comma 3 9 8 4" xfId="9151" xr:uid="{D009A698-AE44-40F7-ACDB-67C6DBB83C88}"/>
    <cellStyle name="Comma 3 9 8 5" xfId="12765" xr:uid="{AED6DE78-7D44-4AF3-8B2F-857598269D4F}"/>
    <cellStyle name="Comma 3 9 8 6" xfId="14510" xr:uid="{A56861A1-5165-4CC2-86CA-9EFF01DDCC0A}"/>
    <cellStyle name="Comma 3 9 9" xfId="4703" xr:uid="{334E9114-8895-47E9-8704-9E47647C9890}"/>
    <cellStyle name="Comma 3 9 9 2" xfId="10149" xr:uid="{FC1239F2-B5BA-4255-89EE-8EC537639B88}"/>
    <cellStyle name="Comma 30" xfId="6239" xr:uid="{2ACA7BFA-ACA9-4870-AAB2-AF20DBFA8734}"/>
    <cellStyle name="Comma 30 2" xfId="11661" xr:uid="{0163DF53-94B2-41F4-88BC-129898E4A0E1}"/>
    <cellStyle name="Comma 31" xfId="6262" xr:uid="{01CD7837-F74D-45F1-AC9A-C93C17B94779}"/>
    <cellStyle name="Comma 31 2" xfId="11706" xr:uid="{70FEFC77-70A5-44FB-B4E3-AD392A9041B8}"/>
    <cellStyle name="Comma 32" xfId="6233" xr:uid="{FF92F750-D33F-4171-8741-155DF41A6E44}"/>
    <cellStyle name="Comma 32 2" xfId="11655" xr:uid="{BDFBEB9F-6B94-4656-AD0C-7408E82B9F06}"/>
    <cellStyle name="Comma 33" xfId="6257" xr:uid="{DC86175E-B9C2-4568-B60D-103D9AA0C584}"/>
    <cellStyle name="Comma 33 2" xfId="11701" xr:uid="{B677943D-FC81-46B7-84CA-3543387D5084}"/>
    <cellStyle name="Comma 34" xfId="6261" xr:uid="{223FACDD-8BA1-4988-83B6-2D538F322F3F}"/>
    <cellStyle name="Comma 34 2" xfId="11705" xr:uid="{2ADEEB26-5276-40E4-8DFA-94B292674F39}"/>
    <cellStyle name="Comma 35" xfId="6258" xr:uid="{22B48C39-A420-4C2F-91A8-E7CFA679EF2A}"/>
    <cellStyle name="Comma 35 2" xfId="11702" xr:uid="{1E060608-A566-47E7-A255-45020125893E}"/>
    <cellStyle name="Comma 36" xfId="14991" xr:uid="{782E53DF-C0CA-4DEF-87FB-8382575BEB1C}"/>
    <cellStyle name="Comma 4" xfId="169" xr:uid="{00000000-0005-0000-0000-0000D5000000}"/>
    <cellStyle name="Comma 4 2" xfId="114" xr:uid="{00000000-0005-0000-0000-0000D6000000}"/>
    <cellStyle name="Comma 4 2 2" xfId="565" xr:uid="{DA454F90-5ECA-43DF-9A0F-D8941468BDB8}"/>
    <cellStyle name="Comma 4 3" xfId="556" xr:uid="{977D02A7-75EB-48A3-AAE5-A9C08C06C0D8}"/>
    <cellStyle name="Comma 5" xfId="30" xr:uid="{00000000-0005-0000-0000-0000D7000000}"/>
    <cellStyle name="Comma 5 2" xfId="236" xr:uid="{00000000-0005-0000-0000-0000D8000000}"/>
    <cellStyle name="Comma 5 2 2" xfId="2518" xr:uid="{BDFA24E1-9A10-4ECF-938E-65EF3727F382}"/>
    <cellStyle name="Comma 5 2 2 2" xfId="6574" xr:uid="{50337618-2191-4297-91C2-6E1645D08E41}"/>
    <cellStyle name="Comma 5 2 3" xfId="743" xr:uid="{26358691-60CD-4A16-BE00-516355C344D8}"/>
    <cellStyle name="Comma 5 3" xfId="6224" xr:uid="{8C844A56-99B6-4683-AF59-0DBAD2735E69}"/>
    <cellStyle name="Comma 6" xfId="234" xr:uid="{00000000-0005-0000-0000-0000D9000000}"/>
    <cellStyle name="Comma 6 2" xfId="380" xr:uid="{00000000-0005-0000-0000-0000DA000000}"/>
    <cellStyle name="Comma 6 2 2" xfId="2588" xr:uid="{2D0E45AA-D259-4ECF-AB3A-BF6E62DD80EE}"/>
    <cellStyle name="Comma 6 2 2 2" xfId="6575" xr:uid="{6D91ACDF-D508-40AB-98F1-5A07BF4743BD}"/>
    <cellStyle name="Comma 6 2 3" xfId="6355" xr:uid="{F8AEBD6F-7329-40E4-864B-93497A321D4C}"/>
    <cellStyle name="Comma 6 2 4" xfId="13334" xr:uid="{D03376EA-EFB6-48D9-9592-D8BCBFE5A67B}"/>
    <cellStyle name="Comma 6 2 5" xfId="744" xr:uid="{576EBA67-907D-4195-AA78-2138071AB8E9}"/>
    <cellStyle name="Comma 6 3" xfId="431" xr:uid="{00000000-0005-0000-0000-0000DB000000}"/>
    <cellStyle name="Comma 6 3 2" xfId="6406" xr:uid="{2B69E417-08A4-4C45-BB03-039CC78C00C3}"/>
    <cellStyle name="Comma 6 3 3" xfId="11686" xr:uid="{1B367EB0-7C6C-4356-BFAB-1FF8E4D45000}"/>
    <cellStyle name="Comma 6 3 4" xfId="13385" xr:uid="{84535B83-BB76-4B30-97A3-503B676FC8E6}"/>
    <cellStyle name="Comma 6 3 5" xfId="2639" xr:uid="{BE8FFC7C-A0F1-4CBB-8641-862586E9BDC1}"/>
    <cellStyle name="Comma 6 4" xfId="488" xr:uid="{00000000-0005-0000-0000-0000DC000000}"/>
    <cellStyle name="Comma 6 4 2" xfId="6462" xr:uid="{47A797A0-BA49-4E77-8A0C-0EEDAECDF3BF}"/>
    <cellStyle name="Comma 6 4 3" xfId="13441" xr:uid="{057A3337-5E74-4CCC-832B-26F44A29A19F}"/>
    <cellStyle name="Comma 6 4 4" xfId="2695" xr:uid="{498C0217-FE02-46ED-850E-3DC27312B6AE}"/>
    <cellStyle name="Comma 6 5" xfId="2516" xr:uid="{91459543-890B-46B4-9CA4-711FA8D584D5}"/>
    <cellStyle name="Comma 6 5 2" xfId="6482" xr:uid="{781BC026-D067-4CE1-AADD-9F609DD59E95}"/>
    <cellStyle name="Comma 6 6" xfId="6304" xr:uid="{5847DEAB-91EB-4F3D-8E6B-7D8366D60026}"/>
    <cellStyle name="Comma 6 7" xfId="13283" xr:uid="{B2A0AB85-A2FC-4128-A313-9F4600098FCF}"/>
    <cellStyle name="Comma 6 8" xfId="512" xr:uid="{247E7DCF-6B28-4418-9837-EE96E5454051}"/>
    <cellStyle name="Comma 7" xfId="99" xr:uid="{00000000-0005-0000-0000-0000DD000000}"/>
    <cellStyle name="Comma 7 10" xfId="11713" xr:uid="{FC5A2861-4443-4C03-A557-E63B22185EF1}"/>
    <cellStyle name="Comma 7 11" xfId="13258" xr:uid="{98694F63-3256-4395-AC9E-E7B58F132B32}"/>
    <cellStyle name="Comma 7 12" xfId="513" xr:uid="{44AEFF80-3F1C-4705-BCC6-4A7AB0C1AA73}"/>
    <cellStyle name="Comma 7 2" xfId="164" xr:uid="{00000000-0005-0000-0000-0000DE000000}"/>
    <cellStyle name="Comma 7 2 10" xfId="13262" xr:uid="{0B69AF0A-3D14-498E-8F85-B420C6272E54}"/>
    <cellStyle name="Comma 7 2 11" xfId="514" xr:uid="{428C6C5B-2FA4-4698-91A1-3539A394EF7F}"/>
    <cellStyle name="Comma 7 2 2" xfId="334" xr:uid="{00000000-0005-0000-0000-0000DF000000}"/>
    <cellStyle name="Comma 7 2 2 2" xfId="387" xr:uid="{00000000-0005-0000-0000-0000E0000000}"/>
    <cellStyle name="Comma 7 2 2 2 2" xfId="6362" xr:uid="{AE37D7A2-D47C-437E-A3AD-5C6705569F43}"/>
    <cellStyle name="Comma 7 2 2 2 3" xfId="11693" xr:uid="{3A5FBEC1-0F58-435A-931E-41E534CB5094}"/>
    <cellStyle name="Comma 7 2 2 2 4" xfId="13341" xr:uid="{8364130E-F863-432D-A4D1-BEABD6E22B57}"/>
    <cellStyle name="Comma 7 2 2 2 5" xfId="2595" xr:uid="{7CC8CF8A-2996-44EA-A188-7EB60618985B}"/>
    <cellStyle name="Comma 7 2 2 3" xfId="438" xr:uid="{00000000-0005-0000-0000-0000E1000000}"/>
    <cellStyle name="Comma 7 2 2 3 2" xfId="6413" xr:uid="{ECB0F2FA-B827-4BE6-AC10-155E578E7707}"/>
    <cellStyle name="Comma 7 2 2 3 3" xfId="13392" xr:uid="{4EFDC387-590B-4C8E-921C-065E05B2F95D}"/>
    <cellStyle name="Comma 7 2 2 3 4" xfId="2646" xr:uid="{1E73D05B-8061-47D0-B5A7-5CDD0A65FAE1}"/>
    <cellStyle name="Comma 7 2 2 4" xfId="495" xr:uid="{00000000-0005-0000-0000-0000E2000000}"/>
    <cellStyle name="Comma 7 2 2 4 2" xfId="6469" xr:uid="{6577C9FB-B6C1-44A6-B0D3-0C7E12F5AFE3}"/>
    <cellStyle name="Comma 7 2 2 4 3" xfId="13448" xr:uid="{A679C963-6ACC-4E4D-8E1E-41581926446D}"/>
    <cellStyle name="Comma 7 2 2 4 4" xfId="2702" xr:uid="{FE08245F-FE22-48AD-A7D5-4002E0AEA3C3}"/>
    <cellStyle name="Comma 7 2 2 5" xfId="2543" xr:uid="{E2A7FDC5-BAB2-495C-963C-27ABFB788C72}"/>
    <cellStyle name="Comma 7 2 2 5 2" xfId="6577" xr:uid="{BEA8F316-D617-4E56-AD5E-B868DC5CEEBC}"/>
    <cellStyle name="Comma 7 2 2 6" xfId="6311" xr:uid="{4C0C2BAC-4470-474E-9B30-F42DE66614F9}"/>
    <cellStyle name="Comma 7 2 2 7" xfId="13290" xr:uid="{74F1208E-2A06-43E4-857F-EFC3FD49F64B}"/>
    <cellStyle name="Comma 7 2 2 8" xfId="746" xr:uid="{16A8447E-05D3-4A9E-B350-7F0E45C3A072}"/>
    <cellStyle name="Comma 7 2 3" xfId="346" xr:uid="{00000000-0005-0000-0000-0000E3000000}"/>
    <cellStyle name="Comma 7 2 3 2" xfId="2554" xr:uid="{5722A7F4-048D-4CCC-81D9-B914EEFA55DA}"/>
    <cellStyle name="Comma 7 2 3 2 2" xfId="6514" xr:uid="{033316E8-F469-4CFA-98B1-89351D79B1F2}"/>
    <cellStyle name="Comma 7 2 3 2 3" xfId="13477" xr:uid="{B68DE25C-2D85-4CD5-B436-FB3D962FD9FB}"/>
    <cellStyle name="Comma 7 2 3 3" xfId="6322" xr:uid="{B1A048B1-177B-4FBF-B7A7-7FCDC2B2764D}"/>
    <cellStyle name="Comma 7 2 3 4" xfId="9130" xr:uid="{BD6C76D9-39EA-4979-932D-D2D05306EAD5}"/>
    <cellStyle name="Comma 7 2 3 5" xfId="11732" xr:uid="{8371EDC2-DA08-47A9-9085-F188468E036D}"/>
    <cellStyle name="Comma 7 2 3 6" xfId="13301" xr:uid="{551C2669-0029-43E2-B44D-C02E4F8AD529}"/>
    <cellStyle name="Comma 7 2 3 7" xfId="549" xr:uid="{A41FA71D-E1DC-4A09-8A31-0545FDD51F85}"/>
    <cellStyle name="Comma 7 2 4" xfId="398" xr:uid="{00000000-0005-0000-0000-0000E4000000}"/>
    <cellStyle name="Comma 7 2 4 2" xfId="2606" xr:uid="{8F1B7FAE-6E18-4DCE-A4B0-F3F11F2A8D6A}"/>
    <cellStyle name="Comma 7 2 4 2 2" xfId="7104" xr:uid="{064CDC33-2BBF-4A3E-91A9-6322DEB5F1CC}"/>
    <cellStyle name="Comma 7 2 4 2 3" xfId="13983" xr:uid="{E1D6BE75-8D9F-4F1F-B472-D31C0F37E70C}"/>
    <cellStyle name="Comma 7 2 4 3" xfId="6373" xr:uid="{EB35F9EF-D3A7-4A48-8895-5790B4C4135E}"/>
    <cellStyle name="Comma 7 2 4 4" xfId="11663" xr:uid="{1D81D73D-D022-4100-86C6-B967B211923F}"/>
    <cellStyle name="Comma 7 2 4 5" xfId="12238" xr:uid="{8309E5E2-B246-47A7-99D9-AE2694411094}"/>
    <cellStyle name="Comma 7 2 4 6" xfId="13352" xr:uid="{E2C37E9F-C6CA-492F-957F-24637D8D4AF9}"/>
    <cellStyle name="Comma 7 2 4 7" xfId="1458" xr:uid="{2D6FB36A-4F4A-469E-831C-07A06F43A559}"/>
    <cellStyle name="Comma 7 2 5" xfId="466" xr:uid="{00000000-0005-0000-0000-0000E5000000}"/>
    <cellStyle name="Comma 7 2 5 2" xfId="2674" xr:uid="{8C8E83C2-D346-4DB8-92E7-75E6CEE0E40C}"/>
    <cellStyle name="Comma 7 2 5 2 2" xfId="7611" xr:uid="{4ED60150-6B47-4066-977E-2D7579D8856D}"/>
    <cellStyle name="Comma 7 2 5 2 3" xfId="14489" xr:uid="{28601675-AEBC-440B-9D42-000CC89AB33D}"/>
    <cellStyle name="Comma 7 2 5 3" xfId="6441" xr:uid="{CC5F04C9-1417-4A5E-AA5A-597DC60C75C1}"/>
    <cellStyle name="Comma 7 2 5 4" xfId="12744" xr:uid="{AF2CA1E4-9FD0-4CBA-B609-0F08C4B333C1}"/>
    <cellStyle name="Comma 7 2 5 5" xfId="13420" xr:uid="{FEDEA623-F5E3-4E6B-89BA-48F9ED2FD9A5}"/>
    <cellStyle name="Comma 7 2 5 6" xfId="1965" xr:uid="{2A9F59B4-3382-49CC-B0AD-C7A4217E1351}"/>
    <cellStyle name="Comma 7 2 6" xfId="2491" xr:uid="{A6777BE7-4BC9-4864-AEAB-036D79BF5B26}"/>
    <cellStyle name="Comma 7 2 6 2" xfId="6484" xr:uid="{4E194837-F556-487C-BBBD-F646786EC102}"/>
    <cellStyle name="Comma 7 2 6 3" xfId="13459" xr:uid="{3979489D-5217-42A1-A899-9AD6E3E055C2}"/>
    <cellStyle name="Comma 7 2 7" xfId="6283" xr:uid="{DD5BED0A-EC0A-4AB5-80F2-F97731392CEA}"/>
    <cellStyle name="Comma 7 2 8" xfId="8122" xr:uid="{1B4ADB2E-4837-4760-BEF0-DC67DD26210E}"/>
    <cellStyle name="Comma 7 2 9" xfId="11714" xr:uid="{026607C2-0363-483C-8771-05A6525BC993}"/>
    <cellStyle name="Comma 7 3" xfId="284" xr:uid="{00000000-0005-0000-0000-0000E6000000}"/>
    <cellStyle name="Comma 7 3 2" xfId="383" xr:uid="{00000000-0005-0000-0000-0000E7000000}"/>
    <cellStyle name="Comma 7 3 2 2" xfId="6358" xr:uid="{7F4D6529-6E41-4A64-B6DA-47DAD5DB3629}"/>
    <cellStyle name="Comma 7 3 2 3" xfId="11689" xr:uid="{C401A6C4-B7EB-44A0-8A2B-198D7357D0EC}"/>
    <cellStyle name="Comma 7 3 2 4" xfId="13337" xr:uid="{E0E1D45D-7894-407C-B323-9DF0E02CC73C}"/>
    <cellStyle name="Comma 7 3 2 5" xfId="2591" xr:uid="{442676F8-467F-4027-9230-83D5FE2D879F}"/>
    <cellStyle name="Comma 7 3 3" xfId="434" xr:uid="{00000000-0005-0000-0000-0000E8000000}"/>
    <cellStyle name="Comma 7 3 3 2" xfId="6409" xr:uid="{5E5A03F1-426D-4BD6-9CAC-ECE156C188DA}"/>
    <cellStyle name="Comma 7 3 3 3" xfId="13388" xr:uid="{E8B17B73-AAC6-4E28-A190-2F00FC1ED25B}"/>
    <cellStyle name="Comma 7 3 3 4" xfId="2642" xr:uid="{8C6B27C2-46E0-4F0C-B055-43AFB14003F6}"/>
    <cellStyle name="Comma 7 3 4" xfId="491" xr:uid="{00000000-0005-0000-0000-0000E9000000}"/>
    <cellStyle name="Comma 7 3 4 2" xfId="6465" xr:uid="{38CC53E5-2EEB-43BE-99DD-87D28970F3C9}"/>
    <cellStyle name="Comma 7 3 4 3" xfId="13444" xr:uid="{B8C7C4B5-5856-4BCA-930D-D1B7238EB9DB}"/>
    <cellStyle name="Comma 7 3 4 4" xfId="2698" xr:uid="{013D2DC6-4739-45B7-A91A-8A23BC74AE36}"/>
    <cellStyle name="Comma 7 3 5" xfId="2533" xr:uid="{E072F137-A1DF-4CBD-A8A5-BEE92CB5BB86}"/>
    <cellStyle name="Comma 7 3 5 2" xfId="6576" xr:uid="{C6A8BC9B-ACAD-4EF7-900F-5DC21CB3FEEA}"/>
    <cellStyle name="Comma 7 3 6" xfId="6307" xr:uid="{31B318CB-A240-4B4F-866F-49C3A71A632D}"/>
    <cellStyle name="Comma 7 3 7" xfId="13286" xr:uid="{92991F5A-4323-4528-9D49-14F57D134215}"/>
    <cellStyle name="Comma 7 3 8" xfId="745" xr:uid="{CB1A44AD-7973-4D2F-ADE5-E9B80981BF04}"/>
    <cellStyle name="Comma 7 4" xfId="342" xr:uid="{00000000-0005-0000-0000-0000EA000000}"/>
    <cellStyle name="Comma 7 4 2" xfId="2550" xr:uid="{158DF4A6-C7C9-4BB8-B7A1-EFB46D3B7DCC}"/>
    <cellStyle name="Comma 7 4 2 2" xfId="6510" xr:uid="{E96693DE-BF9D-4DFB-B8F7-84AA54CFB9AA}"/>
    <cellStyle name="Comma 7 4 2 3" xfId="13473" xr:uid="{1222D8EA-83A2-4815-A40C-25AE628A5541}"/>
    <cellStyle name="Comma 7 4 3" xfId="6318" xr:uid="{1FA2AA5D-EDAC-4BED-8723-D03D62896D68}"/>
    <cellStyle name="Comma 7 4 4" xfId="9126" xr:uid="{B32A1056-542B-4027-89B0-8C8C89AD9416}"/>
    <cellStyle name="Comma 7 4 5" xfId="11728" xr:uid="{35358903-4EA6-4E00-B733-978993A494C6}"/>
    <cellStyle name="Comma 7 4 6" xfId="13297" xr:uid="{230ED5F4-C0E9-41CF-A755-5433617BA72C}"/>
    <cellStyle name="Comma 7 4 7" xfId="545" xr:uid="{F1AFFB65-3BFE-496A-A46D-E55191245A09}"/>
    <cellStyle name="Comma 7 5" xfId="394" xr:uid="{00000000-0005-0000-0000-0000EB000000}"/>
    <cellStyle name="Comma 7 5 2" xfId="2602" xr:uid="{ACAB8DC6-2A07-4001-B099-092D3E2367B0}"/>
    <cellStyle name="Comma 7 5 2 2" xfId="7100" xr:uid="{C0D99409-F7FB-4DB8-BD91-0802E559C4C1}"/>
    <cellStyle name="Comma 7 5 2 3" xfId="13979" xr:uid="{4DD856B5-E560-4725-AACB-D8A63C992186}"/>
    <cellStyle name="Comma 7 5 3" xfId="6369" xr:uid="{B7ED6B9E-AD40-4947-8AE1-090D24684FE8}"/>
    <cellStyle name="Comma 7 5 4" xfId="11658" xr:uid="{2E88E265-CCAF-4C4D-A27B-BF29AD6712F8}"/>
    <cellStyle name="Comma 7 5 5" xfId="12234" xr:uid="{C22069CC-C807-497B-8A47-0A1E8761FD10}"/>
    <cellStyle name="Comma 7 5 6" xfId="13348" xr:uid="{048859CA-018C-412E-9189-9578723C2CAD}"/>
    <cellStyle name="Comma 7 5 7" xfId="1454" xr:uid="{645C61AD-9D9D-407A-B6D4-D27D797BF218}"/>
    <cellStyle name="Comma 7 6" xfId="462" xr:uid="{00000000-0005-0000-0000-0000EC000000}"/>
    <cellStyle name="Comma 7 6 2" xfId="2670" xr:uid="{5D3BF9DD-3999-4AFF-BA60-C5325E83B097}"/>
    <cellStyle name="Comma 7 6 2 2" xfId="7607" xr:uid="{A90AC78F-BF8F-4E67-BD7C-3437CFD161E5}"/>
    <cellStyle name="Comma 7 6 2 3" xfId="14485" xr:uid="{482E2A15-89CF-4C71-963E-F885E1929364}"/>
    <cellStyle name="Comma 7 6 3" xfId="6437" xr:uid="{4673F485-FC6B-4452-819B-59C88AA3D6A8}"/>
    <cellStyle name="Comma 7 6 4" xfId="12740" xr:uid="{3C47A8A9-9F91-41F9-ADB6-7FE0CB3BF40E}"/>
    <cellStyle name="Comma 7 6 5" xfId="13416" xr:uid="{9A806CEF-6041-4B76-80A2-6156AA4ACA13}"/>
    <cellStyle name="Comma 7 6 6" xfId="1961" xr:uid="{2B158817-DE8E-4AD2-9074-BC0696D6B767}"/>
    <cellStyle name="Comma 7 7" xfId="2486" xr:uid="{B8EC4712-BEFA-4839-84E3-BE95585C4170}"/>
    <cellStyle name="Comma 7 7 2" xfId="6483" xr:uid="{EC781FF7-7CF2-419F-BFDB-7D7838F5889A}"/>
    <cellStyle name="Comma 7 7 3" xfId="13458" xr:uid="{1F2CF77F-B0EC-4113-8047-212070269A12}"/>
    <cellStyle name="Comma 7 8" xfId="6279" xr:uid="{0F454FDF-0B61-4280-958E-08B40609078D}"/>
    <cellStyle name="Comma 7 9" xfId="8118" xr:uid="{8E26EB09-CB2B-428C-983D-21CEEA56824F}"/>
    <cellStyle name="Comma 8" xfId="459" xr:uid="{00000000-0005-0000-0000-0000ED000000}"/>
    <cellStyle name="Comma 8 2" xfId="748" xr:uid="{0E297086-58D2-4FE8-A690-95E051769636}"/>
    <cellStyle name="Comma 8 3" xfId="747" xr:uid="{9957BF79-5356-472C-9DB3-FD9D9E95A765}"/>
    <cellStyle name="Comma 8 4" xfId="2667" xr:uid="{FE674710-B298-4471-9BC0-1F604AF11675}"/>
    <cellStyle name="Comma 8 4 2" xfId="6499" xr:uid="{10FB75BB-2ACF-49B2-9900-E31A07463C35}"/>
    <cellStyle name="Comma 8 5" xfId="6434" xr:uid="{01DED393-C4B2-4F06-8575-488641C30A63}"/>
    <cellStyle name="Comma 8 6" xfId="13413" xr:uid="{CFE3558C-B52F-432D-BF5D-5D3D949FB8A6}"/>
    <cellStyle name="Comma 8 7" xfId="534" xr:uid="{4A9933A7-7B56-4384-836C-5380E460C366}"/>
    <cellStyle name="Comma 9" xfId="538" xr:uid="{29F102E4-E51B-4DE6-A776-2DBB43383358}"/>
    <cellStyle name="Comma 9 2" xfId="749" xr:uid="{200ED939-6F3A-4059-91A9-4F7AB47F1D87}"/>
    <cellStyle name="Comma 9 3" xfId="6503" xr:uid="{F08E45F4-A9D2-44C5-BF50-6300953B9FA5}"/>
    <cellStyle name="Comma 9 4" xfId="11722" xr:uid="{CF94D5D8-75C7-45C3-A41E-FC35544E873A}"/>
    <cellStyle name="Comma 9 5" xfId="13467" xr:uid="{82DA1607-5E17-4D8B-AF3E-1712BF77E4DD}"/>
    <cellStyle name="CommaBlank" xfId="750" xr:uid="{C419F7A6-5F0C-4730-A304-F7BED22DE65C}"/>
    <cellStyle name="CommaBlank 2" xfId="751" xr:uid="{A3EF6998-8704-47EE-845A-6B81D6255A86}"/>
    <cellStyle name="Currency" xfId="170" builtinId="4"/>
    <cellStyle name="Currency 10" xfId="752" xr:uid="{1FBF5134-72AD-4FE3-BA2B-8E5B376E2E26}"/>
    <cellStyle name="Currency 10 10" xfId="5167" xr:uid="{EB9FBCC8-16CB-4DA8-8506-842107743B29}"/>
    <cellStyle name="Currency 10 10 2" xfId="10637" xr:uid="{FAD47682-557E-4FCC-9764-8CC6DFF39061}"/>
    <cellStyle name="Currency 10 11" xfId="5665" xr:uid="{1A852C8E-8282-4281-AB26-E30777A5D709}"/>
    <cellStyle name="Currency 10 11 2" xfId="11139" xr:uid="{FC3A526A-6EF3-418C-9630-585EFCEDF620}"/>
    <cellStyle name="Currency 10 12" xfId="2488" xr:uid="{4817BD1B-992B-4A20-B4EB-9133ED901270}"/>
    <cellStyle name="Currency 10 13" xfId="6578" xr:uid="{30F20DE2-4D48-44A1-8D3A-90A0726BCD1A}"/>
    <cellStyle name="Currency 10 14" xfId="8129" xr:uid="{2E79EA36-66B9-4E23-B67E-CCF48E708F25}"/>
    <cellStyle name="Currency 10 15" xfId="11739" xr:uid="{91C4B54C-FFE4-4B4E-BA9A-607933F9D1CD}"/>
    <cellStyle name="Currency 10 16" xfId="13484" xr:uid="{F4A640C2-1E8B-42AB-90B2-0A771624B0B7}"/>
    <cellStyle name="Currency 10 2" xfId="975" xr:uid="{4C57A272-0CE4-4B8A-9926-B98C7E8FEE98}"/>
    <cellStyle name="Currency 10 2 10" xfId="2729" xr:uid="{1490630F-6DEF-41A4-89F4-437870FDC168}"/>
    <cellStyle name="Currency 10 2 11" xfId="6625" xr:uid="{A94BA100-C633-41A4-B1C1-0EE48E835531}"/>
    <cellStyle name="Currency 10 2 12" xfId="8151" xr:uid="{DA2B43DD-5C53-4341-8B9D-A796DCFDF44D}"/>
    <cellStyle name="Currency 10 2 13" xfId="11761" xr:uid="{9E28654C-AF04-4AEF-8C46-1BCD33D1D218}"/>
    <cellStyle name="Currency 10 2 14" xfId="13506" xr:uid="{2479E57B-04BC-4E30-A377-7CB956F7D376}"/>
    <cellStyle name="Currency 10 2 2" xfId="1048" xr:uid="{054FF607-C258-43AF-A08C-350220AE1FCD}"/>
    <cellStyle name="Currency 10 2 2 10" xfId="6694" xr:uid="{5A7B89AA-D328-4B7B-AC15-F634D84D0978}"/>
    <cellStyle name="Currency 10 2 2 11" xfId="8218" xr:uid="{3E601C88-0F30-4174-8825-6D2AB8AC5EDC}"/>
    <cellStyle name="Currency 10 2 2 12" xfId="11828" xr:uid="{C70A7554-F5DC-49DB-8438-CE98AFF5039B}"/>
    <cellStyle name="Currency 10 2 2 13" xfId="13573" xr:uid="{099FDAE0-86FF-492D-BDAD-D652354E31AC}"/>
    <cellStyle name="Currency 10 2 2 2" xfId="1172" xr:uid="{F95EC25A-E457-4445-A0FD-DA49B364D184}"/>
    <cellStyle name="Currency 10 2 2 2 10" xfId="8342" xr:uid="{7A2FCF0C-ED9E-4AEA-8C71-576DA7A8DA1D}"/>
    <cellStyle name="Currency 10 2 2 2 11" xfId="11952" xr:uid="{774FD1AC-E0FE-4610-9EFB-1EC1948D9E0D}"/>
    <cellStyle name="Currency 10 2 2 2 12" xfId="13697" xr:uid="{C0D9E1BC-24B0-4CE9-AC4F-1A45FEDCB898}"/>
    <cellStyle name="Currency 10 2 2 2 2" xfId="1420" xr:uid="{F45D4058-6668-47EA-A370-56A13A9E376D}"/>
    <cellStyle name="Currency 10 2 2 2 2 10" xfId="12200" xr:uid="{50F2AF2C-EF24-4D89-91C6-026F89E698B2}"/>
    <cellStyle name="Currency 10 2 2 2 2 11" xfId="13945" xr:uid="{25B836D7-16F7-4DFF-892E-46B45317234F}"/>
    <cellStyle name="Currency 10 2 2 2 2 2" xfId="1926" xr:uid="{7C351D4F-FE8F-4E57-ADCF-0E719AD7CFFD}"/>
    <cellStyle name="Currency 10 2 2 2 2 2 2" xfId="4648" xr:uid="{FC832D9D-C2B3-4123-9A01-5C22CC82387E}"/>
    <cellStyle name="Currency 10 2 2 2 2 2 2 2" xfId="10094" xr:uid="{9A7110AE-83BB-4F76-88A7-F10FD99992A3}"/>
    <cellStyle name="Currency 10 2 2 2 2 2 3" xfId="3638" xr:uid="{DFCD7640-08EE-45BC-BB54-1E1B2669D2CD}"/>
    <cellStyle name="Currency 10 2 2 2 2 2 4" xfId="7572" xr:uid="{8A4F3FA6-602C-4DB1-B9CF-35F7C7188B4A}"/>
    <cellStyle name="Currency 10 2 2 2 2 2 5" xfId="9086" xr:uid="{4B7260D5-7348-457E-961D-51C09CF133FC}"/>
    <cellStyle name="Currency 10 2 2 2 2 2 6" xfId="12706" xr:uid="{E8CEE8FA-C95F-4EC5-8985-37C4D1C5BB5C}"/>
    <cellStyle name="Currency 10 2 2 2 2 2 7" xfId="14451" xr:uid="{969A40A8-2C0A-417E-8FE8-D39232A64B9A}"/>
    <cellStyle name="Currency 10 2 2 2 2 3" xfId="2434" xr:uid="{41178C2C-4EAF-4236-9C4F-7439F800DB1F}"/>
    <cellStyle name="Currency 10 2 2 2 2 3 2" xfId="4154" xr:uid="{3D9D25DA-9271-4D33-8C26-AF6D3EDAA161}"/>
    <cellStyle name="Currency 10 2 2 2 2 3 3" xfId="8080" xr:uid="{DCB7A8D9-910C-47B2-B7D3-BEC1357B184D}"/>
    <cellStyle name="Currency 10 2 2 2 2 3 4" xfId="9598" xr:uid="{14DDACED-6648-48A4-9080-D82AA3A30D7A}"/>
    <cellStyle name="Currency 10 2 2 2 2 3 5" xfId="13212" xr:uid="{87F5E82D-F701-46E9-B0E0-E5EB9C11892A}"/>
    <cellStyle name="Currency 10 2 2 2 2 3 6" xfId="14957" xr:uid="{BD476ECF-38F0-4DF3-92E9-95052D431C5E}"/>
    <cellStyle name="Currency 10 2 2 2 2 4" xfId="5126" xr:uid="{E68571CE-D938-4B2B-82C3-DA0BB181580F}"/>
    <cellStyle name="Currency 10 2 2 2 2 4 2" xfId="10596" xr:uid="{B22A0D37-F2C5-4C12-AADC-DB2D6712AE55}"/>
    <cellStyle name="Currency 10 2 2 2 2 5" xfId="5624" xr:uid="{03EFA543-DB70-4377-9EDA-1CC9F68401F7}"/>
    <cellStyle name="Currency 10 2 2 2 2 5 2" xfId="11098" xr:uid="{97E808E8-A5D1-465B-A5FD-1E3D3F34492F}"/>
    <cellStyle name="Currency 10 2 2 2 2 6" xfId="6126" xr:uid="{2702541D-3EE2-49B3-951F-60544D502D10}"/>
    <cellStyle name="Currency 10 2 2 2 2 6 2" xfId="11600" xr:uid="{89D4E04F-16FB-49B0-81EE-BC4D30C85ACF}"/>
    <cellStyle name="Currency 10 2 2 2 2 7" xfId="3144" xr:uid="{B5E3A70B-CBCF-4467-8E78-FE8263DF9369}"/>
    <cellStyle name="Currency 10 2 2 2 2 8" xfId="7066" xr:uid="{B172D2CE-2DEA-4CB8-8E43-7FBA245AA286}"/>
    <cellStyle name="Currency 10 2 2 2 2 9" xfId="8590" xr:uid="{3213C09C-522A-461C-8433-3D21217E8B34}"/>
    <cellStyle name="Currency 10 2 2 2 3" xfId="1678" xr:uid="{0C5D26F5-1CB8-4F08-A285-1EEEB09EC6A2}"/>
    <cellStyle name="Currency 10 2 2 2 3 2" xfId="4400" xr:uid="{AE039B0D-3A2B-4975-A99F-59735D1E11E8}"/>
    <cellStyle name="Currency 10 2 2 2 3 2 2" xfId="9846" xr:uid="{978C7828-F9CD-4281-A4DD-81B7521DC7CB}"/>
    <cellStyle name="Currency 10 2 2 2 3 3" xfId="3390" xr:uid="{CEA49570-DFFE-4E57-9094-17B67702FB45}"/>
    <cellStyle name="Currency 10 2 2 2 3 4" xfId="7324" xr:uid="{6AAFA7CC-5B0E-4F71-B6CF-06AB509814F1}"/>
    <cellStyle name="Currency 10 2 2 2 3 5" xfId="8838" xr:uid="{59CCF7BB-2F48-4A8B-9B27-D148720EC2C4}"/>
    <cellStyle name="Currency 10 2 2 2 3 6" xfId="12458" xr:uid="{A86196EB-181D-40BC-91BA-0CA592736263}"/>
    <cellStyle name="Currency 10 2 2 2 3 7" xfId="14203" xr:uid="{647AF8BB-246F-4E34-AF9D-D2A8C5C44F77}"/>
    <cellStyle name="Currency 10 2 2 2 4" xfId="2186" xr:uid="{058D95B2-EB25-43DA-A56A-D1B11C99D08A}"/>
    <cellStyle name="Currency 10 2 2 2 4 2" xfId="3906" xr:uid="{11B3BA0F-67C9-4D17-9745-2BD4D280BB2A}"/>
    <cellStyle name="Currency 10 2 2 2 4 3" xfId="7832" xr:uid="{078A227E-EB65-4413-B477-5B6FAFAD7597}"/>
    <cellStyle name="Currency 10 2 2 2 4 4" xfId="9350" xr:uid="{72112FD3-A05A-421F-9120-7145E84EF791}"/>
    <cellStyle name="Currency 10 2 2 2 4 5" xfId="12964" xr:uid="{88A85936-FFA6-404B-86BE-D0F73AD6532D}"/>
    <cellStyle name="Currency 10 2 2 2 4 6" xfId="14709" xr:uid="{A49019A7-9F5F-41DC-92E6-3B8D7F225B33}"/>
    <cellStyle name="Currency 10 2 2 2 5" xfId="4887" xr:uid="{0138D728-3495-4754-AA77-ABE5D3F1D61F}"/>
    <cellStyle name="Currency 10 2 2 2 5 2" xfId="10348" xr:uid="{D1D0C9B8-A49B-4416-9B33-CB710989A269}"/>
    <cellStyle name="Currency 10 2 2 2 6" xfId="5376" xr:uid="{0E281F04-6EFD-4BE9-B8A1-B961C013D5CF}"/>
    <cellStyle name="Currency 10 2 2 2 6 2" xfId="10850" xr:uid="{5D1412F2-E7A5-4297-AFB4-61640920BB09}"/>
    <cellStyle name="Currency 10 2 2 2 7" xfId="5878" xr:uid="{1541D3C7-6855-4BD6-9D17-981E1C89AD62}"/>
    <cellStyle name="Currency 10 2 2 2 7 2" xfId="11352" xr:uid="{12307B8D-75AC-4C0A-8420-428C1C5AEEC5}"/>
    <cellStyle name="Currency 10 2 2 2 8" xfId="2903" xr:uid="{F536D7B3-C9B0-4CB8-B3E4-231D8E4B009A}"/>
    <cellStyle name="Currency 10 2 2 2 9" xfId="6818" xr:uid="{C59551B4-0CE5-4555-8D6C-57C413A522F4}"/>
    <cellStyle name="Currency 10 2 2 3" xfId="1296" xr:uid="{BC85B210-FE35-4E35-8260-FC9F9E77ABCA}"/>
    <cellStyle name="Currency 10 2 2 3 10" xfId="12076" xr:uid="{0BDA5F2E-B3E1-42B5-9682-CEAA64EFAC2E}"/>
    <cellStyle name="Currency 10 2 2 3 11" xfId="13821" xr:uid="{D94708E8-EC95-45CE-8559-51C610CCFE32}"/>
    <cellStyle name="Currency 10 2 2 3 2" xfId="1802" xr:uid="{2D8F2D9B-7BC4-4E68-A5CF-E79831084E76}"/>
    <cellStyle name="Currency 10 2 2 3 2 2" xfId="4524" xr:uid="{B61D744A-810C-4D1D-934A-2C81B94D07D6}"/>
    <cellStyle name="Currency 10 2 2 3 2 2 2" xfId="9970" xr:uid="{6E6188D1-ECA2-4487-9027-B795D191CE1D}"/>
    <cellStyle name="Currency 10 2 2 3 2 3" xfId="3514" xr:uid="{916BD224-F76B-44D8-B965-54C491F324F6}"/>
    <cellStyle name="Currency 10 2 2 3 2 4" xfId="7448" xr:uid="{2614B433-8F7F-47C0-AC3E-F9CDD7813CA8}"/>
    <cellStyle name="Currency 10 2 2 3 2 5" xfId="8962" xr:uid="{0AFE07F4-8065-449C-B9F2-E3028DD42ACA}"/>
    <cellStyle name="Currency 10 2 2 3 2 6" xfId="12582" xr:uid="{E8441AE8-4820-4527-A097-2446DC084854}"/>
    <cellStyle name="Currency 10 2 2 3 2 7" xfId="14327" xr:uid="{F880927C-13F1-4DF4-AD91-58E58AD7AA3D}"/>
    <cellStyle name="Currency 10 2 2 3 3" xfId="2310" xr:uid="{12554D42-59F6-479F-954F-E9CA18B62DC0}"/>
    <cellStyle name="Currency 10 2 2 3 3 2" xfId="4030" xr:uid="{8E138C6F-9C38-44BC-8E94-67046363CB88}"/>
    <cellStyle name="Currency 10 2 2 3 3 3" xfId="7956" xr:uid="{5821AE2B-75C0-47F5-B55F-103096745FFA}"/>
    <cellStyle name="Currency 10 2 2 3 3 4" xfId="9474" xr:uid="{7AF18F5C-2DE3-48A6-9CE7-672B7A29B070}"/>
    <cellStyle name="Currency 10 2 2 3 3 5" xfId="13088" xr:uid="{ED8D3F4F-25F6-44AE-B189-83B3F6C9A056}"/>
    <cellStyle name="Currency 10 2 2 3 3 6" xfId="14833" xr:uid="{CD8DBBD3-459A-4AD0-8344-00C991440683}"/>
    <cellStyle name="Currency 10 2 2 3 4" xfId="5003" xr:uid="{C80DCD04-F781-4FA1-989E-2926A8C751F6}"/>
    <cellStyle name="Currency 10 2 2 3 4 2" xfId="10472" xr:uid="{28E1DB5F-EABD-4EB2-9A38-29C35DCEB350}"/>
    <cellStyle name="Currency 10 2 2 3 5" xfId="5500" xr:uid="{7663B82D-D604-4ADC-8A38-93B7D4742612}"/>
    <cellStyle name="Currency 10 2 2 3 5 2" xfId="10974" xr:uid="{04D3E124-F4CE-4E88-B17D-925C81755E66}"/>
    <cellStyle name="Currency 10 2 2 3 6" xfId="6002" xr:uid="{E869B310-9F78-4F61-BA03-3F74768C45A3}"/>
    <cellStyle name="Currency 10 2 2 3 6 2" xfId="11476" xr:uid="{FAAF309D-CBC6-4D70-AAC9-BDF107C605A4}"/>
    <cellStyle name="Currency 10 2 2 3 7" xfId="3021" xr:uid="{11BD1C63-1ED4-4956-B75B-0BB5FB9A1175}"/>
    <cellStyle name="Currency 10 2 2 3 8" xfId="6942" xr:uid="{42D78495-0080-4B7A-BE6B-4A4C59747D6F}"/>
    <cellStyle name="Currency 10 2 2 3 9" xfId="8466" xr:uid="{4C4898CA-9A6E-458D-A3AF-B528DAD6AAEC}"/>
    <cellStyle name="Currency 10 2 2 4" xfId="1554" xr:uid="{70410EB2-39B3-4C94-ADC5-DFCD30325E90}"/>
    <cellStyle name="Currency 10 2 2 4 2" xfId="4277" xr:uid="{9BDB4CFF-C3F7-477F-9958-725BC179746E}"/>
    <cellStyle name="Currency 10 2 2 4 2 2" xfId="9722" xr:uid="{B7E0B3AE-5E9D-41CE-B921-6A55BBE86C33}"/>
    <cellStyle name="Currency 10 2 2 4 3" xfId="3267" xr:uid="{5AD32CCB-2710-4B22-8275-44BBBA582128}"/>
    <cellStyle name="Currency 10 2 2 4 4" xfId="7200" xr:uid="{9FFA490F-7C9A-4E18-950F-BB8A574BD0E2}"/>
    <cellStyle name="Currency 10 2 2 4 5" xfId="8714" xr:uid="{16345D8E-ADCC-419C-B31E-C988CE4AD34E}"/>
    <cellStyle name="Currency 10 2 2 4 6" xfId="12334" xr:uid="{59DE66FC-33FE-4873-9887-3B4BD9547F72}"/>
    <cellStyle name="Currency 10 2 2 4 7" xfId="14079" xr:uid="{1D63228E-A9BE-405B-B2E6-D2811AAA09A1}"/>
    <cellStyle name="Currency 10 2 2 5" xfId="2062" xr:uid="{0142D52E-83BC-4FEC-80AC-6C89211D89B5}"/>
    <cellStyle name="Currency 10 2 2 5 2" xfId="3782" xr:uid="{8FA3A97A-7FA3-43D7-B69D-FAC459405F3E}"/>
    <cellStyle name="Currency 10 2 2 5 3" xfId="7708" xr:uid="{E8860AED-EB11-4B4A-B791-EF8A5F8F57AB}"/>
    <cellStyle name="Currency 10 2 2 5 4" xfId="9226" xr:uid="{C350D399-4C2F-435C-8908-0C627701FF77}"/>
    <cellStyle name="Currency 10 2 2 5 5" xfId="12840" xr:uid="{5694CC12-2420-41CC-97E2-0AFC31C1E5BB}"/>
    <cellStyle name="Currency 10 2 2 5 6" xfId="14585" xr:uid="{9AD6BB2E-B23E-425E-9840-84237A2371A0}"/>
    <cellStyle name="Currency 10 2 2 6" xfId="4773" xr:uid="{7570CB0A-FA40-47BC-8D37-5B3F92C980FE}"/>
    <cellStyle name="Currency 10 2 2 6 2" xfId="10224" xr:uid="{7B61A028-2ADC-4555-A498-DFA9AD14C00C}"/>
    <cellStyle name="Currency 10 2 2 7" xfId="5252" xr:uid="{9CF06FB6-7205-46CB-BB8B-E3316C681D8B}"/>
    <cellStyle name="Currency 10 2 2 7 2" xfId="10726" xr:uid="{EE35661E-CF1B-437B-B511-A031E34CDFEE}"/>
    <cellStyle name="Currency 10 2 2 8" xfId="5754" xr:uid="{828F259F-7307-46A7-933C-9A64E8F09C71}"/>
    <cellStyle name="Currency 10 2 2 8 2" xfId="11228" xr:uid="{4192EF41-D3DD-48E1-8FBA-62D9D9262FF1}"/>
    <cellStyle name="Currency 10 2 2 9" xfId="2789" xr:uid="{7CC3EBEF-008A-4492-BC97-F7534CB278B9}"/>
    <cellStyle name="Currency 10 2 3" xfId="1105" xr:uid="{653FF49D-BB1E-4CBB-987B-798771A8EBFB}"/>
    <cellStyle name="Currency 10 2 3 10" xfId="8275" xr:uid="{F12FEFDC-414D-43BE-B95D-FC698274DA40}"/>
    <cellStyle name="Currency 10 2 3 11" xfId="11885" xr:uid="{47770704-E023-4666-B87D-112C85E8A395}"/>
    <cellStyle name="Currency 10 2 3 12" xfId="13630" xr:uid="{0174D4EF-B7CE-48FE-879B-8BB3067A1CEE}"/>
    <cellStyle name="Currency 10 2 3 2" xfId="1353" xr:uid="{8E1223DF-F47F-43D8-A6C6-D9FE5F85C27B}"/>
    <cellStyle name="Currency 10 2 3 2 10" xfId="12133" xr:uid="{BDA791A8-0597-4403-853A-392365EA552D}"/>
    <cellStyle name="Currency 10 2 3 2 11" xfId="13878" xr:uid="{DFA079DD-FBEB-48B4-8386-C0EC905A62DC}"/>
    <cellStyle name="Currency 10 2 3 2 2" xfId="1859" xr:uid="{6D39E04A-2453-4760-BFFE-DC4BBF9527D8}"/>
    <cellStyle name="Currency 10 2 3 2 2 2" xfId="4581" xr:uid="{BD7D509C-47C4-4DE6-8CC3-E099B9DC0018}"/>
    <cellStyle name="Currency 10 2 3 2 2 2 2" xfId="10027" xr:uid="{168D89E4-D693-47F8-9566-8000DDA27343}"/>
    <cellStyle name="Currency 10 2 3 2 2 3" xfId="3571" xr:uid="{7BA0D70B-9F88-4076-B69C-3A606C042BBF}"/>
    <cellStyle name="Currency 10 2 3 2 2 4" xfId="7505" xr:uid="{1778FA57-E166-4E34-9618-99F405C65DF4}"/>
    <cellStyle name="Currency 10 2 3 2 2 5" xfId="9019" xr:uid="{CEEC247E-4844-4C23-8A0E-9DC16F32E4B1}"/>
    <cellStyle name="Currency 10 2 3 2 2 6" xfId="12639" xr:uid="{58875989-A8DA-40D6-A85B-0D5D2DEBFA23}"/>
    <cellStyle name="Currency 10 2 3 2 2 7" xfId="14384" xr:uid="{BF7B8866-D6F0-47E8-945E-DFBE58AE2B22}"/>
    <cellStyle name="Currency 10 2 3 2 3" xfId="2367" xr:uid="{143B32F2-0AD3-4921-906F-C8A0508C9220}"/>
    <cellStyle name="Currency 10 2 3 2 3 2" xfId="4087" xr:uid="{688A3D9A-A7C7-4C63-9B54-1B995BB98671}"/>
    <cellStyle name="Currency 10 2 3 2 3 3" xfId="8013" xr:uid="{EDAA789F-F95D-42DB-8222-D462A4494252}"/>
    <cellStyle name="Currency 10 2 3 2 3 4" xfId="9531" xr:uid="{EDCC3C57-57BF-4B3A-8C3C-8508D0F1F2AF}"/>
    <cellStyle name="Currency 10 2 3 2 3 5" xfId="13145" xr:uid="{1BAB4F2C-3DB7-4C04-924A-67F16EF491BE}"/>
    <cellStyle name="Currency 10 2 3 2 3 6" xfId="14890" xr:uid="{9A8DAB7F-5C87-4F01-95B3-B607351C2059}"/>
    <cellStyle name="Currency 10 2 3 2 4" xfId="5059" xr:uid="{3AB37CE5-2AE9-4257-BEA7-D5D4424F0C02}"/>
    <cellStyle name="Currency 10 2 3 2 4 2" xfId="10529" xr:uid="{CEFCCEA2-532A-4540-95AD-70D1FFA42D00}"/>
    <cellStyle name="Currency 10 2 3 2 5" xfId="5557" xr:uid="{7412BFB8-6ECF-4BFA-BF96-EC1A17831899}"/>
    <cellStyle name="Currency 10 2 3 2 5 2" xfId="11031" xr:uid="{04F7797B-AF35-4999-B2CF-89D605AB38BC}"/>
    <cellStyle name="Currency 10 2 3 2 6" xfId="6059" xr:uid="{1FD938A2-8373-4A63-A6C8-0C539BD71F78}"/>
    <cellStyle name="Currency 10 2 3 2 6 2" xfId="11533" xr:uid="{F094C312-3FEE-4A80-9A2D-2516B8DE3F33}"/>
    <cellStyle name="Currency 10 2 3 2 7" xfId="3077" xr:uid="{5B499A57-292D-41EC-953A-09C3FD719DE0}"/>
    <cellStyle name="Currency 10 2 3 2 8" xfId="6999" xr:uid="{30D5D671-0B6B-426E-A211-6F31D3A9F655}"/>
    <cellStyle name="Currency 10 2 3 2 9" xfId="8523" xr:uid="{339EC200-D8BD-483F-8C0A-2161ED024D9D}"/>
    <cellStyle name="Currency 10 2 3 3" xfId="1611" xr:uid="{7D2F0C1A-11FE-4CDC-8820-B625AED31630}"/>
    <cellStyle name="Currency 10 2 3 3 2" xfId="4333" xr:uid="{2A1FD16F-3291-4DF7-82BF-F0CADB0B2F7E}"/>
    <cellStyle name="Currency 10 2 3 3 2 2" xfId="9779" xr:uid="{7EE5EB9A-1CA3-46C4-9BE4-73193C70B75A}"/>
    <cellStyle name="Currency 10 2 3 3 3" xfId="3323" xr:uid="{F0CDDC9B-BF73-4BFE-B7C6-4A7097F5A541}"/>
    <cellStyle name="Currency 10 2 3 3 4" xfId="7257" xr:uid="{29E5EF62-D1B7-4739-BBD7-1B78EDC4F8C8}"/>
    <cellStyle name="Currency 10 2 3 3 5" xfId="8771" xr:uid="{190BF8C4-D9B9-4585-B792-D18FC3F3237A}"/>
    <cellStyle name="Currency 10 2 3 3 6" xfId="12391" xr:uid="{C9DF0C73-9902-4EF1-9A9A-7F90FA8A3201}"/>
    <cellStyle name="Currency 10 2 3 3 7" xfId="14136" xr:uid="{CC28B0FE-2DA3-40D8-81F0-C2803C786064}"/>
    <cellStyle name="Currency 10 2 3 4" xfId="2119" xr:uid="{9AF043A9-7BFF-496E-B201-A7651B3C8A8C}"/>
    <cellStyle name="Currency 10 2 3 4 2" xfId="3839" xr:uid="{80CD6A93-FE3E-4513-A8E2-9BE79EF2A261}"/>
    <cellStyle name="Currency 10 2 3 4 3" xfId="7765" xr:uid="{1BBF961D-8581-43CA-8144-BC659A9CF7E2}"/>
    <cellStyle name="Currency 10 2 3 4 4" xfId="9283" xr:uid="{650C3C9D-8C75-4518-AE24-7AA2F9D57772}"/>
    <cellStyle name="Currency 10 2 3 4 5" xfId="12897" xr:uid="{2AEE429D-CBFC-4ECE-8AD0-47BD16952369}"/>
    <cellStyle name="Currency 10 2 3 4 6" xfId="14642" xr:uid="{EFFE26D1-3FAC-4E86-B185-2C5488BEC087}"/>
    <cellStyle name="Currency 10 2 3 5" xfId="4825" xr:uid="{5B10D4F5-1165-47F3-8019-2A7678874452}"/>
    <cellStyle name="Currency 10 2 3 5 2" xfId="10281" xr:uid="{63E4D143-25ED-4E7C-92C7-2AA273B02401}"/>
    <cellStyle name="Currency 10 2 3 6" xfId="5309" xr:uid="{A6B85C97-7D7A-4B98-9C0B-D7E330BA60EA}"/>
    <cellStyle name="Currency 10 2 3 6 2" xfId="10783" xr:uid="{77EAF719-A6B8-4396-A735-347EBE22C167}"/>
    <cellStyle name="Currency 10 2 3 7" xfId="5811" xr:uid="{10313022-337A-4565-AF82-1FC66A7C944D}"/>
    <cellStyle name="Currency 10 2 3 7 2" xfId="11285" xr:uid="{A1D9A763-F750-450D-A40A-0773627E23B5}"/>
    <cellStyle name="Currency 10 2 3 8" xfId="2841" xr:uid="{F928DDDB-FA64-488C-A634-D15917711805}"/>
    <cellStyle name="Currency 10 2 3 9" xfId="6751" xr:uid="{7969E3E5-84AD-44F9-878F-8CB73C79A1C7}"/>
    <cellStyle name="Currency 10 2 4" xfId="1229" xr:uid="{86A58277-81B1-420C-95C6-4C5ACCD9203E}"/>
    <cellStyle name="Currency 10 2 4 10" xfId="12009" xr:uid="{0E8BB271-3F73-409F-B5FA-DCE58920BB1C}"/>
    <cellStyle name="Currency 10 2 4 11" xfId="13754" xr:uid="{4B0B46B1-D429-41E0-9EFB-E025C1C17EF4}"/>
    <cellStyle name="Currency 10 2 4 2" xfId="1735" xr:uid="{7FB1BB69-9B61-4BCF-8340-2AB7181481DD}"/>
    <cellStyle name="Currency 10 2 4 2 2" xfId="4457" xr:uid="{4E4A1BF2-D518-4D8C-870D-7923893F3FE4}"/>
    <cellStyle name="Currency 10 2 4 2 2 2" xfId="9903" xr:uid="{A122CC90-9E78-4303-83A2-4C463B6EF473}"/>
    <cellStyle name="Currency 10 2 4 2 3" xfId="3447" xr:uid="{A4AC615E-875B-45CF-A1A4-3DF1DB3C32DC}"/>
    <cellStyle name="Currency 10 2 4 2 4" xfId="7381" xr:uid="{1FA831DE-4B0B-4B75-9D35-2CBA83C838A2}"/>
    <cellStyle name="Currency 10 2 4 2 5" xfId="8895" xr:uid="{B5566D9A-BA9F-4B56-89E8-FC650F9EB41D}"/>
    <cellStyle name="Currency 10 2 4 2 6" xfId="12515" xr:uid="{F5948081-4E5E-4C11-98E4-5C47492A3024}"/>
    <cellStyle name="Currency 10 2 4 2 7" xfId="14260" xr:uid="{1909F90B-D3C6-4832-A2A7-C94C39ABEDE8}"/>
    <cellStyle name="Currency 10 2 4 3" xfId="2243" xr:uid="{CFEAFB4B-D81C-4120-8D20-EBD37A1B2E38}"/>
    <cellStyle name="Currency 10 2 4 3 2" xfId="3963" xr:uid="{8022AF5F-5841-4BB5-851E-9631BC219B49}"/>
    <cellStyle name="Currency 10 2 4 3 3" xfId="7889" xr:uid="{7E0B11C6-00E8-47DA-BA0A-5CBE52C3C79F}"/>
    <cellStyle name="Currency 10 2 4 3 4" xfId="9407" xr:uid="{24DA02FF-B89B-40EB-893E-727F9076A033}"/>
    <cellStyle name="Currency 10 2 4 3 5" xfId="13021" xr:uid="{DAB1ACB1-C402-4CA2-821C-E627C8ECA043}"/>
    <cellStyle name="Currency 10 2 4 3 6" xfId="14766" xr:uid="{EC421EDB-38C9-4D62-AA9F-5147D6D08A5D}"/>
    <cellStyle name="Currency 10 2 4 4" xfId="4941" xr:uid="{16DC7187-FD0C-4213-B58D-0B1CE58A5175}"/>
    <cellStyle name="Currency 10 2 4 4 2" xfId="10405" xr:uid="{B9436F44-615A-4C28-913B-5714EF55A8E6}"/>
    <cellStyle name="Currency 10 2 4 5" xfId="5433" xr:uid="{5FE140A3-77C6-4641-A97D-70FF50676A5E}"/>
    <cellStyle name="Currency 10 2 4 5 2" xfId="10907" xr:uid="{C2E7F31A-BDF4-407B-8DD0-2A8F18DDD10A}"/>
    <cellStyle name="Currency 10 2 4 6" xfId="5935" xr:uid="{06170824-189C-423B-97B7-14D40E1FCA59}"/>
    <cellStyle name="Currency 10 2 4 6 2" xfId="11409" xr:uid="{236310EB-2BCC-405E-ABAF-426212EC2374}"/>
    <cellStyle name="Currency 10 2 4 7" xfId="2959" xr:uid="{CF2E002B-13B7-4374-BC0A-6545D4F40D0D}"/>
    <cellStyle name="Currency 10 2 4 8" xfId="6875" xr:uid="{0763C62C-5F00-4452-BC40-345C48A2247C}"/>
    <cellStyle name="Currency 10 2 4 9" xfId="8399" xr:uid="{B087DBB9-B4CA-446A-9AD5-01D7A3167B50}"/>
    <cellStyle name="Currency 10 2 5" xfId="1487" xr:uid="{21E6AEA2-DFAD-4F70-B86E-9A22336ECFDD}"/>
    <cellStyle name="Currency 10 2 5 2" xfId="4211" xr:uid="{104A793F-8784-4418-92BA-853F97358D15}"/>
    <cellStyle name="Currency 10 2 5 2 2" xfId="9655" xr:uid="{7ECD9A7F-574F-454A-BDDD-A84477A15FB4}"/>
    <cellStyle name="Currency 10 2 5 3" xfId="3201" xr:uid="{7A92FA99-B6C7-4B74-BEAD-875E1430692C}"/>
    <cellStyle name="Currency 10 2 5 4" xfId="7133" xr:uid="{4A357EAC-DFF5-4EBE-8057-DF8584631116}"/>
    <cellStyle name="Currency 10 2 5 5" xfId="8647" xr:uid="{2FF2E8A4-7D1C-44B2-BB0E-E05BB5DB81CD}"/>
    <cellStyle name="Currency 10 2 5 6" xfId="12267" xr:uid="{C587A1DC-76F9-4C32-A49C-1230E7209F3C}"/>
    <cellStyle name="Currency 10 2 5 7" xfId="14012" xr:uid="{0D67BF08-4DD0-4E65-96AB-0F17C3BC3782}"/>
    <cellStyle name="Currency 10 2 6" xfId="1995" xr:uid="{26328FE3-0E7D-43E0-A465-9D318932B1B1}"/>
    <cellStyle name="Currency 10 2 6 2" xfId="3715" xr:uid="{4D71E86D-21DD-4145-BB29-F9396576B7EF}"/>
    <cellStyle name="Currency 10 2 6 3" xfId="7641" xr:uid="{9C0ED3D4-194F-4754-934A-0AA16824349E}"/>
    <cellStyle name="Currency 10 2 6 4" xfId="9159" xr:uid="{2D56AA8D-FDF5-492B-8596-5208613987C4}"/>
    <cellStyle name="Currency 10 2 6 5" xfId="12773" xr:uid="{4A5AED44-68DC-48E0-81A0-BE7F55403655}"/>
    <cellStyle name="Currency 10 2 6 6" xfId="14518" xr:uid="{74191D1D-286E-4508-9E35-7DD55149CEB3}"/>
    <cellStyle name="Currency 10 2 7" xfId="4711" xr:uid="{92F1CC8D-10C9-4074-BA40-BA77C5F1FE5A}"/>
    <cellStyle name="Currency 10 2 7 2" xfId="10157" xr:uid="{8F99FD26-1290-46C8-BA6C-E6CA073342C4}"/>
    <cellStyle name="Currency 10 2 8" xfId="5187" xr:uid="{30D2C33A-0B4F-47EB-B763-A0B0870C495F}"/>
    <cellStyle name="Currency 10 2 8 2" xfId="10659" xr:uid="{719F1081-15B0-44C3-9ABC-AD0FE445EEF4}"/>
    <cellStyle name="Currency 10 2 9" xfId="5687" xr:uid="{54C49B06-B938-4505-9072-589EF1BB0171}"/>
    <cellStyle name="Currency 10 2 9 2" xfId="11161" xr:uid="{85436FD5-B18E-4065-9D6D-C9E0F2DF092F}"/>
    <cellStyle name="Currency 10 3" xfId="1001" xr:uid="{FD1B4EEC-AF08-440E-A526-4E369CDFE0F0}"/>
    <cellStyle name="Currency 10 3 10" xfId="2747" xr:uid="{A5A37AA8-DAC7-40B7-A0F2-A263A8661D77}"/>
    <cellStyle name="Currency 10 3 11" xfId="6647" xr:uid="{55E6C613-3398-4EB8-9345-17A40075562C}"/>
    <cellStyle name="Currency 10 3 12" xfId="8171" xr:uid="{40E0F236-2DB4-4499-8F43-36B470647EB7}"/>
    <cellStyle name="Currency 10 3 13" xfId="11781" xr:uid="{269279BD-0EE4-4692-8817-B57F2D1EF295}"/>
    <cellStyle name="Currency 10 3 14" xfId="13526" xr:uid="{94619C77-56EA-4571-8BDF-F2B092CA0FC6}"/>
    <cellStyle name="Currency 10 3 2" xfId="1049" xr:uid="{DB48FBB6-AF5A-4181-B3E2-816EB7F112B7}"/>
    <cellStyle name="Currency 10 3 2 10" xfId="6695" xr:uid="{430DBF22-96A1-4199-9FC3-A5C4DC3695C4}"/>
    <cellStyle name="Currency 10 3 2 11" xfId="8219" xr:uid="{EDCF318C-6D5F-44E8-AFD4-F090039BF0D4}"/>
    <cellStyle name="Currency 10 3 2 12" xfId="11829" xr:uid="{18EC0814-52C2-4782-AC27-ABE54A4864FB}"/>
    <cellStyle name="Currency 10 3 2 13" xfId="13574" xr:uid="{63303D07-C731-4B64-9204-C1B009819354}"/>
    <cellStyle name="Currency 10 3 2 2" xfId="1173" xr:uid="{AE6A4407-E75F-4C06-AA04-6A2774DB0ECD}"/>
    <cellStyle name="Currency 10 3 2 2 10" xfId="8343" xr:uid="{BC8A3D31-2569-463A-BB63-493C361C042C}"/>
    <cellStyle name="Currency 10 3 2 2 11" xfId="11953" xr:uid="{194A207D-50DE-44AB-A0F3-9774577F9658}"/>
    <cellStyle name="Currency 10 3 2 2 12" xfId="13698" xr:uid="{406E7603-4424-4786-901A-6AC2AD55BC74}"/>
    <cellStyle name="Currency 10 3 2 2 2" xfId="1421" xr:uid="{D448E662-DFCB-41EA-A265-45B5970926D9}"/>
    <cellStyle name="Currency 10 3 2 2 2 10" xfId="12201" xr:uid="{44B1A0E3-932A-4E76-B794-B14C897DCF16}"/>
    <cellStyle name="Currency 10 3 2 2 2 11" xfId="13946" xr:uid="{01F0BFF7-64E6-4FED-AC3E-14432B785F2A}"/>
    <cellStyle name="Currency 10 3 2 2 2 2" xfId="1927" xr:uid="{482C7584-F5F3-41AC-A023-49481D7ABA35}"/>
    <cellStyle name="Currency 10 3 2 2 2 2 2" xfId="4649" xr:uid="{82A29BD8-7B9D-4315-A26C-029E772D22FA}"/>
    <cellStyle name="Currency 10 3 2 2 2 2 2 2" xfId="10095" xr:uid="{B85ACFEC-CF22-4B28-BF0D-356F459420B5}"/>
    <cellStyle name="Currency 10 3 2 2 2 2 3" xfId="3639" xr:uid="{636CF026-47BC-4F02-B8B8-ECD6A2E6806D}"/>
    <cellStyle name="Currency 10 3 2 2 2 2 4" xfId="7573" xr:uid="{B0D48085-2139-447C-82DE-72EC506B7B21}"/>
    <cellStyle name="Currency 10 3 2 2 2 2 5" xfId="9087" xr:uid="{AEBC7EC7-5C89-46B1-B13F-B3C28FB47302}"/>
    <cellStyle name="Currency 10 3 2 2 2 2 6" xfId="12707" xr:uid="{05521202-B0F5-4EA3-9455-48028FE42A44}"/>
    <cellStyle name="Currency 10 3 2 2 2 2 7" xfId="14452" xr:uid="{5C63ABA8-ED7E-4CCF-84CB-A911556F3E12}"/>
    <cellStyle name="Currency 10 3 2 2 2 3" xfId="2435" xr:uid="{1E03043F-936F-45C3-A921-92FC8F5CDC5D}"/>
    <cellStyle name="Currency 10 3 2 2 2 3 2" xfId="4155" xr:uid="{AD983784-6EB1-42A1-8CA1-A9DB84E9E320}"/>
    <cellStyle name="Currency 10 3 2 2 2 3 3" xfId="8081" xr:uid="{B895F0C9-B5E0-4F17-9513-7877F72592F4}"/>
    <cellStyle name="Currency 10 3 2 2 2 3 4" xfId="9599" xr:uid="{B4777218-7B61-4AE7-AB4C-733A276FF431}"/>
    <cellStyle name="Currency 10 3 2 2 2 3 5" xfId="13213" xr:uid="{65419197-616D-4142-9A28-666F7894FC86}"/>
    <cellStyle name="Currency 10 3 2 2 2 3 6" xfId="14958" xr:uid="{06DC60EC-EDEF-42D3-9232-EA58D7BB48C2}"/>
    <cellStyle name="Currency 10 3 2 2 2 4" xfId="5127" xr:uid="{B859C997-7B9E-4117-A179-55BB0DC77A39}"/>
    <cellStyle name="Currency 10 3 2 2 2 4 2" xfId="10597" xr:uid="{7C775E6A-32E4-4984-B8B2-42DCDEC1876D}"/>
    <cellStyle name="Currency 10 3 2 2 2 5" xfId="5625" xr:uid="{2B12322D-07A5-413B-8872-56B7D9C07FB5}"/>
    <cellStyle name="Currency 10 3 2 2 2 5 2" xfId="11099" xr:uid="{0F3470C9-A0B8-45A6-8CE2-72AB16C69FCB}"/>
    <cellStyle name="Currency 10 3 2 2 2 6" xfId="6127" xr:uid="{B94BAEA9-7A7D-4044-9A11-AD3DEBC5F163}"/>
    <cellStyle name="Currency 10 3 2 2 2 6 2" xfId="11601" xr:uid="{8328E2A4-30F1-488B-B4F9-D65B1DCD4FFB}"/>
    <cellStyle name="Currency 10 3 2 2 2 7" xfId="3145" xr:uid="{A53D8610-4103-458C-98A1-B541916D7865}"/>
    <cellStyle name="Currency 10 3 2 2 2 8" xfId="7067" xr:uid="{0462BFE6-F597-4B04-8B0A-46549BA87E62}"/>
    <cellStyle name="Currency 10 3 2 2 2 9" xfId="8591" xr:uid="{138DA6E4-C520-4DB0-8A86-59216E31ACBC}"/>
    <cellStyle name="Currency 10 3 2 2 3" xfId="1679" xr:uid="{50C33A35-2582-4271-B35A-BF46F79FD146}"/>
    <cellStyle name="Currency 10 3 2 2 3 2" xfId="4401" xr:uid="{54BA7DBE-68B6-4917-B5E5-C9E15E87707A}"/>
    <cellStyle name="Currency 10 3 2 2 3 2 2" xfId="9847" xr:uid="{8AD743C7-10A4-4761-827A-810D1EE5EDB8}"/>
    <cellStyle name="Currency 10 3 2 2 3 3" xfId="3391" xr:uid="{EEBEF04D-9369-484B-99AB-701CA1B18773}"/>
    <cellStyle name="Currency 10 3 2 2 3 4" xfId="7325" xr:uid="{D027AFF4-D0BA-4F38-88D1-70AE32291E7C}"/>
    <cellStyle name="Currency 10 3 2 2 3 5" xfId="8839" xr:uid="{697DB749-E8D9-4BB5-9749-2075C317446B}"/>
    <cellStyle name="Currency 10 3 2 2 3 6" xfId="12459" xr:uid="{6A725616-8632-418D-A9A1-501810F38C8C}"/>
    <cellStyle name="Currency 10 3 2 2 3 7" xfId="14204" xr:uid="{871A0AB3-BCA0-4033-856C-A37583DC1479}"/>
    <cellStyle name="Currency 10 3 2 2 4" xfId="2187" xr:uid="{188DD1D1-207D-4AD2-945A-9B5541AAEA88}"/>
    <cellStyle name="Currency 10 3 2 2 4 2" xfId="3907" xr:uid="{D4C19F7D-0649-4855-A850-6DD0439C0971}"/>
    <cellStyle name="Currency 10 3 2 2 4 3" xfId="7833" xr:uid="{AD759B2A-97F3-49B9-B1BE-48C1EFA73CCE}"/>
    <cellStyle name="Currency 10 3 2 2 4 4" xfId="9351" xr:uid="{177B6237-94D7-4954-8888-8B58FFB80F98}"/>
    <cellStyle name="Currency 10 3 2 2 4 5" xfId="12965" xr:uid="{84FC9FF3-0B99-4D0A-A483-C50935273AC4}"/>
    <cellStyle name="Currency 10 3 2 2 4 6" xfId="14710" xr:uid="{90F8EA8F-EAFA-46EB-8668-CFD6A9DCE57A}"/>
    <cellStyle name="Currency 10 3 2 2 5" xfId="4888" xr:uid="{CA0F1360-3CB9-43B0-9B48-BE80D1464B3D}"/>
    <cellStyle name="Currency 10 3 2 2 5 2" xfId="10349" xr:uid="{4FF5DB45-877F-4B62-B3BC-217E37BF8473}"/>
    <cellStyle name="Currency 10 3 2 2 6" xfId="5377" xr:uid="{F43BD5E9-4DFF-4A41-83A3-74CD1E9132D2}"/>
    <cellStyle name="Currency 10 3 2 2 6 2" xfId="10851" xr:uid="{82FF24B7-4F30-4896-8B80-54AAC30B639A}"/>
    <cellStyle name="Currency 10 3 2 2 7" xfId="5879" xr:uid="{CD13F5CC-4897-4644-8FC9-385247C223FA}"/>
    <cellStyle name="Currency 10 3 2 2 7 2" xfId="11353" xr:uid="{571EB18C-3FCE-4E73-BE4C-077F555A7CE4}"/>
    <cellStyle name="Currency 10 3 2 2 8" xfId="2904" xr:uid="{1621611A-82EE-4707-927A-DCDB8F0002BA}"/>
    <cellStyle name="Currency 10 3 2 2 9" xfId="6819" xr:uid="{2E4E54A0-FDC2-48EE-AE53-1B59FF46FCA6}"/>
    <cellStyle name="Currency 10 3 2 3" xfId="1297" xr:uid="{313F9CE7-0E29-4570-B0B4-D5F62F51C641}"/>
    <cellStyle name="Currency 10 3 2 3 10" xfId="12077" xr:uid="{F7EBDBEB-EF89-4396-B127-C4B9AFF08480}"/>
    <cellStyle name="Currency 10 3 2 3 11" xfId="13822" xr:uid="{9A08CDF0-BB32-47AB-B8D1-CB6E883EE7D5}"/>
    <cellStyle name="Currency 10 3 2 3 2" xfId="1803" xr:uid="{5DE0D90D-20F8-4267-B671-73D259E76DA4}"/>
    <cellStyle name="Currency 10 3 2 3 2 2" xfId="4525" xr:uid="{C6AA58A9-4B74-4AD0-9B68-291032644DE1}"/>
    <cellStyle name="Currency 10 3 2 3 2 2 2" xfId="9971" xr:uid="{1B621462-E71E-48E5-982C-807B80CE6DCD}"/>
    <cellStyle name="Currency 10 3 2 3 2 3" xfId="3515" xr:uid="{1DE089D0-5E7B-4EAE-83E0-F088D1135F6B}"/>
    <cellStyle name="Currency 10 3 2 3 2 4" xfId="7449" xr:uid="{03C7FDCD-11B4-4BFA-9E86-71F3C427F7A1}"/>
    <cellStyle name="Currency 10 3 2 3 2 5" xfId="8963" xr:uid="{14CED0B7-3F68-460B-A30D-B723A59C368D}"/>
    <cellStyle name="Currency 10 3 2 3 2 6" xfId="12583" xr:uid="{6EB277AF-22A6-473F-811C-888AB2525503}"/>
    <cellStyle name="Currency 10 3 2 3 2 7" xfId="14328" xr:uid="{A9AEBBB7-3DB7-473B-815C-E55C4A421F45}"/>
    <cellStyle name="Currency 10 3 2 3 3" xfId="2311" xr:uid="{A460B4C6-27C3-4971-800D-F3ED6DD98649}"/>
    <cellStyle name="Currency 10 3 2 3 3 2" xfId="4031" xr:uid="{73070EB1-866C-4981-BC6C-34A06B870DDF}"/>
    <cellStyle name="Currency 10 3 2 3 3 3" xfId="7957" xr:uid="{4DCA3C78-4DFD-476A-BF35-324FD58B3D29}"/>
    <cellStyle name="Currency 10 3 2 3 3 4" xfId="9475" xr:uid="{C6AA0349-FC53-45DE-91B1-65BB8B27B8AB}"/>
    <cellStyle name="Currency 10 3 2 3 3 5" xfId="13089" xr:uid="{7859379D-BE50-42A8-B0EB-030E5CA9433B}"/>
    <cellStyle name="Currency 10 3 2 3 3 6" xfId="14834" xr:uid="{67E34B9D-6C64-4705-9FE3-C14ABA676E86}"/>
    <cellStyle name="Currency 10 3 2 3 4" xfId="5004" xr:uid="{B536F21E-33E3-4D32-8033-92B2A5FFD454}"/>
    <cellStyle name="Currency 10 3 2 3 4 2" xfId="10473" xr:uid="{A5B60A5B-0E64-4A19-B1F4-0A05F64BACA4}"/>
    <cellStyle name="Currency 10 3 2 3 5" xfId="5501" xr:uid="{5C15BB9D-217D-47F7-A4A9-F97CC0AD7D3C}"/>
    <cellStyle name="Currency 10 3 2 3 5 2" xfId="10975" xr:uid="{0F3735FE-E258-4617-9747-24A5C60B587E}"/>
    <cellStyle name="Currency 10 3 2 3 6" xfId="6003" xr:uid="{A1A7A6E8-ACA5-4EF8-BB6C-D1C7364E0739}"/>
    <cellStyle name="Currency 10 3 2 3 6 2" xfId="11477" xr:uid="{7FEAAC9D-0513-4733-8E58-1193CB878C89}"/>
    <cellStyle name="Currency 10 3 2 3 7" xfId="3022" xr:uid="{90EF4335-29BC-4E89-8B97-02105A8E524E}"/>
    <cellStyle name="Currency 10 3 2 3 8" xfId="6943" xr:uid="{1F19CF95-2B6A-4EE8-A27A-F692F24ECAE2}"/>
    <cellStyle name="Currency 10 3 2 3 9" xfId="8467" xr:uid="{1AE88B0F-7837-4B5D-AA00-676E60E59ED3}"/>
    <cellStyle name="Currency 10 3 2 4" xfId="1555" xr:uid="{11AE5506-FF12-4898-9173-8DE46164EDE6}"/>
    <cellStyle name="Currency 10 3 2 4 2" xfId="4278" xr:uid="{2413C2D1-261C-44DF-A1C5-FE3E6A5B59BF}"/>
    <cellStyle name="Currency 10 3 2 4 2 2" xfId="9723" xr:uid="{E92FEF65-8838-4946-A182-D38C22528705}"/>
    <cellStyle name="Currency 10 3 2 4 3" xfId="3268" xr:uid="{3296E2A1-5B01-43FE-9096-459420576203}"/>
    <cellStyle name="Currency 10 3 2 4 4" xfId="7201" xr:uid="{15B99F96-2FEA-4558-B9E0-C2577DD58BB9}"/>
    <cellStyle name="Currency 10 3 2 4 5" xfId="8715" xr:uid="{717C2F1A-4CAC-41D3-BE5F-BF06F2112F91}"/>
    <cellStyle name="Currency 10 3 2 4 6" xfId="12335" xr:uid="{B0475EBA-D188-43F4-AD89-12C0D80AE5D6}"/>
    <cellStyle name="Currency 10 3 2 4 7" xfId="14080" xr:uid="{0A726ECE-2E03-4FE7-A28D-D9D92A496D70}"/>
    <cellStyle name="Currency 10 3 2 5" xfId="2063" xr:uid="{79EC739E-BFC4-43DD-88A0-D5C2369DCE3E}"/>
    <cellStyle name="Currency 10 3 2 5 2" xfId="3783" xr:uid="{99C32FDD-73F7-4344-883A-092EE6FEB1E3}"/>
    <cellStyle name="Currency 10 3 2 5 3" xfId="7709" xr:uid="{FACAA6CF-C2E9-4841-8760-D400AF3311FE}"/>
    <cellStyle name="Currency 10 3 2 5 4" xfId="9227" xr:uid="{A29962B0-ED2C-48B8-96F5-807997CF5690}"/>
    <cellStyle name="Currency 10 3 2 5 5" xfId="12841" xr:uid="{47D9F9FE-B908-499A-9BEC-BDF4753C4419}"/>
    <cellStyle name="Currency 10 3 2 5 6" xfId="14586" xr:uid="{B99EEAEF-1502-4B59-85DA-07848739484F}"/>
    <cellStyle name="Currency 10 3 2 6" xfId="4774" xr:uid="{92DD132C-BAF6-42CD-BCC8-118FA379AF73}"/>
    <cellStyle name="Currency 10 3 2 6 2" xfId="10225" xr:uid="{B974D752-961B-4112-BABF-59284882D0E0}"/>
    <cellStyle name="Currency 10 3 2 7" xfId="5253" xr:uid="{3D111C0F-37A5-4C30-9027-28CBE8D375DD}"/>
    <cellStyle name="Currency 10 3 2 7 2" xfId="10727" xr:uid="{5758C0AA-A6A2-4F53-85BA-46FAB661945D}"/>
    <cellStyle name="Currency 10 3 2 8" xfId="5755" xr:uid="{3DDE936D-8F78-4AAA-AAC0-64169C6910DE}"/>
    <cellStyle name="Currency 10 3 2 8 2" xfId="11229" xr:uid="{49D2103C-DC44-4319-BE96-E991558CF8E5}"/>
    <cellStyle name="Currency 10 3 2 9" xfId="2790" xr:uid="{589AEC2D-787F-4530-BBE6-5D2E71F08A4A}"/>
    <cellStyle name="Currency 10 3 3" xfId="1125" xr:uid="{CEE4E698-A6E7-4746-9AF2-A36CEFD0C6F4}"/>
    <cellStyle name="Currency 10 3 3 10" xfId="8295" xr:uid="{E6E4A411-83F4-4C24-B979-6873E1BDABA1}"/>
    <cellStyle name="Currency 10 3 3 11" xfId="11905" xr:uid="{EE1CE6B5-067E-40E1-A7CE-134B7777EF88}"/>
    <cellStyle name="Currency 10 3 3 12" xfId="13650" xr:uid="{8098BA64-6AEC-4E5E-AC65-1124F841A6E1}"/>
    <cellStyle name="Currency 10 3 3 2" xfId="1373" xr:uid="{9510E6E2-8062-49C7-81EB-C367E8C4E37F}"/>
    <cellStyle name="Currency 10 3 3 2 10" xfId="12153" xr:uid="{631FBBC2-26BB-45C7-8E4B-394EC61CC05D}"/>
    <cellStyle name="Currency 10 3 3 2 11" xfId="13898" xr:uid="{9B4F0E47-CB65-4677-970F-297CC515E6FA}"/>
    <cellStyle name="Currency 10 3 3 2 2" xfId="1879" xr:uid="{B39A95D0-D2FB-4C42-A400-C50C5C4E237A}"/>
    <cellStyle name="Currency 10 3 3 2 2 2" xfId="4601" xr:uid="{4A195B07-8DAB-4B70-9016-5DD57EEB77C0}"/>
    <cellStyle name="Currency 10 3 3 2 2 2 2" xfId="10047" xr:uid="{017F8293-63C7-4199-A718-FAA87F71CFE2}"/>
    <cellStyle name="Currency 10 3 3 2 2 3" xfId="3591" xr:uid="{B6F5648B-BCE0-4DB1-90A0-3020E9EF1449}"/>
    <cellStyle name="Currency 10 3 3 2 2 4" xfId="7525" xr:uid="{F3657FA7-B9B2-4C57-8FAF-AB983FFDA444}"/>
    <cellStyle name="Currency 10 3 3 2 2 5" xfId="9039" xr:uid="{378193DC-A417-433D-9114-F67051D5544E}"/>
    <cellStyle name="Currency 10 3 3 2 2 6" xfId="12659" xr:uid="{01BD21F9-693B-4919-B848-A6C55F688762}"/>
    <cellStyle name="Currency 10 3 3 2 2 7" xfId="14404" xr:uid="{1F5F21F4-5696-4E79-87B9-F52EBA52806B}"/>
    <cellStyle name="Currency 10 3 3 2 3" xfId="2387" xr:uid="{B1B8C3A6-6002-4BE0-B96D-B8244A35585A}"/>
    <cellStyle name="Currency 10 3 3 2 3 2" xfId="4107" xr:uid="{F0439EF4-07BD-4DDD-A437-B32863A5377E}"/>
    <cellStyle name="Currency 10 3 3 2 3 3" xfId="8033" xr:uid="{F375A38C-7999-42ED-BD3A-ED508A6BB32E}"/>
    <cellStyle name="Currency 10 3 3 2 3 4" xfId="9551" xr:uid="{2717295E-3894-4C32-8122-67A831B5E1CA}"/>
    <cellStyle name="Currency 10 3 3 2 3 5" xfId="13165" xr:uid="{43F9A826-60E0-4774-97BE-CECA09A9B980}"/>
    <cellStyle name="Currency 10 3 3 2 3 6" xfId="14910" xr:uid="{61699A17-1113-47F1-9C22-6EA78C960827}"/>
    <cellStyle name="Currency 10 3 3 2 4" xfId="5079" xr:uid="{34BFB02F-5A67-4EF2-BAFE-4EAB3B603B67}"/>
    <cellStyle name="Currency 10 3 3 2 4 2" xfId="10549" xr:uid="{38411C94-6B94-43E4-AA55-748F53230DC3}"/>
    <cellStyle name="Currency 10 3 3 2 5" xfId="5577" xr:uid="{DE5C101A-9D96-4CE2-A82C-B09F2CDD44D9}"/>
    <cellStyle name="Currency 10 3 3 2 5 2" xfId="11051" xr:uid="{C6390E17-CE32-4015-B071-6A884C89BA85}"/>
    <cellStyle name="Currency 10 3 3 2 6" xfId="6079" xr:uid="{3A7A2B69-2D5A-40A1-9425-5704262F49A2}"/>
    <cellStyle name="Currency 10 3 3 2 6 2" xfId="11553" xr:uid="{7C9B98DB-9C86-4823-806A-0FADFDF4B36A}"/>
    <cellStyle name="Currency 10 3 3 2 7" xfId="3097" xr:uid="{89A68955-0016-4CD2-A062-1E6A920F2DB6}"/>
    <cellStyle name="Currency 10 3 3 2 8" xfId="7019" xr:uid="{EB804533-1969-47EF-86BE-13B853D37AF8}"/>
    <cellStyle name="Currency 10 3 3 2 9" xfId="8543" xr:uid="{0C934CCD-EDB0-4145-8939-D083D15BC44A}"/>
    <cellStyle name="Currency 10 3 3 3" xfId="1631" xr:uid="{071AEB04-9CBE-4CEE-BDA8-8E5F74758EC6}"/>
    <cellStyle name="Currency 10 3 3 3 2" xfId="4353" xr:uid="{11EF0DB4-5612-4D66-9E4D-691A79AFF84F}"/>
    <cellStyle name="Currency 10 3 3 3 2 2" xfId="9799" xr:uid="{B0408240-30F0-4C53-BA7E-BC89991208C2}"/>
    <cellStyle name="Currency 10 3 3 3 3" xfId="3343" xr:uid="{6F913227-C8AA-4AAD-A538-D2E5173C1ADD}"/>
    <cellStyle name="Currency 10 3 3 3 4" xfId="7277" xr:uid="{FBB0A267-C4F0-45A9-959E-8E474C7555B2}"/>
    <cellStyle name="Currency 10 3 3 3 5" xfId="8791" xr:uid="{04B4B8A3-CA18-44BF-958F-424A5F63DCD5}"/>
    <cellStyle name="Currency 10 3 3 3 6" xfId="12411" xr:uid="{6A52473F-0123-4AB9-8A3C-A3D3ACA1D8DC}"/>
    <cellStyle name="Currency 10 3 3 3 7" xfId="14156" xr:uid="{E6286929-F30A-4B15-B67C-E4CB3D04CA59}"/>
    <cellStyle name="Currency 10 3 3 4" xfId="2139" xr:uid="{916415B5-792B-4540-ABBB-0B6AAEE47580}"/>
    <cellStyle name="Currency 10 3 3 4 2" xfId="3859" xr:uid="{EB554D7D-D44D-480A-BED5-BEF4DAB7AD30}"/>
    <cellStyle name="Currency 10 3 3 4 3" xfId="7785" xr:uid="{19056975-11C5-4A0C-8FA8-B364EEC6B72C}"/>
    <cellStyle name="Currency 10 3 3 4 4" xfId="9303" xr:uid="{AB4A9694-A216-4E82-83B7-7B997BC1153F}"/>
    <cellStyle name="Currency 10 3 3 4 5" xfId="12917" xr:uid="{D5A48CB6-8C63-4E43-BD53-B90D41F0F961}"/>
    <cellStyle name="Currency 10 3 3 4 6" xfId="14662" xr:uid="{8C47ADC5-583E-4FAB-9C7B-6CE8EA8DB200}"/>
    <cellStyle name="Currency 10 3 3 5" xfId="4843" xr:uid="{2ED18495-AEDD-4A09-A6B3-49777419B463}"/>
    <cellStyle name="Currency 10 3 3 5 2" xfId="10301" xr:uid="{4FB98E24-353D-4F0F-88F1-C8D3FB5F8035}"/>
    <cellStyle name="Currency 10 3 3 6" xfId="5329" xr:uid="{538EDCFF-E6DF-4134-897A-D888F940CF3F}"/>
    <cellStyle name="Currency 10 3 3 6 2" xfId="10803" xr:uid="{FF3E2FE9-9D65-4980-91AB-A2454ECF2203}"/>
    <cellStyle name="Currency 10 3 3 7" xfId="5831" xr:uid="{D0D48527-30A6-4C45-8366-25F984702795}"/>
    <cellStyle name="Currency 10 3 3 7 2" xfId="11305" xr:uid="{C37084D4-EA8B-408C-9061-F9F7A0D070A4}"/>
    <cellStyle name="Currency 10 3 3 8" xfId="2859" xr:uid="{A63DA796-B77C-4DB4-B3B0-53C6D87F33EF}"/>
    <cellStyle name="Currency 10 3 3 9" xfId="6771" xr:uid="{A0483C10-9D69-4447-BBAB-27BABD2F75B4}"/>
    <cellStyle name="Currency 10 3 4" xfId="1249" xr:uid="{A0AC86E7-7B18-4B79-A086-78D36DA2ED52}"/>
    <cellStyle name="Currency 10 3 4 10" xfId="12029" xr:uid="{077AB373-8B64-43CD-B261-356F87557E3D}"/>
    <cellStyle name="Currency 10 3 4 11" xfId="13774" xr:uid="{4BFEC827-68AC-4EB9-9412-A9EC255FE929}"/>
    <cellStyle name="Currency 10 3 4 2" xfId="1755" xr:uid="{216990A6-5CE3-490A-AC59-87C7259FD02A}"/>
    <cellStyle name="Currency 10 3 4 2 2" xfId="4477" xr:uid="{F9AA5BA3-266A-4F9A-A4B4-05E12BB158D2}"/>
    <cellStyle name="Currency 10 3 4 2 2 2" xfId="9923" xr:uid="{610B1F40-738B-4C72-9162-C34D072C0818}"/>
    <cellStyle name="Currency 10 3 4 2 3" xfId="3467" xr:uid="{D934A77A-8143-4ACB-88F3-0116290C1AED}"/>
    <cellStyle name="Currency 10 3 4 2 4" xfId="7401" xr:uid="{903817EC-B077-4139-80F5-BA2C62931362}"/>
    <cellStyle name="Currency 10 3 4 2 5" xfId="8915" xr:uid="{9211AC5F-97DB-4795-B9F3-AEFCDA3FB819}"/>
    <cellStyle name="Currency 10 3 4 2 6" xfId="12535" xr:uid="{5DCD8098-3BC6-4E8F-95B1-1CD103E0BAD6}"/>
    <cellStyle name="Currency 10 3 4 2 7" xfId="14280" xr:uid="{B1724F33-2C13-4231-9737-DCEBC87C75BB}"/>
    <cellStyle name="Currency 10 3 4 3" xfId="2263" xr:uid="{DF2133D2-2128-443F-93CC-76C214189237}"/>
    <cellStyle name="Currency 10 3 4 3 2" xfId="3983" xr:uid="{15D6BEF0-0914-4446-B7F2-0EC297570BF1}"/>
    <cellStyle name="Currency 10 3 4 3 3" xfId="7909" xr:uid="{DBC577C0-CC51-4355-BFB2-82FE9A2F1604}"/>
    <cellStyle name="Currency 10 3 4 3 4" xfId="9427" xr:uid="{E56A2FFA-2F0E-44F9-BFA5-EA3B43D524F7}"/>
    <cellStyle name="Currency 10 3 4 3 5" xfId="13041" xr:uid="{F512DDB6-2385-42A2-99CC-D13EE6360469}"/>
    <cellStyle name="Currency 10 3 4 3 6" xfId="14786" xr:uid="{2846A300-1C0B-4C10-B812-29DB8F86B3AA}"/>
    <cellStyle name="Currency 10 3 4 4" xfId="4959" xr:uid="{6EA96C6F-6021-4BAB-94AC-76D83E1F5436}"/>
    <cellStyle name="Currency 10 3 4 4 2" xfId="10425" xr:uid="{B0D817CE-3BDA-4EE1-98B0-ADE14AE27031}"/>
    <cellStyle name="Currency 10 3 4 5" xfId="5453" xr:uid="{337747F9-CBAF-46DA-A1AE-9114C900FB03}"/>
    <cellStyle name="Currency 10 3 4 5 2" xfId="10927" xr:uid="{93CE332B-C5F3-4E5A-8369-4FD90BD019E6}"/>
    <cellStyle name="Currency 10 3 4 6" xfId="5955" xr:uid="{30006E41-AC30-4866-AF5C-6299D649241D}"/>
    <cellStyle name="Currency 10 3 4 6 2" xfId="11429" xr:uid="{62443442-2B99-464F-9A0E-9504DD679B4C}"/>
    <cellStyle name="Currency 10 3 4 7" xfId="2977" xr:uid="{891D728E-B589-428B-B674-1BD9DFD59FF3}"/>
    <cellStyle name="Currency 10 3 4 8" xfId="6895" xr:uid="{5847C735-5C62-4784-AA4F-ED433F334284}"/>
    <cellStyle name="Currency 10 3 4 9" xfId="8419" xr:uid="{11E366E8-92B3-4A50-8006-03323785724B}"/>
    <cellStyle name="Currency 10 3 5" xfId="1507" xr:uid="{3A834631-9F6E-4FBF-ADB6-FCA5AA3CCDCB}"/>
    <cellStyle name="Currency 10 3 5 2" xfId="4231" xr:uid="{00F55F99-744F-431D-B153-8E3CD17E7A0F}"/>
    <cellStyle name="Currency 10 3 5 2 2" xfId="9675" xr:uid="{85ED5FD6-DD3E-4612-BABD-4B350EA650C0}"/>
    <cellStyle name="Currency 10 3 5 3" xfId="3221" xr:uid="{EE6B30D0-1AD4-4780-8AC7-6633D917D408}"/>
    <cellStyle name="Currency 10 3 5 4" xfId="7153" xr:uid="{EB58D133-C43F-40C8-AFA2-AC528ADE6485}"/>
    <cellStyle name="Currency 10 3 5 5" xfId="8667" xr:uid="{8CD7B02F-ADFA-4E73-934B-224E3A8D6D14}"/>
    <cellStyle name="Currency 10 3 5 6" xfId="12287" xr:uid="{5F28B8B3-0572-4133-9E92-BEC495E36841}"/>
    <cellStyle name="Currency 10 3 5 7" xfId="14032" xr:uid="{DB3C9E75-5DFF-4468-AD1A-B415973D35F0}"/>
    <cellStyle name="Currency 10 3 6" xfId="2015" xr:uid="{81635172-CD39-434F-815B-E8E24D52F720}"/>
    <cellStyle name="Currency 10 3 6 2" xfId="3735" xr:uid="{2C014816-2DF6-413F-A794-3C50E7D5EE3F}"/>
    <cellStyle name="Currency 10 3 6 3" xfId="7661" xr:uid="{44CD4D03-550A-4710-AA29-DFA8034D3767}"/>
    <cellStyle name="Currency 10 3 6 4" xfId="9179" xr:uid="{159C4E3C-EAF1-423D-9B64-F20F7271DF0E}"/>
    <cellStyle name="Currency 10 3 6 5" xfId="12793" xr:uid="{4A3FA854-28DC-47AE-993F-2ED71B2EA35A}"/>
    <cellStyle name="Currency 10 3 6 6" xfId="14538" xr:uid="{D8A18096-8C40-4C15-9FDA-D6507ECEF0CE}"/>
    <cellStyle name="Currency 10 3 7" xfId="4731" xr:uid="{4FE0A48D-72C8-4C31-8B17-A684B01E8EAF}"/>
    <cellStyle name="Currency 10 3 7 2" xfId="10177" xr:uid="{3EBE4672-6118-427C-A34A-B3E1BF1C0879}"/>
    <cellStyle name="Currency 10 3 8" xfId="5205" xr:uid="{B3A1E9AC-E527-43CE-8FA1-3086EEE26CBF}"/>
    <cellStyle name="Currency 10 3 8 2" xfId="10679" xr:uid="{0EF767FF-BC2F-4E9D-AE1D-EC850D6151B9}"/>
    <cellStyle name="Currency 10 3 9" xfId="5707" xr:uid="{4037F8CF-5790-4D3B-8C55-C9B62A06BDF4}"/>
    <cellStyle name="Currency 10 3 9 2" xfId="11181" xr:uid="{A7209884-7265-4B31-BC1A-F4E26B6780A4}"/>
    <cellStyle name="Currency 10 4" xfId="1047" xr:uid="{BE5B7748-6313-48F6-92CD-57927FA16243}"/>
    <cellStyle name="Currency 10 4 10" xfId="6693" xr:uid="{FF27D08C-BF54-4236-9396-ACF0C2E7F7AF}"/>
    <cellStyle name="Currency 10 4 11" xfId="8217" xr:uid="{887AAE95-D3DA-4E45-9111-803CA76E612C}"/>
    <cellStyle name="Currency 10 4 12" xfId="11827" xr:uid="{5A064B9C-1EE6-4416-BC41-025E02F44314}"/>
    <cellStyle name="Currency 10 4 13" xfId="13572" xr:uid="{C9A8F196-3E8F-4F85-AE2C-2B20B8A264A9}"/>
    <cellStyle name="Currency 10 4 2" xfId="1171" xr:uid="{9241BAC4-DF4E-49EB-93C3-40114B9DBE49}"/>
    <cellStyle name="Currency 10 4 2 10" xfId="8341" xr:uid="{20226CBC-AED3-4E98-97CD-20B7723C3D93}"/>
    <cellStyle name="Currency 10 4 2 11" xfId="11951" xr:uid="{3AA42B9E-0574-4ADB-AA64-B5769DCEAC5E}"/>
    <cellStyle name="Currency 10 4 2 12" xfId="13696" xr:uid="{C4CFDBFD-09B1-46A0-8029-407FB30E2313}"/>
    <cellStyle name="Currency 10 4 2 2" xfId="1419" xr:uid="{3A48B3F7-1D1A-4369-AE79-1E8CC661C8FA}"/>
    <cellStyle name="Currency 10 4 2 2 10" xfId="12199" xr:uid="{DA9715AE-2301-46CE-B3B3-49F72006456A}"/>
    <cellStyle name="Currency 10 4 2 2 11" xfId="13944" xr:uid="{B31BFE9E-2635-4751-83E4-19A5650C844E}"/>
    <cellStyle name="Currency 10 4 2 2 2" xfId="1925" xr:uid="{5EA6054B-7214-445B-99D5-5BFD88ED78E2}"/>
    <cellStyle name="Currency 10 4 2 2 2 2" xfId="4647" xr:uid="{A06DF4C6-3831-4544-8923-70ACEDB2A567}"/>
    <cellStyle name="Currency 10 4 2 2 2 2 2" xfId="10093" xr:uid="{57A6D355-C848-4223-8FE1-EE103206E5BA}"/>
    <cellStyle name="Currency 10 4 2 2 2 3" xfId="3637" xr:uid="{29DA01A9-FF43-4A03-BE2E-5A079DD16C64}"/>
    <cellStyle name="Currency 10 4 2 2 2 4" xfId="7571" xr:uid="{31A22148-D57C-47B4-B2A3-353B0FE892E8}"/>
    <cellStyle name="Currency 10 4 2 2 2 5" xfId="9085" xr:uid="{52D54EA7-5015-4F41-B7DB-F49D2041A6AE}"/>
    <cellStyle name="Currency 10 4 2 2 2 6" xfId="12705" xr:uid="{53221DD3-C2A1-433B-8B59-F1557C39B271}"/>
    <cellStyle name="Currency 10 4 2 2 2 7" xfId="14450" xr:uid="{3DFCAC4F-CBFD-4D1A-9E4B-CB30FB3F0DE7}"/>
    <cellStyle name="Currency 10 4 2 2 3" xfId="2433" xr:uid="{C05073EF-FC3E-4813-B195-26BF73C10A75}"/>
    <cellStyle name="Currency 10 4 2 2 3 2" xfId="4153" xr:uid="{4DFBB11F-C404-424A-B81F-9516C6214ED8}"/>
    <cellStyle name="Currency 10 4 2 2 3 3" xfId="8079" xr:uid="{A5A67F6C-9DF9-470A-AFC1-E4FB0861BF00}"/>
    <cellStyle name="Currency 10 4 2 2 3 4" xfId="9597" xr:uid="{2E600C6C-D38F-4311-A4D4-BD511000CBE6}"/>
    <cellStyle name="Currency 10 4 2 2 3 5" xfId="13211" xr:uid="{27660B09-A607-4F3E-8AF9-8493A8669F5A}"/>
    <cellStyle name="Currency 10 4 2 2 3 6" xfId="14956" xr:uid="{83B8A798-5E28-4334-891A-40C2165091C6}"/>
    <cellStyle name="Currency 10 4 2 2 4" xfId="5125" xr:uid="{57D74A28-EF51-4167-9B28-0589D7C41C30}"/>
    <cellStyle name="Currency 10 4 2 2 4 2" xfId="10595" xr:uid="{C35EDC72-7BDB-4E9E-9D96-2C3B07B46EB8}"/>
    <cellStyle name="Currency 10 4 2 2 5" xfId="5623" xr:uid="{784005DE-1F97-4C74-A601-D7C8F741E115}"/>
    <cellStyle name="Currency 10 4 2 2 5 2" xfId="11097" xr:uid="{297DB005-F0BF-4526-9014-1B9642ED47E8}"/>
    <cellStyle name="Currency 10 4 2 2 6" xfId="6125" xr:uid="{2E7EDE7F-AF59-4ED7-9393-D63C960A3582}"/>
    <cellStyle name="Currency 10 4 2 2 6 2" xfId="11599" xr:uid="{2A8386BA-BFE0-44FC-B706-66DE607BC990}"/>
    <cellStyle name="Currency 10 4 2 2 7" xfId="3143" xr:uid="{29CDBC15-BE4B-47B5-BEEF-745A1F64A444}"/>
    <cellStyle name="Currency 10 4 2 2 8" xfId="7065" xr:uid="{F1EFC014-E16E-4748-8F65-974BDBAB1A7B}"/>
    <cellStyle name="Currency 10 4 2 2 9" xfId="8589" xr:uid="{790483B6-3DE6-4353-9901-ED6C8FC897E5}"/>
    <cellStyle name="Currency 10 4 2 3" xfId="1677" xr:uid="{5F655842-9ABF-4428-892E-11D2F90F2BDD}"/>
    <cellStyle name="Currency 10 4 2 3 2" xfId="4399" xr:uid="{D227435D-FE32-4EAE-8B0B-BDF9AB92AD76}"/>
    <cellStyle name="Currency 10 4 2 3 2 2" xfId="9845" xr:uid="{01415838-F723-42F7-A0A4-8A7A5BCC19BE}"/>
    <cellStyle name="Currency 10 4 2 3 3" xfId="3389" xr:uid="{7E8BCC56-C137-4D1D-9B7A-6388D4DADB29}"/>
    <cellStyle name="Currency 10 4 2 3 4" xfId="7323" xr:uid="{194EF119-4C1E-4313-BBCD-40836DC92838}"/>
    <cellStyle name="Currency 10 4 2 3 5" xfId="8837" xr:uid="{40FD8385-6162-4F8A-B4EA-7982B9F9183D}"/>
    <cellStyle name="Currency 10 4 2 3 6" xfId="12457" xr:uid="{B5270065-E97D-4DD8-96CE-7994F0E6EBBA}"/>
    <cellStyle name="Currency 10 4 2 3 7" xfId="14202" xr:uid="{2B0D2ED4-A11B-4D94-9238-C217790ED00C}"/>
    <cellStyle name="Currency 10 4 2 4" xfId="2185" xr:uid="{9FC449F9-1B91-4D5A-BE85-CD5660772678}"/>
    <cellStyle name="Currency 10 4 2 4 2" xfId="3905" xr:uid="{12CC7113-430D-4B82-BACF-001BE35609F7}"/>
    <cellStyle name="Currency 10 4 2 4 3" xfId="7831" xr:uid="{0B613189-1EF2-47BB-83EB-B973AC7D6ECC}"/>
    <cellStyle name="Currency 10 4 2 4 4" xfId="9349" xr:uid="{A8129503-37E9-414E-95B7-3AE4CC4B6C6A}"/>
    <cellStyle name="Currency 10 4 2 4 5" xfId="12963" xr:uid="{5B1ADB17-2D4D-46B7-9765-4AE71DDC9176}"/>
    <cellStyle name="Currency 10 4 2 4 6" xfId="14708" xr:uid="{DCCD5EDE-0205-402A-84CD-7AA3F6F1E23B}"/>
    <cellStyle name="Currency 10 4 2 5" xfId="4886" xr:uid="{F835BDC8-7BCB-4953-A4A7-66906177C2E1}"/>
    <cellStyle name="Currency 10 4 2 5 2" xfId="10347" xr:uid="{C6A82CCD-187C-4F76-A588-BFE61BDAA1A5}"/>
    <cellStyle name="Currency 10 4 2 6" xfId="5375" xr:uid="{B42221C7-FA68-47BC-BBDE-DEC10D0F3FAE}"/>
    <cellStyle name="Currency 10 4 2 6 2" xfId="10849" xr:uid="{8B00D6F3-7227-46DB-A021-613BB7EFAC7F}"/>
    <cellStyle name="Currency 10 4 2 7" xfId="5877" xr:uid="{31810CDA-5F61-439F-AC70-A474CCF5D0DA}"/>
    <cellStyle name="Currency 10 4 2 7 2" xfId="11351" xr:uid="{B76CDC1C-A538-436D-BC2D-3AE8961391D8}"/>
    <cellStyle name="Currency 10 4 2 8" xfId="2902" xr:uid="{FACF1C6D-167D-4A09-8BED-6CF2B58363FF}"/>
    <cellStyle name="Currency 10 4 2 9" xfId="6817" xr:uid="{D869C742-73CE-40DA-995D-EAD5386FC46E}"/>
    <cellStyle name="Currency 10 4 3" xfId="1295" xr:uid="{FF10F537-BE93-4364-BB69-34BB0752A274}"/>
    <cellStyle name="Currency 10 4 3 10" xfId="12075" xr:uid="{9343DE33-A173-4304-9BE8-0E7242B406F2}"/>
    <cellStyle name="Currency 10 4 3 11" xfId="13820" xr:uid="{F789A79F-D75F-4A0F-A74A-AB511BE6DA3E}"/>
    <cellStyle name="Currency 10 4 3 2" xfId="1801" xr:uid="{26838100-9881-4178-9404-85B4D6F872D7}"/>
    <cellStyle name="Currency 10 4 3 2 2" xfId="4523" xr:uid="{B372CFAB-A75B-42AB-B506-BAD665020FC9}"/>
    <cellStyle name="Currency 10 4 3 2 2 2" xfId="9969" xr:uid="{EF742CAC-888E-4CC9-8267-DA3B289DF6B4}"/>
    <cellStyle name="Currency 10 4 3 2 3" xfId="3513" xr:uid="{A97148E2-87A7-4127-9D2D-2D0E02981F70}"/>
    <cellStyle name="Currency 10 4 3 2 4" xfId="7447" xr:uid="{C2E07776-7B2A-4967-8DEA-08608B55A3C0}"/>
    <cellStyle name="Currency 10 4 3 2 5" xfId="8961" xr:uid="{28697856-55C8-4B80-9C44-C6118A9272B9}"/>
    <cellStyle name="Currency 10 4 3 2 6" xfId="12581" xr:uid="{CC16A5C0-99C1-463E-B3CD-2BA33410ED1F}"/>
    <cellStyle name="Currency 10 4 3 2 7" xfId="14326" xr:uid="{81A255E7-7820-441A-B7E1-49DFF9330C0E}"/>
    <cellStyle name="Currency 10 4 3 3" xfId="2309" xr:uid="{6845AAF1-5E9E-4842-9016-0E50EEEB168F}"/>
    <cellStyle name="Currency 10 4 3 3 2" xfId="4029" xr:uid="{4623B41C-DB3E-4C34-9AE4-49135FC9D64A}"/>
    <cellStyle name="Currency 10 4 3 3 3" xfId="7955" xr:uid="{38A1F26F-356B-4518-B788-5ECFFABDD4CB}"/>
    <cellStyle name="Currency 10 4 3 3 4" xfId="9473" xr:uid="{C7429CB1-F00D-46A1-975E-05F4F317C4DA}"/>
    <cellStyle name="Currency 10 4 3 3 5" xfId="13087" xr:uid="{9F4A5DD9-3ACE-487E-A587-B4EBE38A9544}"/>
    <cellStyle name="Currency 10 4 3 3 6" xfId="14832" xr:uid="{C157EFCF-7903-4D90-8C4C-2D952A08EE39}"/>
    <cellStyle name="Currency 10 4 3 4" xfId="5002" xr:uid="{16E82799-C7C5-4596-A51B-F230E6E3E7A1}"/>
    <cellStyle name="Currency 10 4 3 4 2" xfId="10471" xr:uid="{8027E6B1-3E58-48CB-BC64-6F99AD568460}"/>
    <cellStyle name="Currency 10 4 3 5" xfId="5499" xr:uid="{F6DE10D4-0F2F-4F4C-A2B6-186BB32C6DAD}"/>
    <cellStyle name="Currency 10 4 3 5 2" xfId="10973" xr:uid="{07E5A819-124D-493C-9BCB-BD4BF8074A5A}"/>
    <cellStyle name="Currency 10 4 3 6" xfId="6001" xr:uid="{136CAEFE-CE15-4625-9160-C04F28A02D6F}"/>
    <cellStyle name="Currency 10 4 3 6 2" xfId="11475" xr:uid="{D2B0BB5D-C506-4AFF-AE10-677BEBDFA149}"/>
    <cellStyle name="Currency 10 4 3 7" xfId="3020" xr:uid="{78431171-3E13-4472-9C6D-7A4800A4D256}"/>
    <cellStyle name="Currency 10 4 3 8" xfId="6941" xr:uid="{5BB1656C-F35E-4CA5-98F5-FBA66EFDF256}"/>
    <cellStyle name="Currency 10 4 3 9" xfId="8465" xr:uid="{88AB000E-E56C-4374-ADED-2F731D5600B7}"/>
    <cellStyle name="Currency 10 4 4" xfId="1553" xr:uid="{B866E271-DA0D-49C6-8A13-DE2983192C6F}"/>
    <cellStyle name="Currency 10 4 4 2" xfId="4276" xr:uid="{83FC8455-5B8A-4E5C-A1A5-2034E22FF5E7}"/>
    <cellStyle name="Currency 10 4 4 2 2" xfId="9721" xr:uid="{5C40AEEC-A595-4E19-8D3C-855B34EB9293}"/>
    <cellStyle name="Currency 10 4 4 3" xfId="3266" xr:uid="{0A259DA5-BFD3-4CA3-82F6-EF945EEA6515}"/>
    <cellStyle name="Currency 10 4 4 4" xfId="7199" xr:uid="{C55668AE-529F-4A21-B246-2CE9066E18B4}"/>
    <cellStyle name="Currency 10 4 4 5" xfId="8713" xr:uid="{6F329313-B2AB-4109-8601-F014D6837D40}"/>
    <cellStyle name="Currency 10 4 4 6" xfId="12333" xr:uid="{E38A4D7A-209E-40B6-B5D8-07845596F785}"/>
    <cellStyle name="Currency 10 4 4 7" xfId="14078" xr:uid="{F10DB38E-FC52-4BC9-BBC5-9B1B812C96F1}"/>
    <cellStyle name="Currency 10 4 5" xfId="2061" xr:uid="{02C3B14A-C6F0-4BFD-A0F9-893E9DC5DB1D}"/>
    <cellStyle name="Currency 10 4 5 2" xfId="3781" xr:uid="{29AD2D30-B60C-4F20-A32A-9B8BFAA35926}"/>
    <cellStyle name="Currency 10 4 5 3" xfId="7707" xr:uid="{B5A48A91-0FAB-4331-B7D4-AE63B9DB506D}"/>
    <cellStyle name="Currency 10 4 5 4" xfId="9225" xr:uid="{84FB5CEE-BCF9-45EA-8B2C-D08FDB91F3D7}"/>
    <cellStyle name="Currency 10 4 5 5" xfId="12839" xr:uid="{87ABE49B-C3EC-48E4-8742-1EF4B5A68981}"/>
    <cellStyle name="Currency 10 4 5 6" xfId="14584" xr:uid="{0F5CF675-9F9B-4E80-8522-71F8591D7776}"/>
    <cellStyle name="Currency 10 4 6" xfId="4772" xr:uid="{FC52A808-2F99-4EBF-9104-386B5FC82C0A}"/>
    <cellStyle name="Currency 10 4 6 2" xfId="10223" xr:uid="{DC45A064-435B-4164-88D4-42CF14AA8F48}"/>
    <cellStyle name="Currency 10 4 7" xfId="5251" xr:uid="{6CB77AC0-A79A-4090-8331-1B16A3335EAD}"/>
    <cellStyle name="Currency 10 4 7 2" xfId="10725" xr:uid="{5EBB61C9-418C-4320-857B-AE387A10EA2B}"/>
    <cellStyle name="Currency 10 4 8" xfId="5753" xr:uid="{01D3ED42-51F3-4BDD-8D36-FF81CF8C9313}"/>
    <cellStyle name="Currency 10 4 8 2" xfId="11227" xr:uid="{9567F25A-47FF-4023-8D19-C82AE0911671}"/>
    <cellStyle name="Currency 10 4 9" xfId="2788" xr:uid="{35E836A7-16E7-40C2-949C-380DB999AC81}"/>
    <cellStyle name="Currency 10 5" xfId="1083" xr:uid="{B915D274-1A7C-4405-AF17-1AB59A690F10}"/>
    <cellStyle name="Currency 10 5 10" xfId="8253" xr:uid="{3DB7E910-48AF-4C69-8A78-617171EA2898}"/>
    <cellStyle name="Currency 10 5 11" xfId="11863" xr:uid="{0C7B0217-90C7-4ED7-B207-BE877DCEAB05}"/>
    <cellStyle name="Currency 10 5 12" xfId="13608" xr:uid="{BF33D700-4D83-47FC-B27A-4A89D7886DBD}"/>
    <cellStyle name="Currency 10 5 2" xfId="1331" xr:uid="{7C8BEBA8-F46E-4451-AC92-7A5FF12C8965}"/>
    <cellStyle name="Currency 10 5 2 10" xfId="12111" xr:uid="{6EFA5FA4-642F-4123-8E42-98A58534F1E2}"/>
    <cellStyle name="Currency 10 5 2 11" xfId="13856" xr:uid="{E9C6EE90-C2BA-42B1-BAA3-40C0C1145BD6}"/>
    <cellStyle name="Currency 10 5 2 2" xfId="1837" xr:uid="{A9DB8E59-0A6C-4C6F-A997-635EABBA0AD2}"/>
    <cellStyle name="Currency 10 5 2 2 2" xfId="4559" xr:uid="{4530FEB6-2704-4C1D-8C74-AC03EBB5D23E}"/>
    <cellStyle name="Currency 10 5 2 2 2 2" xfId="10005" xr:uid="{668DB640-8DD8-4D35-B75C-62D61009A8A8}"/>
    <cellStyle name="Currency 10 5 2 2 3" xfId="3549" xr:uid="{71B9819B-A903-42DB-8E5A-460CB5FCB0D1}"/>
    <cellStyle name="Currency 10 5 2 2 4" xfId="7483" xr:uid="{7B1C31DD-B35C-4F7D-8203-0E95E0D52B13}"/>
    <cellStyle name="Currency 10 5 2 2 5" xfId="8997" xr:uid="{47082920-6C17-4CFB-B779-842ED50BB562}"/>
    <cellStyle name="Currency 10 5 2 2 6" xfId="12617" xr:uid="{451036FB-0A93-4E6A-87BC-D2941198B0CE}"/>
    <cellStyle name="Currency 10 5 2 2 7" xfId="14362" xr:uid="{0BF55238-9752-48A1-A868-E582550D09CC}"/>
    <cellStyle name="Currency 10 5 2 3" xfId="2345" xr:uid="{F4E0A6B0-0E1C-4C30-BDE2-11A6D783212B}"/>
    <cellStyle name="Currency 10 5 2 3 2" xfId="4065" xr:uid="{7351BA2C-DFEB-4082-BCE3-B5B9CCC30586}"/>
    <cellStyle name="Currency 10 5 2 3 3" xfId="7991" xr:uid="{2A157DA5-06FB-44A3-9629-DD1F145EA998}"/>
    <cellStyle name="Currency 10 5 2 3 4" xfId="9509" xr:uid="{660BABFD-1CFA-41C3-B966-F6A058329470}"/>
    <cellStyle name="Currency 10 5 2 3 5" xfId="13123" xr:uid="{F8F5ACB3-3667-40CE-BBAC-E3CBF972F0FB}"/>
    <cellStyle name="Currency 10 5 2 3 6" xfId="14868" xr:uid="{B2FD351B-AEC7-43D4-B220-70549779160E}"/>
    <cellStyle name="Currency 10 5 2 4" xfId="5037" xr:uid="{E27356DF-2A3A-4144-BFAA-1DE6A63C4831}"/>
    <cellStyle name="Currency 10 5 2 4 2" xfId="10507" xr:uid="{64C2C158-2C31-48F2-9085-510E7EDFC44C}"/>
    <cellStyle name="Currency 10 5 2 5" xfId="5535" xr:uid="{FE337AFB-4FE8-48D4-9307-A2CF22930114}"/>
    <cellStyle name="Currency 10 5 2 5 2" xfId="11009" xr:uid="{4847796C-8522-4BA3-B017-1F7D8DF39585}"/>
    <cellStyle name="Currency 10 5 2 6" xfId="6037" xr:uid="{C436CDB4-F7C4-4A5C-9C35-E42EAD13CBD0}"/>
    <cellStyle name="Currency 10 5 2 6 2" xfId="11511" xr:uid="{1FFD529C-DB8A-45A7-A9B5-3A35DD9F8F6B}"/>
    <cellStyle name="Currency 10 5 2 7" xfId="3055" xr:uid="{5FD191EA-E68F-4D81-ADF5-40103F7A38BD}"/>
    <cellStyle name="Currency 10 5 2 8" xfId="6977" xr:uid="{EAC93787-3EB6-4A63-A113-586BAC1CB94D}"/>
    <cellStyle name="Currency 10 5 2 9" xfId="8501" xr:uid="{5B2CC58C-B075-4FF9-8AE2-099E7B2D7E4B}"/>
    <cellStyle name="Currency 10 5 3" xfId="1589" xr:uid="{AA7A519B-DC67-41ED-A586-A3A05D7FAC04}"/>
    <cellStyle name="Currency 10 5 3 2" xfId="4311" xr:uid="{4784D46F-1C25-42D5-A3C4-2B2887887030}"/>
    <cellStyle name="Currency 10 5 3 2 2" xfId="9757" xr:uid="{B64D17C4-AB5B-4FE2-9CF7-ACFE28A0721C}"/>
    <cellStyle name="Currency 10 5 3 3" xfId="3301" xr:uid="{76A74AE1-1747-4C5D-A3AD-F37A5836A490}"/>
    <cellStyle name="Currency 10 5 3 4" xfId="7235" xr:uid="{1323E90A-55CE-49D4-9FEB-C3C348BC56F9}"/>
    <cellStyle name="Currency 10 5 3 5" xfId="8749" xr:uid="{1F33E7D9-4C4C-43F4-AB05-F36914C52C53}"/>
    <cellStyle name="Currency 10 5 3 6" xfId="12369" xr:uid="{572A0F15-FD5F-4FF6-B436-6113DB58055D}"/>
    <cellStyle name="Currency 10 5 3 7" xfId="14114" xr:uid="{FD3AD8B0-10F4-4221-BD82-64D0F8B04BFC}"/>
    <cellStyle name="Currency 10 5 4" xfId="2097" xr:uid="{CDF93557-604E-47F0-A527-A2DE8B48EDB2}"/>
    <cellStyle name="Currency 10 5 4 2" xfId="3817" xr:uid="{E2B3FE9D-E187-4167-90B6-BF309651EC33}"/>
    <cellStyle name="Currency 10 5 4 3" xfId="7743" xr:uid="{450B9751-5414-44E4-91DA-C96349FA1965}"/>
    <cellStyle name="Currency 10 5 4 4" xfId="9261" xr:uid="{8FC32216-A222-4B6B-970E-B5A9E39E43E5}"/>
    <cellStyle name="Currency 10 5 4 5" xfId="12875" xr:uid="{4952D107-6143-4BA1-8CCE-49EE8D4A3FA3}"/>
    <cellStyle name="Currency 10 5 4 6" xfId="14620" xr:uid="{8FDE30E2-D594-426F-BE11-B3EC6EEED083}"/>
    <cellStyle name="Currency 10 5 5" xfId="4805" xr:uid="{CCDDC206-765B-419C-A1E5-C2DC4C1B469B}"/>
    <cellStyle name="Currency 10 5 5 2" xfId="10259" xr:uid="{987AF5BE-794C-42CC-8176-1B47A7135457}"/>
    <cellStyle name="Currency 10 5 6" xfId="5287" xr:uid="{8F250ED7-6DDA-492A-9DBC-A69216E4D94C}"/>
    <cellStyle name="Currency 10 5 6 2" xfId="10761" xr:uid="{CA8F7C0D-F67F-46D9-9797-954FB43E4CDE}"/>
    <cellStyle name="Currency 10 5 7" xfId="5789" xr:uid="{216FEDF1-9343-4326-86C7-810F251B4EEF}"/>
    <cellStyle name="Currency 10 5 7 2" xfId="11263" xr:uid="{0D1FD5D0-5862-4180-AB6D-70A0447168F5}"/>
    <cellStyle name="Currency 10 5 8" xfId="2821" xr:uid="{4E0DE320-8C25-4410-9FBF-C48B70635B91}"/>
    <cellStyle name="Currency 10 5 9" xfId="6729" xr:uid="{24B99BA7-3A23-4139-A97F-40F3FFB80F67}"/>
    <cellStyle name="Currency 10 6" xfId="1207" xr:uid="{63D950D0-FFBA-471D-9AD7-8061F039ED7C}"/>
    <cellStyle name="Currency 10 6 10" xfId="11987" xr:uid="{576E4D2B-3BEA-40E5-8879-1303F412E52C}"/>
    <cellStyle name="Currency 10 6 11" xfId="13732" xr:uid="{CB24E48A-B6A3-437F-A685-A4F5AE609265}"/>
    <cellStyle name="Currency 10 6 2" xfId="1713" xr:uid="{3914DF26-2270-435F-A45D-E222F111FA42}"/>
    <cellStyle name="Currency 10 6 2 2" xfId="4435" xr:uid="{F31C5CB5-6B7F-432B-8135-30792154EB81}"/>
    <cellStyle name="Currency 10 6 2 2 2" xfId="9881" xr:uid="{9039CE9B-3BF6-4164-A508-9DE49967DB9E}"/>
    <cellStyle name="Currency 10 6 2 3" xfId="3425" xr:uid="{0DE23B39-0DBB-46A9-87AA-17259EAAB81D}"/>
    <cellStyle name="Currency 10 6 2 4" xfId="7359" xr:uid="{4795D53A-99D8-403C-9DA9-C917874634B1}"/>
    <cellStyle name="Currency 10 6 2 5" xfId="8873" xr:uid="{CE039D0A-E449-4C8A-8959-2D736998C2B2}"/>
    <cellStyle name="Currency 10 6 2 6" xfId="12493" xr:uid="{100C04F3-2B23-45A3-9BCB-2BCBE7F4EBB3}"/>
    <cellStyle name="Currency 10 6 2 7" xfId="14238" xr:uid="{E5D0E9B0-AF8F-45F5-83BE-11D9A69C2F87}"/>
    <cellStyle name="Currency 10 6 3" xfId="2221" xr:uid="{0C126AA8-9D11-422A-ABD8-15457A5A1729}"/>
    <cellStyle name="Currency 10 6 3 2" xfId="3941" xr:uid="{E2B3D430-E6C7-45F5-87F3-0856195FEEDF}"/>
    <cellStyle name="Currency 10 6 3 3" xfId="7867" xr:uid="{99A5A13E-B96F-42B4-9AAB-35EF4A4957A1}"/>
    <cellStyle name="Currency 10 6 3 4" xfId="9385" xr:uid="{E60DFE11-AAE7-4BCB-B2F4-04EDFE314723}"/>
    <cellStyle name="Currency 10 6 3 5" xfId="12999" xr:uid="{6AC3D436-75B9-48B5-8212-E749FB5B049A}"/>
    <cellStyle name="Currency 10 6 3 6" xfId="14744" xr:uid="{20198514-72FB-4EB9-9A21-A77C18AAE424}"/>
    <cellStyle name="Currency 10 6 4" xfId="4921" xr:uid="{CCD4D25B-F380-4BE0-978E-04EB6E520D6F}"/>
    <cellStyle name="Currency 10 6 4 2" xfId="10383" xr:uid="{67A37972-C05E-45CE-9528-64729E693920}"/>
    <cellStyle name="Currency 10 6 5" xfId="5411" xr:uid="{94A45100-0E33-4DA2-B215-7E1A81C4FB14}"/>
    <cellStyle name="Currency 10 6 5 2" xfId="10885" xr:uid="{DE8E3A8A-F5E4-4A1B-A008-B579BF04A89C}"/>
    <cellStyle name="Currency 10 6 6" xfId="5913" xr:uid="{B2F53804-1CC7-46A4-9633-E998A3FCE0EC}"/>
    <cellStyle name="Currency 10 6 6 2" xfId="11387" xr:uid="{B9D67E7F-8DE7-4E74-8F00-1CD7DE496C23}"/>
    <cellStyle name="Currency 10 6 7" xfId="2937" xr:uid="{58689C7D-1453-4AAC-B4DE-39D5C7D6F332}"/>
    <cellStyle name="Currency 10 6 8" xfId="6853" xr:uid="{8745286C-1F91-4813-8B5C-54867A86385C}"/>
    <cellStyle name="Currency 10 6 9" xfId="8377" xr:uid="{1D1988E8-CB2D-46F3-8EB6-9735D60148B9}"/>
    <cellStyle name="Currency 10 7" xfId="1465" xr:uid="{17C8B37F-5E4E-453A-845B-77907A899424}"/>
    <cellStyle name="Currency 10 7 2" xfId="4189" xr:uid="{C13D442D-466E-41D1-BA92-13FBCB07891B}"/>
    <cellStyle name="Currency 10 7 2 2" xfId="9633" xr:uid="{C163F303-DDA3-41B6-97D1-6BCA4819D772}"/>
    <cellStyle name="Currency 10 7 3" xfId="3179" xr:uid="{7F9E2BAC-B0BE-4857-B2CF-5FECA8CE63A7}"/>
    <cellStyle name="Currency 10 7 4" xfId="7111" xr:uid="{7B1DA445-F937-4D31-9377-E3D49B616660}"/>
    <cellStyle name="Currency 10 7 5" xfId="8625" xr:uid="{19073869-B94C-4606-B6AE-ED3253F6DEF5}"/>
    <cellStyle name="Currency 10 7 6" xfId="12245" xr:uid="{51D49A26-5F3A-4071-B534-E5E2B79573EA}"/>
    <cellStyle name="Currency 10 7 7" xfId="13990" xr:uid="{513EAA28-E887-4667-B1D6-5E6B0387674F}"/>
    <cellStyle name="Currency 10 8" xfId="1972" xr:uid="{D0C3287C-7A09-4285-86D2-5A61EAC22E0C}"/>
    <cellStyle name="Currency 10 8 2" xfId="3693" xr:uid="{5A84EC2C-611C-430E-A9AA-5E74A59664C5}"/>
    <cellStyle name="Currency 10 8 3" xfId="7618" xr:uid="{5EEFC3CD-951D-4980-BF3D-8447B92681A6}"/>
    <cellStyle name="Currency 10 8 4" xfId="9137" xr:uid="{278F4CC1-49BD-47C7-A180-6B0A23CE50B2}"/>
    <cellStyle name="Currency 10 8 5" xfId="12751" xr:uid="{3B2FAA1C-45DE-4C98-AB0E-E4E797655DBA}"/>
    <cellStyle name="Currency 10 8 6" xfId="14496" xr:uid="{1A41F815-F463-4DDA-9BB9-1764443DDAA4}"/>
    <cellStyle name="Currency 10 9" xfId="4689" xr:uid="{10A4F5A5-DC4E-468D-A67A-ADAF4D3B397D}"/>
    <cellStyle name="Currency 10 9 2" xfId="10135" xr:uid="{73413F24-C1FF-4EFE-B062-DDD441C4704F}"/>
    <cellStyle name="Currency 11" xfId="11708" xr:uid="{132AA4CB-560D-436C-8705-364FA30B1377}"/>
    <cellStyle name="Currency 2" xfId="47" xr:uid="{00000000-0005-0000-0000-0000EF000000}"/>
    <cellStyle name="Currency 2 2" xfId="48" xr:uid="{00000000-0005-0000-0000-0000F0000000}"/>
    <cellStyle name="Currency 2 2 2" xfId="115" xr:uid="{00000000-0005-0000-0000-0000F1000000}"/>
    <cellStyle name="Currency 2 2 2 2" xfId="3684" xr:uid="{19388887-9003-44EF-BF57-5BC80780389F}"/>
    <cellStyle name="Currency 2 2 3" xfId="139" xr:uid="{00000000-0005-0000-0000-0000F2000000}"/>
    <cellStyle name="Currency 2 2 3 2" xfId="309" xr:uid="{00000000-0005-0000-0000-0000F3000000}"/>
    <cellStyle name="Currency 2 3" xfId="49" xr:uid="{00000000-0005-0000-0000-0000F4000000}"/>
    <cellStyle name="Currency 2 3 2" xfId="140" xr:uid="{00000000-0005-0000-0000-0000F5000000}"/>
    <cellStyle name="Currency 2 3 2 2" xfId="310" xr:uid="{00000000-0005-0000-0000-0000F6000000}"/>
    <cellStyle name="Currency 2 3 3" xfId="251" xr:uid="{00000000-0005-0000-0000-0000F7000000}"/>
    <cellStyle name="Currency 2 3 3 2" xfId="2523" xr:uid="{F47693B7-848F-49E6-8E37-A7923737214A}"/>
    <cellStyle name="Currency 2 3 3 2 2" xfId="6604" xr:uid="{1B143311-ED78-40E5-9457-6934D6BA3673}"/>
    <cellStyle name="Currency 2 3 3 3" xfId="953" xr:uid="{B727D3F6-06FF-4033-9AB3-01BF065FF108}"/>
    <cellStyle name="Currency 2 4" xfId="50" xr:uid="{00000000-0005-0000-0000-0000F8000000}"/>
    <cellStyle name="Currency 2 4 2" xfId="141" xr:uid="{00000000-0005-0000-0000-0000F9000000}"/>
    <cellStyle name="Currency 2 4 2 2" xfId="311" xr:uid="{00000000-0005-0000-0000-0000FA000000}"/>
    <cellStyle name="Currency 2 4 3" xfId="252" xr:uid="{00000000-0005-0000-0000-0000FB000000}"/>
    <cellStyle name="Currency 2 5" xfId="111" xr:uid="{00000000-0005-0000-0000-0000FC000000}"/>
    <cellStyle name="Currency 2 5 2" xfId="288" xr:uid="{00000000-0005-0000-0000-0000FD000000}"/>
    <cellStyle name="Currency 2 6" xfId="554" xr:uid="{CD777F65-E11E-4637-AD1C-C7CC20390A45}"/>
    <cellStyle name="Currency 3" xfId="116" xr:uid="{00000000-0005-0000-0000-0000FE000000}"/>
    <cellStyle name="Currency 3 2" xfId="557" xr:uid="{DBE2AC2B-11CA-4020-9914-ED184F8A3F85}"/>
    <cellStyle name="Currency 3 3" xfId="754" xr:uid="{53C16BF0-3B07-43FA-AEAB-E8197CA8A5EF}"/>
    <cellStyle name="Currency 3 4" xfId="755" xr:uid="{2F4BFD32-7B44-4D50-84D5-F670D4999A4E}"/>
    <cellStyle name="Currency 3 5" xfId="976" xr:uid="{9B2619B9-4F40-4F3E-A9F7-187BC7A23057}"/>
    <cellStyle name="Currency 3 6" xfId="753" xr:uid="{22AA891D-F60E-40CF-AA52-F5D936F1856C}"/>
    <cellStyle name="Currency 4" xfId="108" xr:uid="{00000000-0005-0000-0000-0000FF000000}"/>
    <cellStyle name="Currency 4 2" xfId="757" xr:uid="{4282A4B5-4DD7-4A59-B3AE-5B7A68B25EFE}"/>
    <cellStyle name="Currency 4 3" xfId="758" xr:uid="{E35A22DD-B19A-4801-A8D0-50F77A87BC9D}"/>
    <cellStyle name="Currency 4 4" xfId="759" xr:uid="{317CDDDE-7486-4B31-918D-01476108C2DF}"/>
    <cellStyle name="Currency 4 5" xfId="756" xr:uid="{DE9BD9AC-1823-4C14-A016-46FF75C1962A}"/>
    <cellStyle name="Currency 5" xfId="218" xr:uid="{00000000-0005-0000-0000-000000010000}"/>
    <cellStyle name="Currency 5 2" xfId="340" xr:uid="{00000000-0005-0000-0000-000001010000}"/>
    <cellStyle name="Currency 5 2 2" xfId="392" xr:uid="{00000000-0005-0000-0000-000002010000}"/>
    <cellStyle name="Currency 5 2 2 2" xfId="6367" xr:uid="{72AFE5EF-304F-4BB0-9F26-BA4EB1EB287C}"/>
    <cellStyle name="Currency 5 2 2 3" xfId="13346" xr:uid="{13984CC9-64F2-4B00-ADD6-682CBAAA2539}"/>
    <cellStyle name="Currency 5 2 2 4" xfId="2600" xr:uid="{1E538595-9123-44C5-BB35-1618FFD2A36D}"/>
    <cellStyle name="Currency 5 2 3" xfId="443" xr:uid="{00000000-0005-0000-0000-000003010000}"/>
    <cellStyle name="Currency 5 2 3 2" xfId="6418" xr:uid="{0BD83A2C-EFD3-4FD3-BD44-54B21474E7F8}"/>
    <cellStyle name="Currency 5 2 3 3" xfId="13397" xr:uid="{44DE0FA1-D220-4842-9581-ADFB11946AAA}"/>
    <cellStyle name="Currency 5 2 3 4" xfId="2651" xr:uid="{030900A0-76FA-4704-960F-2346ECCA4D3E}"/>
    <cellStyle name="Currency 5 2 4" xfId="500" xr:uid="{00000000-0005-0000-0000-000004010000}"/>
    <cellStyle name="Currency 5 2 4 2" xfId="6474" xr:uid="{BE6E8F0A-449F-4A97-BECE-77512192100F}"/>
    <cellStyle name="Currency 5 2 4 3" xfId="13453" xr:uid="{08253630-258F-4EC6-A772-E964B2F8C661}"/>
    <cellStyle name="Currency 5 2 4 4" xfId="2707" xr:uid="{86700C7A-8445-48CF-9FD3-B36CFF1DA958}"/>
    <cellStyle name="Currency 5 2 5" xfId="2548" xr:uid="{54DB0A8C-9349-42BC-802B-1A16EA11BA55}"/>
    <cellStyle name="Currency 5 2 5 2" xfId="6579" xr:uid="{03E58B3E-2D09-4E53-B1FD-72B2EBBDE9EF}"/>
    <cellStyle name="Currency 5 2 6" xfId="6316" xr:uid="{8A9D61BD-6838-4E6F-A5E2-A2AA7CDC8968}"/>
    <cellStyle name="Currency 5 2 7" xfId="11698" xr:uid="{966CA647-E7C7-404F-8638-8B850F033916}"/>
    <cellStyle name="Currency 5 2 8" xfId="13295" xr:uid="{B8B661B0-6020-40BE-A9FD-D54694633894}"/>
    <cellStyle name="Currency 5 2 9" xfId="760" xr:uid="{98D7438B-E4DF-4E90-AA0B-54CEA30859FE}"/>
    <cellStyle name="Currency 5 3" xfId="364" xr:uid="{00000000-0005-0000-0000-000005010000}"/>
    <cellStyle name="Currency 5 3 2" xfId="6339" xr:uid="{F918B7B1-6B69-4960-B892-789E39A4072F}"/>
    <cellStyle name="Currency 5 3 3" xfId="11670" xr:uid="{9F9AF3EC-B021-42BB-84B2-8835A8B5AE3D}"/>
    <cellStyle name="Currency 5 3 4" xfId="13318" xr:uid="{43ECD017-C1EC-49E5-9EE7-BBF3FEA6E00A}"/>
    <cellStyle name="Currency 5 3 5" xfId="2572" xr:uid="{4BE94E9C-B21A-44CD-A620-157CD4CEB4C2}"/>
    <cellStyle name="Currency 5 4" xfId="415" xr:uid="{00000000-0005-0000-0000-000006010000}"/>
    <cellStyle name="Currency 5 4 2" xfId="6390" xr:uid="{CF092B15-C30F-4191-887F-03A99D43BF1B}"/>
    <cellStyle name="Currency 5 4 3" xfId="13369" xr:uid="{82CA44AC-9ABA-404E-AFFC-55F088CC7FEA}"/>
    <cellStyle name="Currency 5 4 4" xfId="2623" xr:uid="{F92D3A91-8B2B-4903-B053-34F1E49804C5}"/>
    <cellStyle name="Currency 5 5" xfId="471" xr:uid="{00000000-0005-0000-0000-000007010000}"/>
    <cellStyle name="Currency 5 5 2" xfId="6446" xr:uid="{B183A14F-D9CD-4629-955E-2B5A8C4DEE82}"/>
    <cellStyle name="Currency 5 5 3" xfId="13425" xr:uid="{57E15BAB-2D0B-4527-A51D-43E3A1A8234D}"/>
    <cellStyle name="Currency 5 5 4" xfId="2679" xr:uid="{3A1690EB-1D7E-4FC7-A360-DFD5B0AC86E6}"/>
    <cellStyle name="Currency 5 6" xfId="2500" xr:uid="{130088DA-3260-422E-BE94-FC714F396246}"/>
    <cellStyle name="Currency 5 6 2" xfId="6500" xr:uid="{412F4C64-9464-417F-8DA1-33FC52665397}"/>
    <cellStyle name="Currency 5 7" xfId="6288" xr:uid="{15E9C147-A9BC-4918-BF43-50CD390A1C0C}"/>
    <cellStyle name="Currency 5 8" xfId="13267" xr:uid="{0018C84F-E584-41C0-BF30-0E93CC3736F8}"/>
    <cellStyle name="Currency 5 9" xfId="535" xr:uid="{E4E6D918-3A7D-402E-B967-813CD5AE02AD}"/>
    <cellStyle name="Currency 6" xfId="337" xr:uid="{00000000-0005-0000-0000-000008010000}"/>
    <cellStyle name="Currency 6 2" xfId="761" xr:uid="{2EA9A810-F066-416F-A659-7C1227980B06}"/>
    <cellStyle name="Currency 6 3" xfId="6504" xr:uid="{FCED936F-CFBF-4833-AE62-AADC21158D81}"/>
    <cellStyle name="Currency 6 3 2" xfId="13468" xr:uid="{2E72E259-646D-40C7-BB1A-D33798405E89}"/>
    <cellStyle name="Currency 6 4" xfId="11723" xr:uid="{5D6CCEDD-181E-483C-9624-294FCFFAE668}"/>
    <cellStyle name="Currency 6 5" xfId="539" xr:uid="{64BB9A32-10C1-47D6-86B3-E462027CDF45}"/>
    <cellStyle name="Currency 7" xfId="233" xr:uid="{00000000-0005-0000-0000-000009010000}"/>
    <cellStyle name="Currency 7 2" xfId="379" xr:uid="{00000000-0005-0000-0000-00000A010000}"/>
    <cellStyle name="Currency 7 2 2" xfId="2587" xr:uid="{2C249AB9-F2F8-4C03-AF63-92C09DB97184}"/>
    <cellStyle name="Currency 7 2 2 2" xfId="6580" xr:uid="{76E4B4CA-E1D0-48AB-9E4E-CAC7C6DF86E4}"/>
    <cellStyle name="Currency 7 2 3" xfId="6354" xr:uid="{3FA8A3D1-AA20-4496-96F4-379BD3CF8F91}"/>
    <cellStyle name="Currency 7 2 4" xfId="11685" xr:uid="{B9CF20E3-BA4C-4901-886F-0F87F887EA25}"/>
    <cellStyle name="Currency 7 2 5" xfId="13333" xr:uid="{9AF2140D-665A-403C-8266-10C4EA521589}"/>
    <cellStyle name="Currency 7 2 6" xfId="762" xr:uid="{27B0F176-6869-4399-9CE5-947D2381B7A3}"/>
    <cellStyle name="Currency 7 3" xfId="430" xr:uid="{00000000-0005-0000-0000-00000B010000}"/>
    <cellStyle name="Currency 7 3 2" xfId="6405" xr:uid="{461A7011-6975-4935-B934-D44A39D99616}"/>
    <cellStyle name="Currency 7 3 3" xfId="13384" xr:uid="{5E13B3E2-608B-4175-BC2E-AE20074F95EA}"/>
    <cellStyle name="Currency 7 3 4" xfId="2638" xr:uid="{322571B6-6899-415F-B971-E625748F6F36}"/>
    <cellStyle name="Currency 7 4" xfId="487" xr:uid="{00000000-0005-0000-0000-00000C010000}"/>
    <cellStyle name="Currency 7 4 2" xfId="6461" xr:uid="{C809E14A-92EC-42DB-9311-980E3C1B4533}"/>
    <cellStyle name="Currency 7 4 3" xfId="13440" xr:uid="{D305BB05-ED8A-4AF6-933E-1A810A56C056}"/>
    <cellStyle name="Currency 7 4 4" xfId="2694" xr:uid="{F44945D0-47EA-40B4-BAE9-6ECC26B0A3D6}"/>
    <cellStyle name="Currency 7 5" xfId="2515" xr:uid="{01944DC6-5653-46E8-8212-A4B13863A5B4}"/>
    <cellStyle name="Currency 7 5 2" xfId="6507" xr:uid="{7EBD280F-58B4-4938-B9C6-9A42B933BCF6}"/>
    <cellStyle name="Currency 7 5 3" xfId="13471" xr:uid="{5B7F20DE-0F19-465E-AE08-C7DEE2850D25}"/>
    <cellStyle name="Currency 7 6" xfId="6303" xr:uid="{4C7F2EB4-256C-46EE-9FE5-32A883C110DE}"/>
    <cellStyle name="Currency 7 7" xfId="11726" xr:uid="{127118AD-4E4F-478A-B3D7-4E58A67CCB57}"/>
    <cellStyle name="Currency 7 8" xfId="13282" xr:uid="{7999769C-4E17-4A15-8745-00C5EECAF350}"/>
    <cellStyle name="Currency 7 9" xfId="542" xr:uid="{0916332C-7DCB-47F8-BD22-C70956BE7502}"/>
    <cellStyle name="Currency 8" xfId="458" xr:uid="{00000000-0005-0000-0000-00000D010000}"/>
    <cellStyle name="Currency 8 2" xfId="2666" xr:uid="{9BC41E58-E055-48D6-B6B9-4A78D008CC8B}"/>
    <cellStyle name="Currency 8 2 2" xfId="6243" xr:uid="{84AD2748-59C9-4A9B-BF01-D711B613D247}"/>
    <cellStyle name="Currency 8 2 3" xfId="6581" xr:uid="{F5B92915-99E2-4440-B7BF-1C3649F6AC1E}"/>
    <cellStyle name="Currency 8 3" xfId="6433" xr:uid="{D38B5421-9B0D-4478-BD2C-025826C0752C}"/>
    <cellStyle name="Currency 8 4" xfId="13412" xr:uid="{2207C10B-A173-47B4-BCE2-81DC6070306C}"/>
    <cellStyle name="Currency 8 5" xfId="763" xr:uid="{07B8C898-E96B-4D2C-ABFC-503DCBF62B35}"/>
    <cellStyle name="Currency 9" xfId="764" xr:uid="{4F27B9FA-EBD6-412A-8205-3DF4FF11CEF5}"/>
    <cellStyle name="Explanatory Text" xfId="189" builtinId="53" customBuiltin="1"/>
    <cellStyle name="Explanatory Text 2" xfId="51" xr:uid="{00000000-0005-0000-0000-00000F010000}"/>
    <cellStyle name="Explanatory Text 3" xfId="765" xr:uid="{10C82993-5678-4BC0-9D9A-20475CEBCFA0}"/>
    <cellStyle name="Explanatory Text 4" xfId="766" xr:uid="{2CC39406-28FA-4F43-B5E2-609E4C4B8FA5}"/>
    <cellStyle name="Explanatory Text 5" xfId="767" xr:uid="{310DD682-0D1B-47B4-923B-EA01C5DCA258}"/>
    <cellStyle name="Explanatory Text 6" xfId="768" xr:uid="{D1EABD06-2AF9-46E5-9BFC-E8215F36D76D}"/>
    <cellStyle name="Explanatory Text 7" xfId="6181" xr:uid="{C67E9363-5FCE-493E-85C7-05089AA05C20}"/>
    <cellStyle name="Good" xfId="180" builtinId="26" customBuiltin="1"/>
    <cellStyle name="Good 2" xfId="52" xr:uid="{00000000-0005-0000-0000-000011010000}"/>
    <cellStyle name="Good 3" xfId="769" xr:uid="{5A84DF3C-8FEF-4D3B-8FED-C008DE5DFDE1}"/>
    <cellStyle name="Good 4" xfId="770" xr:uid="{26F737BB-BE36-415D-A8DA-95C4ADFA27CE}"/>
    <cellStyle name="Good 5" xfId="771" xr:uid="{16945403-6BEC-4D9D-B443-12D8ABC616EA}"/>
    <cellStyle name="Good 6" xfId="772" xr:uid="{00F8EE28-6A13-48CE-8884-6FA01F920880}"/>
    <cellStyle name="Good 7" xfId="6172" xr:uid="{8FA68B07-9919-4651-B1F7-52482B82D93E}"/>
    <cellStyle name="Heading 1" xfId="176" builtinId="16" customBuiltin="1"/>
    <cellStyle name="Heading 1 2" xfId="53" xr:uid="{00000000-0005-0000-0000-000013010000}"/>
    <cellStyle name="Heading 1 2 2" xfId="773" xr:uid="{8B56A6F2-11C8-4FE0-8738-CB3EE28A7EE2}"/>
    <cellStyle name="Heading 1 2 2 2" xfId="6226" xr:uid="{923861A5-4B49-4D8F-BDC5-155AE6A67ACB}"/>
    <cellStyle name="Heading 1 3" xfId="774" xr:uid="{3873A93B-4402-47F9-9BA5-4D312DDDA2FE}"/>
    <cellStyle name="Heading 1 4" xfId="775" xr:uid="{D457A8DB-6953-4D02-8D79-618DBFFC0FD8}"/>
    <cellStyle name="Heading 1 5" xfId="776" xr:uid="{CD723C3D-FCE8-4CBB-A2ED-ED9F636BBA43}"/>
    <cellStyle name="Heading 1 6" xfId="777" xr:uid="{56646E9A-BA4C-4FA1-ABD8-574AC32FD313}"/>
    <cellStyle name="Heading 1 7" xfId="778" xr:uid="{7B619C7D-9CA2-404F-8179-3314C9D37C21}"/>
    <cellStyle name="Heading 1 8" xfId="779" xr:uid="{9532F43D-3408-4BDE-9F3E-FD05AB6FC89C}"/>
    <cellStyle name="Heading 1 9" xfId="6168" xr:uid="{48FD22EE-B7DB-4579-8357-5BA523DBB9A5}"/>
    <cellStyle name="Heading 2" xfId="177" builtinId="17" customBuiltin="1"/>
    <cellStyle name="Heading 2 2" xfId="54" xr:uid="{00000000-0005-0000-0000-000015010000}"/>
    <cellStyle name="Heading 2 2 2" xfId="780" xr:uid="{79A6354A-46B7-4866-BD16-EF778AC4D45E}"/>
    <cellStyle name="Heading 2 2 2 2" xfId="6227" xr:uid="{C443FC26-94D3-4D88-968D-62F2167508A0}"/>
    <cellStyle name="Heading 2 3" xfId="781" xr:uid="{D3D2E300-8D59-43B7-8A8B-FF2CDAE64BAB}"/>
    <cellStyle name="Heading 2 4" xfId="782" xr:uid="{8A824865-5A7C-4ABB-822D-044D23AD62DA}"/>
    <cellStyle name="Heading 2 5" xfId="783" xr:uid="{D89DBC28-83E4-4718-B343-2A21E1494F44}"/>
    <cellStyle name="Heading 2 6" xfId="784" xr:uid="{1562AA62-14A0-418E-A32E-8C98B3DC02ED}"/>
    <cellStyle name="Heading 2 7" xfId="785" xr:uid="{ACB6C456-A1FD-4F8B-B603-B16F9CDFF052}"/>
    <cellStyle name="Heading 2 8" xfId="786" xr:uid="{D1929A5A-89F6-495D-8402-EDF133F75539}"/>
    <cellStyle name="Heading 2 9" xfId="6169" xr:uid="{EC3E8426-BCF6-4520-9230-F8D36E4B2AED}"/>
    <cellStyle name="Heading 3" xfId="178" builtinId="18" customBuiltin="1"/>
    <cellStyle name="Heading 3 2" xfId="55" xr:uid="{00000000-0005-0000-0000-000017010000}"/>
    <cellStyle name="Heading 3 2 2" xfId="787" xr:uid="{EC609552-AE85-4DF4-BC6B-0E052E2FD2C2}"/>
    <cellStyle name="Heading 3 2 2 2" xfId="6228" xr:uid="{F5D00A82-9FA7-4F19-9360-E2DA51A53168}"/>
    <cellStyle name="Heading 3 3" xfId="788" xr:uid="{3349BC2A-6E41-4A77-B36B-888DB346EC71}"/>
    <cellStyle name="Heading 3 4" xfId="789" xr:uid="{CDE81612-CA74-4EA5-A2D4-4D430D7293A0}"/>
    <cellStyle name="Heading 3 5" xfId="790" xr:uid="{B36ECE0C-AD74-40D1-805A-3CC76DA81C69}"/>
    <cellStyle name="Heading 3 6" xfId="791" xr:uid="{FF16353A-4FE1-4FC3-BAAC-03A7EE1319EF}"/>
    <cellStyle name="Heading 3 7" xfId="792" xr:uid="{E629DAF7-603B-4449-9FEE-ADFE7EB5539F}"/>
    <cellStyle name="Heading 3 8" xfId="793" xr:uid="{408AD646-3912-472F-AF39-53967E143D67}"/>
    <cellStyle name="Heading 3 9" xfId="6170" xr:uid="{08C9F44B-7846-47FF-9B29-572DD5F4EB8C}"/>
    <cellStyle name="Heading 4" xfId="179" builtinId="19" customBuiltin="1"/>
    <cellStyle name="Heading 4 2" xfId="56" xr:uid="{00000000-0005-0000-0000-000019010000}"/>
    <cellStyle name="Heading 4 2 2" xfId="794" xr:uid="{116AA30A-80FC-441B-A5CA-C9B54E69C3CA}"/>
    <cellStyle name="Heading 4 2 2 2" xfId="6229" xr:uid="{4E8DE5FD-0752-490A-A1C9-F8B1C252C270}"/>
    <cellStyle name="Heading 4 3" xfId="795" xr:uid="{81576D49-F290-446B-B260-41D77307282A}"/>
    <cellStyle name="Heading 4 4" xfId="796" xr:uid="{63977B9A-6F51-406F-A1B2-DA7B254F0DA7}"/>
    <cellStyle name="Heading 4 5" xfId="797" xr:uid="{EFFEE7C1-6E2B-4CC0-BF6D-E464F11CC345}"/>
    <cellStyle name="Heading 4 6" xfId="798" xr:uid="{5140D0C3-8101-4B4C-81BB-C52D3DD875F5}"/>
    <cellStyle name="Heading 4 7" xfId="799" xr:uid="{95DD80D2-CAE1-4BDA-9214-4C5ACF51B770}"/>
    <cellStyle name="Heading 4 8" xfId="800" xr:uid="{21D2CEF5-57C6-40F1-886F-F02A756A6F76}"/>
    <cellStyle name="Heading 4 9" xfId="6171" xr:uid="{F18DA0CC-6AD7-41B9-94E0-AD748A935167}"/>
    <cellStyle name="Input" xfId="183" builtinId="20" customBuiltin="1"/>
    <cellStyle name="Input 2" xfId="57" xr:uid="{00000000-0005-0000-0000-00001B010000}"/>
    <cellStyle name="Input 3" xfId="801" xr:uid="{24C3E691-4E5C-40FB-9E60-6873B30D3774}"/>
    <cellStyle name="Input 4" xfId="802" xr:uid="{49298287-F96D-442E-ABB3-7694781CCA62}"/>
    <cellStyle name="Input 5" xfId="803" xr:uid="{2420FEEB-F8FD-4037-BFEF-3E6E7A25438D}"/>
    <cellStyle name="Input 6" xfId="804" xr:uid="{A88AD751-C95D-47A9-A581-4149CE3EC166}"/>
    <cellStyle name="Input 7" xfId="6175" xr:uid="{4724B808-312B-4346-8A22-210706C6F3DC}"/>
    <cellStyle name="kirkdollars" xfId="805" xr:uid="{CB5C0B8C-0EA9-4863-949A-4EEFA4523D32}"/>
    <cellStyle name="Linked Cell" xfId="186" builtinId="24" customBuiltin="1"/>
    <cellStyle name="Linked Cell 2" xfId="58" xr:uid="{00000000-0005-0000-0000-00001D010000}"/>
    <cellStyle name="Linked Cell 3" xfId="806" xr:uid="{59CEFC53-F92E-4EA9-9D77-3B02C287A407}"/>
    <cellStyle name="Linked Cell 4" xfId="807" xr:uid="{FA04C4AE-FE65-4676-8768-112D5A159B82}"/>
    <cellStyle name="Linked Cell 5" xfId="808" xr:uid="{A3B2ADC8-CBBF-4B3F-87C9-CAC94C0C99B7}"/>
    <cellStyle name="Linked Cell 6" xfId="809" xr:uid="{772F3357-A4F3-4CB1-A42D-9ADF1F65B675}"/>
    <cellStyle name="Linked Cell 7" xfId="6178" xr:uid="{568F8213-4C1E-43D5-8A50-9B23A1E2D1A9}"/>
    <cellStyle name="Neutral" xfId="182" builtinId="28" customBuiltin="1"/>
    <cellStyle name="Neutral 2" xfId="59" xr:uid="{00000000-0005-0000-0000-00001F010000}"/>
    <cellStyle name="Neutral 3" xfId="810" xr:uid="{654DC440-D496-4A6B-B701-ACC9DE9CA152}"/>
    <cellStyle name="Neutral 4" xfId="811" xr:uid="{404A5272-0E79-4B41-9C09-E1B825F2C64D}"/>
    <cellStyle name="Neutral 5" xfId="812" xr:uid="{61EAECC0-8CCA-4AF7-ADB0-8253D5279808}"/>
    <cellStyle name="Neutral 6" xfId="813" xr:uid="{19954C8E-5C2E-4D9D-B149-87053F24AD31}"/>
    <cellStyle name="Neutral 7" xfId="6174" xr:uid="{FA233482-6B77-4AD1-869A-DA3B441475BE}"/>
    <cellStyle name="Normal" xfId="0" builtinId="0"/>
    <cellStyle name="Normal 10" xfId="472" xr:uid="{00000000-0005-0000-0000-000021010000}"/>
    <cellStyle name="Normal 10 2" xfId="814" xr:uid="{577F104F-06CE-4413-B249-4E5B1757520A}"/>
    <cellStyle name="Normal 10 2 2" xfId="6207" xr:uid="{5CDE31B1-DA55-452A-92C2-020C49A0DF23}"/>
    <cellStyle name="Normal 11" xfId="501" xr:uid="{00000000-0005-0000-0000-000022010000}"/>
    <cellStyle name="Normal 11 2" xfId="815" xr:uid="{2DEB050C-7369-4C90-A678-30BA7C445122}"/>
    <cellStyle name="Normal 12" xfId="444" xr:uid="{00000000-0005-0000-0000-000023010000}"/>
    <cellStyle name="Normal 12 2" xfId="816" xr:uid="{69AE7225-779B-4A0D-921E-71EE697D82ED}"/>
    <cellStyle name="Normal 12 3" xfId="2652" xr:uid="{61DB289B-DD4C-4270-9433-136A7FA19F51}"/>
    <cellStyle name="Normal 12 3 2" xfId="6485" xr:uid="{CAAAC0C3-49F0-40C4-A9A4-7C5772D6B4C8}"/>
    <cellStyle name="Normal 12 3 3" xfId="13460" xr:uid="{760C3F03-7919-4A0D-8BE1-4E0D9DCD523E}"/>
    <cellStyle name="Normal 12 4" xfId="6419" xr:uid="{7F1EAC75-43BD-4F80-B0BF-E516F403A942}"/>
    <cellStyle name="Normal 12 5" xfId="11715" xr:uid="{A96698B6-A40B-4DF2-BD7B-E747DBA74438}"/>
    <cellStyle name="Normal 12 6" xfId="13398" xr:uid="{32B983B2-AAA0-496A-B40A-62AB6C0EDF4A}"/>
    <cellStyle name="Normal 12 7" xfId="515" xr:uid="{6BC2BC60-B8AC-4995-8BA8-20EA958B73AF}"/>
    <cellStyle name="Normal 13" xfId="533" xr:uid="{3B8B37C9-B998-4621-B99B-E919EAAA1C9F}"/>
    <cellStyle name="Normal 13 2" xfId="817" xr:uid="{AD3733CB-2D68-4F34-B15B-8812FFE50875}"/>
    <cellStyle name="Normal 13 3" xfId="6276" xr:uid="{2CF85495-EBE0-43A9-9E3F-B0714E3AB282}"/>
    <cellStyle name="Normal 14" xfId="504" xr:uid="{00000000-0005-0000-0000-000024010000}"/>
    <cellStyle name="Normal 14 2" xfId="818" xr:uid="{7976820A-26E4-428D-9F33-5E79D6EE1B04}"/>
    <cellStyle name="Normal 15" xfId="537" xr:uid="{ED91FC83-85E8-4244-A211-BFBE23E04C5D}"/>
    <cellStyle name="Normal 15 10" xfId="5168" xr:uid="{05C11ECA-C751-4039-9E72-13A59400F600}"/>
    <cellStyle name="Normal 15 10 2" xfId="10638" xr:uid="{135EFED1-E991-4EE2-9263-D99D25DBCFD0}"/>
    <cellStyle name="Normal 15 11" xfId="5666" xr:uid="{FE730D7A-01EE-46CB-AFF9-84DB4DD349C4}"/>
    <cellStyle name="Normal 15 11 2" xfId="11140" xr:uid="{3CB654DA-788F-472A-B2A5-AF220C064F37}"/>
    <cellStyle name="Normal 15 12" xfId="2711" xr:uid="{77E8A70C-B521-4D81-82BB-C22C71204865}"/>
    <cellStyle name="Normal 15 13" xfId="6502" xr:uid="{9930B1F7-0EB2-4D3E-BE5C-C30D964E7569}"/>
    <cellStyle name="Normal 15 14" xfId="8130" xr:uid="{7D272E99-80B8-4DA1-9FAC-C8797B9E6094}"/>
    <cellStyle name="Normal 15 15" xfId="11721" xr:uid="{86A2667D-D885-4149-BF6F-6F729CFE0687}"/>
    <cellStyle name="Normal 15 16" xfId="13466" xr:uid="{0773A135-B158-4805-977A-78B99680892B}"/>
    <cellStyle name="Normal 15 2" xfId="977" xr:uid="{C94809F9-6BC4-4F57-8868-9E4AB9166528}"/>
    <cellStyle name="Normal 15 2 10" xfId="2730" xr:uid="{55AB7F97-8496-4E6E-BF1A-1025F0CBC733}"/>
    <cellStyle name="Normal 15 2 11" xfId="6626" xr:uid="{9714E079-E717-4464-8E3C-2EA97C03FAD3}"/>
    <cellStyle name="Normal 15 2 12" xfId="8152" xr:uid="{E91F7161-4C0E-4D0F-960C-F2205F61EFC3}"/>
    <cellStyle name="Normal 15 2 13" xfId="11762" xr:uid="{ED38E443-E85B-4F48-8D66-55B2C5E4E402}"/>
    <cellStyle name="Normal 15 2 14" xfId="13507" xr:uid="{9DD4830A-7C19-48EB-A8A7-52A21978A70D}"/>
    <cellStyle name="Normal 15 2 2" xfId="1051" xr:uid="{70CF50C5-64E4-425A-8AE2-3988D591E9F6}"/>
    <cellStyle name="Normal 15 2 2 10" xfId="6697" xr:uid="{D4F4BF62-6889-42EF-90BD-F13EDD4F6D41}"/>
    <cellStyle name="Normal 15 2 2 11" xfId="8221" xr:uid="{ED6E9076-F795-4967-BD52-CA7E86D18CC9}"/>
    <cellStyle name="Normal 15 2 2 12" xfId="11831" xr:uid="{A1E66FFC-2587-401F-AC9C-8C14764D5050}"/>
    <cellStyle name="Normal 15 2 2 13" xfId="13576" xr:uid="{5E74330F-37FA-4641-B7FC-A451CB0CEB4D}"/>
    <cellStyle name="Normal 15 2 2 2" xfId="1175" xr:uid="{5D693D5F-9BCF-4911-8976-2A0706EDC355}"/>
    <cellStyle name="Normal 15 2 2 2 10" xfId="8345" xr:uid="{80A57632-5AA3-476A-878D-2B41742C605B}"/>
    <cellStyle name="Normal 15 2 2 2 11" xfId="11955" xr:uid="{9F885622-3600-4F70-976E-DF725F7C8B90}"/>
    <cellStyle name="Normal 15 2 2 2 12" xfId="13700" xr:uid="{74436554-D28C-4129-9C4B-4F40C7E171FB}"/>
    <cellStyle name="Normal 15 2 2 2 2" xfId="1423" xr:uid="{7554FA40-A114-4999-A64C-AB08C9892DF4}"/>
    <cellStyle name="Normal 15 2 2 2 2 10" xfId="12203" xr:uid="{E91ED209-BEC7-4F7C-B1A8-51089D5A9CEB}"/>
    <cellStyle name="Normal 15 2 2 2 2 11" xfId="13948" xr:uid="{269A201A-6A1E-487B-8E54-94E65FF5C371}"/>
    <cellStyle name="Normal 15 2 2 2 2 2" xfId="1929" xr:uid="{F7E20E50-AA16-42EB-8651-22C307C4F08E}"/>
    <cellStyle name="Normal 15 2 2 2 2 2 2" xfId="4651" xr:uid="{39233DA6-8276-44AA-9F15-F54555D84F4C}"/>
    <cellStyle name="Normal 15 2 2 2 2 2 2 2" xfId="10097" xr:uid="{467B6221-AB2F-4891-BB94-BC623AFE50B0}"/>
    <cellStyle name="Normal 15 2 2 2 2 2 3" xfId="3641" xr:uid="{99491D10-26AB-4FCB-B62A-4C45DA90824E}"/>
    <cellStyle name="Normal 15 2 2 2 2 2 4" xfId="7575" xr:uid="{9DC71C72-03DD-4990-A265-9699810BD12E}"/>
    <cellStyle name="Normal 15 2 2 2 2 2 5" xfId="9089" xr:uid="{C4B500FF-F2BC-4882-A0D2-94EBE68CCF4D}"/>
    <cellStyle name="Normal 15 2 2 2 2 2 6" xfId="12709" xr:uid="{334CF863-B07A-4865-96EC-6776BFFE946B}"/>
    <cellStyle name="Normal 15 2 2 2 2 2 7" xfId="14454" xr:uid="{949B3620-CD23-4728-A20E-00F611314FA7}"/>
    <cellStyle name="Normal 15 2 2 2 2 3" xfId="2437" xr:uid="{AF8257F3-DF19-4DC8-9768-B8D8794869DD}"/>
    <cellStyle name="Normal 15 2 2 2 2 3 2" xfId="4157" xr:uid="{D07BD8F5-1BA5-4DE5-933E-BA2CC0A0DF12}"/>
    <cellStyle name="Normal 15 2 2 2 2 3 3" xfId="8083" xr:uid="{18103B0A-3646-4E6E-8E7F-8D22FD130365}"/>
    <cellStyle name="Normal 15 2 2 2 2 3 4" xfId="9601" xr:uid="{61ABB0FB-7389-4B7F-BFC5-1C7C3CE39496}"/>
    <cellStyle name="Normal 15 2 2 2 2 3 5" xfId="13215" xr:uid="{832D241A-2CFD-4FAA-B53D-F57FC781F5B7}"/>
    <cellStyle name="Normal 15 2 2 2 2 3 6" xfId="14960" xr:uid="{E09BB278-B50A-4264-9D9E-76EA5B6CEE22}"/>
    <cellStyle name="Normal 15 2 2 2 2 4" xfId="5129" xr:uid="{27142F1E-C4B9-43B9-BBA8-AE726487CCAF}"/>
    <cellStyle name="Normal 15 2 2 2 2 4 2" xfId="10599" xr:uid="{C048E3BB-2F6C-4F13-BF67-E7225FE3E6DC}"/>
    <cellStyle name="Normal 15 2 2 2 2 5" xfId="5627" xr:uid="{093EAAFD-878B-4DC1-B124-C67EE7CA15D8}"/>
    <cellStyle name="Normal 15 2 2 2 2 5 2" xfId="11101" xr:uid="{BD820FAE-DEF0-4CC5-8468-502E0ADEC29B}"/>
    <cellStyle name="Normal 15 2 2 2 2 6" xfId="6129" xr:uid="{C48CA379-9732-429C-8B21-B9699B603CBB}"/>
    <cellStyle name="Normal 15 2 2 2 2 6 2" xfId="11603" xr:uid="{2216701C-6948-4C80-B76C-0147F0D4D51B}"/>
    <cellStyle name="Normal 15 2 2 2 2 7" xfId="3147" xr:uid="{E6FCDC8B-7320-4C61-A810-349573C693E2}"/>
    <cellStyle name="Normal 15 2 2 2 2 8" xfId="7069" xr:uid="{FBBAA1FC-9B83-47CD-8496-F70749A05E33}"/>
    <cellStyle name="Normal 15 2 2 2 2 9" xfId="8593" xr:uid="{B0910944-B4E9-4515-A81B-CE908BCFB342}"/>
    <cellStyle name="Normal 15 2 2 2 3" xfId="1681" xr:uid="{8827F279-7F92-4161-9CF2-92E3B684AFBE}"/>
    <cellStyle name="Normal 15 2 2 2 3 2" xfId="4403" xr:uid="{75E09BCB-9395-495E-9646-DC2D8C39A6FE}"/>
    <cellStyle name="Normal 15 2 2 2 3 2 2" xfId="9849" xr:uid="{324F1452-5301-4071-B8CD-7923F69CF90D}"/>
    <cellStyle name="Normal 15 2 2 2 3 3" xfId="3393" xr:uid="{A72DDDB9-101C-4B98-B853-2006478C6EC9}"/>
    <cellStyle name="Normal 15 2 2 2 3 4" xfId="7327" xr:uid="{5079A9FA-94DE-456C-8AD6-E6624642C15A}"/>
    <cellStyle name="Normal 15 2 2 2 3 5" xfId="8841" xr:uid="{230C2A62-21FD-43D9-A43E-8714613FA011}"/>
    <cellStyle name="Normal 15 2 2 2 3 6" xfId="12461" xr:uid="{EB608DC2-115E-4AB8-ADA8-484769925D52}"/>
    <cellStyle name="Normal 15 2 2 2 3 7" xfId="14206" xr:uid="{599DDF47-0991-4B65-916C-865CF9948777}"/>
    <cellStyle name="Normal 15 2 2 2 4" xfId="2189" xr:uid="{DFE70631-47AB-4C35-A869-5A8B0275CED9}"/>
    <cellStyle name="Normal 15 2 2 2 4 2" xfId="3909" xr:uid="{94643665-414E-4984-B425-66F9A62706DD}"/>
    <cellStyle name="Normal 15 2 2 2 4 3" xfId="7835" xr:uid="{B42AC8CE-A1EC-450C-ABF8-D025589F8665}"/>
    <cellStyle name="Normal 15 2 2 2 4 4" xfId="9353" xr:uid="{F3911BDB-CC1D-492B-AFD6-617286A23F9D}"/>
    <cellStyle name="Normal 15 2 2 2 4 5" xfId="12967" xr:uid="{A9F4232C-1F07-4A3E-99B2-27D517374BCF}"/>
    <cellStyle name="Normal 15 2 2 2 4 6" xfId="14712" xr:uid="{BE1F6E6C-2F35-40D2-ABFD-ABDDF09D3FFA}"/>
    <cellStyle name="Normal 15 2 2 2 5" xfId="4890" xr:uid="{42014A36-133A-460C-8E28-7392F12CC6C2}"/>
    <cellStyle name="Normal 15 2 2 2 5 2" xfId="10351" xr:uid="{0CB950A1-8B62-441C-B176-FDCED7404B20}"/>
    <cellStyle name="Normal 15 2 2 2 6" xfId="5379" xr:uid="{E45B80F3-9479-410B-A388-0382FEC399BA}"/>
    <cellStyle name="Normal 15 2 2 2 6 2" xfId="10853" xr:uid="{3E76B061-D453-44E5-A781-54A0FD2F59DB}"/>
    <cellStyle name="Normal 15 2 2 2 7" xfId="5881" xr:uid="{CB68DA50-74BD-44E6-96BB-2D811389B9D5}"/>
    <cellStyle name="Normal 15 2 2 2 7 2" xfId="11355" xr:uid="{90B907D6-919D-4087-A125-50EBF25FF1B6}"/>
    <cellStyle name="Normal 15 2 2 2 8" xfId="2906" xr:uid="{535E66A7-B6D6-49FA-BEDB-0E7F5C51F8AE}"/>
    <cellStyle name="Normal 15 2 2 2 9" xfId="6821" xr:uid="{A5C88E44-918A-46DC-A9B3-F1BF77E4F964}"/>
    <cellStyle name="Normal 15 2 2 3" xfId="1299" xr:uid="{CE6E1CFB-9DF8-466A-B666-2C8B44C578CE}"/>
    <cellStyle name="Normal 15 2 2 3 10" xfId="12079" xr:uid="{048A2A51-75C3-4BC4-A339-9E04EF417737}"/>
    <cellStyle name="Normal 15 2 2 3 11" xfId="13824" xr:uid="{423CDC0B-7310-4C37-AADD-38DE98B6B8B0}"/>
    <cellStyle name="Normal 15 2 2 3 2" xfId="1805" xr:uid="{56D35664-8567-4864-A961-B2254E3CA6FA}"/>
    <cellStyle name="Normal 15 2 2 3 2 2" xfId="4527" xr:uid="{B1929A77-1616-44F5-A405-6A47611EE20D}"/>
    <cellStyle name="Normal 15 2 2 3 2 2 2" xfId="9973" xr:uid="{6320F47A-2EDA-45A6-AB34-4DAD0B933867}"/>
    <cellStyle name="Normal 15 2 2 3 2 3" xfId="3517" xr:uid="{AECF3E03-43A0-4697-BFAE-F8E56450B85C}"/>
    <cellStyle name="Normal 15 2 2 3 2 4" xfId="7451" xr:uid="{A6AFC84A-5EC9-445D-A795-E2CFE4D97E23}"/>
    <cellStyle name="Normal 15 2 2 3 2 5" xfId="8965" xr:uid="{BDCEBE50-AA9E-4286-91A7-10E3EA68DFB4}"/>
    <cellStyle name="Normal 15 2 2 3 2 6" xfId="12585" xr:uid="{929B25CA-67BC-445F-9D1A-32154BBF2FCB}"/>
    <cellStyle name="Normal 15 2 2 3 2 7" xfId="14330" xr:uid="{270AB4A9-5A58-403F-B667-D812DD803A2A}"/>
    <cellStyle name="Normal 15 2 2 3 3" xfId="2313" xr:uid="{5956B416-E21A-4239-B25B-73223981F067}"/>
    <cellStyle name="Normal 15 2 2 3 3 2" xfId="4033" xr:uid="{C2834956-F984-4D32-BCAB-439C5C01118C}"/>
    <cellStyle name="Normal 15 2 2 3 3 3" xfId="7959" xr:uid="{E662615D-D2A6-4E3A-B1CE-860C1C12B8ED}"/>
    <cellStyle name="Normal 15 2 2 3 3 4" xfId="9477" xr:uid="{28EF9A41-4157-4AA3-877E-007298752A59}"/>
    <cellStyle name="Normal 15 2 2 3 3 5" xfId="13091" xr:uid="{3C1CB889-601C-4E51-BD4F-B28BF1E89F83}"/>
    <cellStyle name="Normal 15 2 2 3 3 6" xfId="14836" xr:uid="{D554070F-AC2D-46AF-B944-CFE7E280EB8F}"/>
    <cellStyle name="Normal 15 2 2 3 4" xfId="5006" xr:uid="{22E5CDF3-49E1-4973-901A-C68F1E15E277}"/>
    <cellStyle name="Normal 15 2 2 3 4 2" xfId="10475" xr:uid="{426CEA81-3B4B-4D31-9DAC-27827AC5AE3A}"/>
    <cellStyle name="Normal 15 2 2 3 5" xfId="5503" xr:uid="{E496A802-A12A-4B60-A7CF-12DEFC44D2D8}"/>
    <cellStyle name="Normal 15 2 2 3 5 2" xfId="10977" xr:uid="{D8645674-FFC3-48C7-B0AA-E28719FC87DC}"/>
    <cellStyle name="Normal 15 2 2 3 6" xfId="6005" xr:uid="{254E3F82-0B9F-4A44-B6C3-91D64EC863AD}"/>
    <cellStyle name="Normal 15 2 2 3 6 2" xfId="11479" xr:uid="{D33A56E4-5A37-4471-B0C2-9A702AB4BD35}"/>
    <cellStyle name="Normal 15 2 2 3 7" xfId="3024" xr:uid="{0A40F200-6845-451B-B321-E6303C2849AA}"/>
    <cellStyle name="Normal 15 2 2 3 8" xfId="6945" xr:uid="{F1F8E5DF-CB3A-4A07-B625-394AB2A23EB1}"/>
    <cellStyle name="Normal 15 2 2 3 9" xfId="8469" xr:uid="{6C9C7497-DD39-4E59-883A-AB3CAD82F944}"/>
    <cellStyle name="Normal 15 2 2 4" xfId="1557" xr:uid="{EDF25ADA-8E72-4507-AB12-ADF24C0772B5}"/>
    <cellStyle name="Normal 15 2 2 4 2" xfId="4280" xr:uid="{98175EB2-1E1E-4E54-BD49-50217B9C0A03}"/>
    <cellStyle name="Normal 15 2 2 4 2 2" xfId="9725" xr:uid="{819B2098-CEDE-407F-B182-F8492995634E}"/>
    <cellStyle name="Normal 15 2 2 4 3" xfId="3270" xr:uid="{5589A077-AF54-4B2C-A908-9D729F502EE5}"/>
    <cellStyle name="Normal 15 2 2 4 4" xfId="7203" xr:uid="{58F64D10-0E6B-4629-A993-0DF786AF9549}"/>
    <cellStyle name="Normal 15 2 2 4 5" xfId="8717" xr:uid="{F6C1AA3F-A5D5-41D5-ACFC-C79B715CE3EC}"/>
    <cellStyle name="Normal 15 2 2 4 6" xfId="12337" xr:uid="{3770F245-B61A-44DE-8A36-2C691EDE67DC}"/>
    <cellStyle name="Normal 15 2 2 4 7" xfId="14082" xr:uid="{E3EE27B9-9603-4C1E-8FB0-7543C497007A}"/>
    <cellStyle name="Normal 15 2 2 5" xfId="2065" xr:uid="{D287ADEA-D136-4B19-BD8F-10C6CF22C2A4}"/>
    <cellStyle name="Normal 15 2 2 5 2" xfId="3785" xr:uid="{CB38104F-0D54-4971-80E7-9C4CBA8565D0}"/>
    <cellStyle name="Normal 15 2 2 5 3" xfId="7711" xr:uid="{01DCCF29-5C6E-4996-AAB0-A653203E4964}"/>
    <cellStyle name="Normal 15 2 2 5 4" xfId="9229" xr:uid="{37B618EF-B162-4CFC-89D1-DED59AC44439}"/>
    <cellStyle name="Normal 15 2 2 5 5" xfId="12843" xr:uid="{4D06C16A-802E-4B5A-B385-51C2CA11E28E}"/>
    <cellStyle name="Normal 15 2 2 5 6" xfId="14588" xr:uid="{EAAB960B-C187-4DE6-A454-5C72A95886BD}"/>
    <cellStyle name="Normal 15 2 2 6" xfId="4776" xr:uid="{7B7A4E33-E9F6-41B8-84DF-8A802DE652D1}"/>
    <cellStyle name="Normal 15 2 2 6 2" xfId="10227" xr:uid="{386C88CA-9A30-4AB5-8067-3997932E3566}"/>
    <cellStyle name="Normal 15 2 2 7" xfId="5255" xr:uid="{17573D1F-FAFB-43FE-BEEC-7FDF9727BD72}"/>
    <cellStyle name="Normal 15 2 2 7 2" xfId="10729" xr:uid="{A7C91BC9-A821-42F9-9CDF-F7596D5372E7}"/>
    <cellStyle name="Normal 15 2 2 8" xfId="5757" xr:uid="{ACC27F1E-324E-4836-A9F9-1AE4D3B963E3}"/>
    <cellStyle name="Normal 15 2 2 8 2" xfId="11231" xr:uid="{284B1C48-D223-489E-8E38-8ED8537D203C}"/>
    <cellStyle name="Normal 15 2 2 9" xfId="2792" xr:uid="{EE9B3DA8-38EC-42AE-A88C-E9FDED02260B}"/>
    <cellStyle name="Normal 15 2 3" xfId="1106" xr:uid="{0BE6772A-CBD6-40A1-8F39-674A08F82208}"/>
    <cellStyle name="Normal 15 2 3 10" xfId="8276" xr:uid="{00F56047-FF0E-4868-A23C-FD187A493AF9}"/>
    <cellStyle name="Normal 15 2 3 11" xfId="11886" xr:uid="{E397F633-AA5E-4724-A4AE-FA117EF0ACE6}"/>
    <cellStyle name="Normal 15 2 3 12" xfId="13631" xr:uid="{E483AE54-22A3-4E1E-8E61-D4EE3811785B}"/>
    <cellStyle name="Normal 15 2 3 2" xfId="1354" xr:uid="{82FF4C14-AE71-423C-BBD1-A889BB28E9CB}"/>
    <cellStyle name="Normal 15 2 3 2 10" xfId="12134" xr:uid="{C6C326BD-0E18-455B-8235-0B9A0C0B2D31}"/>
    <cellStyle name="Normal 15 2 3 2 11" xfId="13879" xr:uid="{1E95F2BF-D6F8-426F-A081-17744D76554D}"/>
    <cellStyle name="Normal 15 2 3 2 2" xfId="1860" xr:uid="{ACE3AB85-2B21-4E05-9D03-4B0BEFA29BB8}"/>
    <cellStyle name="Normal 15 2 3 2 2 2" xfId="4582" xr:uid="{E88EF9C8-D3B8-4ADA-BCD4-A99BC1EFC4CB}"/>
    <cellStyle name="Normal 15 2 3 2 2 2 2" xfId="10028" xr:uid="{D696752D-6EC7-4686-82A2-6982DF6C4E8C}"/>
    <cellStyle name="Normal 15 2 3 2 2 3" xfId="3572" xr:uid="{633F90D8-6C82-4FFB-AC67-C61B36985C96}"/>
    <cellStyle name="Normal 15 2 3 2 2 4" xfId="7506" xr:uid="{19D4F8CB-87C4-43DD-8F7B-B1FE63A0302F}"/>
    <cellStyle name="Normal 15 2 3 2 2 5" xfId="9020" xr:uid="{F3564B32-83A6-45EF-BB30-26BC73D063BE}"/>
    <cellStyle name="Normal 15 2 3 2 2 6" xfId="12640" xr:uid="{2A625A92-B066-42C6-8392-DF85AD54692D}"/>
    <cellStyle name="Normal 15 2 3 2 2 7" xfId="14385" xr:uid="{A5D2598E-B666-4936-BC2D-987E49CEACE2}"/>
    <cellStyle name="Normal 15 2 3 2 3" xfId="2368" xr:uid="{40976732-C5F4-4DF5-8C59-826EBBD219D0}"/>
    <cellStyle name="Normal 15 2 3 2 3 2" xfId="4088" xr:uid="{6FC7FC6C-84B5-497D-84AC-FF998889E2CB}"/>
    <cellStyle name="Normal 15 2 3 2 3 3" xfId="8014" xr:uid="{5C38BA8A-80B3-46BB-8C04-6F55A040BD62}"/>
    <cellStyle name="Normal 15 2 3 2 3 4" xfId="9532" xr:uid="{9FF8BF7B-8016-48F2-A5C0-9073EE220505}"/>
    <cellStyle name="Normal 15 2 3 2 3 5" xfId="13146" xr:uid="{D3D05FFB-1B91-4E24-9032-AF829E3FE08D}"/>
    <cellStyle name="Normal 15 2 3 2 3 6" xfId="14891" xr:uid="{7364D2E7-D6BA-404C-BF73-B0DECD5D34B5}"/>
    <cellStyle name="Normal 15 2 3 2 4" xfId="5060" xr:uid="{980D526C-9846-4AC3-9571-98D089123287}"/>
    <cellStyle name="Normal 15 2 3 2 4 2" xfId="10530" xr:uid="{98B55DE1-AE0F-4139-80BA-4BEA19461A44}"/>
    <cellStyle name="Normal 15 2 3 2 5" xfId="5558" xr:uid="{68AB2CAE-6DB5-4BA5-A1F5-88FD70AF10D3}"/>
    <cellStyle name="Normal 15 2 3 2 5 2" xfId="11032" xr:uid="{D30D3E5E-F7CA-41C4-8D7F-F5C3475BE5F1}"/>
    <cellStyle name="Normal 15 2 3 2 6" xfId="6060" xr:uid="{9766A4C6-B3CB-41F6-82BD-D436B1014136}"/>
    <cellStyle name="Normal 15 2 3 2 6 2" xfId="11534" xr:uid="{37310B55-DF74-4628-9128-1E2F469887BE}"/>
    <cellStyle name="Normal 15 2 3 2 7" xfId="3078" xr:uid="{2AE88180-A798-4AF8-A1AA-7C7CA1ADDD87}"/>
    <cellStyle name="Normal 15 2 3 2 8" xfId="7000" xr:uid="{734670AF-B79D-4D05-B9A5-C0519F668914}"/>
    <cellStyle name="Normal 15 2 3 2 9" xfId="8524" xr:uid="{F9998162-B113-40B8-8497-3DAB7EC29984}"/>
    <cellStyle name="Normal 15 2 3 3" xfId="1612" xr:uid="{9EB166CD-093E-4F8E-B43E-5E3B93FCCBDC}"/>
    <cellStyle name="Normal 15 2 3 3 2" xfId="4334" xr:uid="{62051087-2252-4A31-8450-C113485E6F1D}"/>
    <cellStyle name="Normal 15 2 3 3 2 2" xfId="9780" xr:uid="{86C9B366-2DC2-4628-8783-92DF8927FEAE}"/>
    <cellStyle name="Normal 15 2 3 3 3" xfId="3324" xr:uid="{216F5BB9-EC9F-4485-B3C6-66F1BA65AB8A}"/>
    <cellStyle name="Normal 15 2 3 3 4" xfId="7258" xr:uid="{20099BF4-D75A-46F4-BA08-704647D0A655}"/>
    <cellStyle name="Normal 15 2 3 3 5" xfId="8772" xr:uid="{4DAA7C76-8092-488D-99AB-07D37D754A3B}"/>
    <cellStyle name="Normal 15 2 3 3 6" xfId="12392" xr:uid="{7A732AC0-2E53-4C3B-BEA8-C94112C31353}"/>
    <cellStyle name="Normal 15 2 3 3 7" xfId="14137" xr:uid="{61ABB8BA-484A-43BD-9BF7-8A5EC623D806}"/>
    <cellStyle name="Normal 15 2 3 4" xfId="2120" xr:uid="{F105712C-D6CB-4B91-85A7-CBBEA79AF160}"/>
    <cellStyle name="Normal 15 2 3 4 2" xfId="3840" xr:uid="{840FF669-724E-4E01-9E2D-321E98987D61}"/>
    <cellStyle name="Normal 15 2 3 4 3" xfId="7766" xr:uid="{1B64EF70-8E8B-47C1-BFC8-F5AC6796846C}"/>
    <cellStyle name="Normal 15 2 3 4 4" xfId="9284" xr:uid="{A48C5587-BFCD-4FA6-84DF-C537C312DFBE}"/>
    <cellStyle name="Normal 15 2 3 4 5" xfId="12898" xr:uid="{F9415436-D783-49C7-861C-E4F0E84AD024}"/>
    <cellStyle name="Normal 15 2 3 4 6" xfId="14643" xr:uid="{3484C1AE-FFE2-46E5-A7FA-60F94EDE0D6B}"/>
    <cellStyle name="Normal 15 2 3 5" xfId="4826" xr:uid="{E41CC764-92BF-42DA-8351-BC1612D73E2A}"/>
    <cellStyle name="Normal 15 2 3 5 2" xfId="10282" xr:uid="{445B707B-B823-41C7-990E-AB749891E533}"/>
    <cellStyle name="Normal 15 2 3 6" xfId="5310" xr:uid="{A7E15776-4E1A-4D61-BB87-2361DFCA15C1}"/>
    <cellStyle name="Normal 15 2 3 6 2" xfId="10784" xr:uid="{1E829DA7-4400-4509-8F42-6A67577EDB31}"/>
    <cellStyle name="Normal 15 2 3 7" xfId="5812" xr:uid="{D85C0ADE-E251-4634-BFA2-55F1466B3E6E}"/>
    <cellStyle name="Normal 15 2 3 7 2" xfId="11286" xr:uid="{02C66C5C-7F08-48B6-907B-85361DEBF934}"/>
    <cellStyle name="Normal 15 2 3 8" xfId="2842" xr:uid="{D673C3D2-33B3-40AE-A9C7-DD2A4D44C541}"/>
    <cellStyle name="Normal 15 2 3 9" xfId="6752" xr:uid="{20C1CCF8-18D0-4893-BD1F-62E842586550}"/>
    <cellStyle name="Normal 15 2 4" xfId="1230" xr:uid="{D402DD27-1447-4358-A0F4-D15D40480E3A}"/>
    <cellStyle name="Normal 15 2 4 10" xfId="12010" xr:uid="{3DC95D77-5210-45E6-BA30-A7A89F643A15}"/>
    <cellStyle name="Normal 15 2 4 11" xfId="13755" xr:uid="{2CBB8899-7EA8-4E97-8FD6-76AAF36A27FA}"/>
    <cellStyle name="Normal 15 2 4 2" xfId="1736" xr:uid="{F455D277-FE1E-4AE7-A17E-ADDA16AA316C}"/>
    <cellStyle name="Normal 15 2 4 2 2" xfId="4458" xr:uid="{AC36BCCA-99F9-486D-8C23-17A92C1E0978}"/>
    <cellStyle name="Normal 15 2 4 2 2 2" xfId="9904" xr:uid="{B02BF9DA-C0C4-4961-8531-8CA49CF2BABB}"/>
    <cellStyle name="Normal 15 2 4 2 3" xfId="3448" xr:uid="{DFB70C3B-AB70-4BC3-A275-3019DB61F4EA}"/>
    <cellStyle name="Normal 15 2 4 2 4" xfId="7382" xr:uid="{11E1BF3B-A87E-45FC-A00C-458F7738FB87}"/>
    <cellStyle name="Normal 15 2 4 2 5" xfId="8896" xr:uid="{175A1E9B-EFF1-4564-8019-33210A311311}"/>
    <cellStyle name="Normal 15 2 4 2 6" xfId="12516" xr:uid="{08388833-73CC-46EF-AF6F-E58572EBA531}"/>
    <cellStyle name="Normal 15 2 4 2 7" xfId="14261" xr:uid="{D5833290-45D1-4BB4-9DC4-4DD37D9B621A}"/>
    <cellStyle name="Normal 15 2 4 3" xfId="2244" xr:uid="{A669EB11-8568-49AE-990C-3DA5033EEEAE}"/>
    <cellStyle name="Normal 15 2 4 3 2" xfId="3964" xr:uid="{23484991-6B37-48AE-8CFE-982B84860B9B}"/>
    <cellStyle name="Normal 15 2 4 3 3" xfId="7890" xr:uid="{1D1A4C45-5249-4E7E-93D6-1D865DA7A183}"/>
    <cellStyle name="Normal 15 2 4 3 4" xfId="9408" xr:uid="{12140F6D-0525-4597-A96C-2E4D1A5878B9}"/>
    <cellStyle name="Normal 15 2 4 3 5" xfId="13022" xr:uid="{C7A64115-5FBC-4BBA-84B0-B7FFE4C9BA14}"/>
    <cellStyle name="Normal 15 2 4 3 6" xfId="14767" xr:uid="{AE3D1C54-592F-4656-AD7E-5912628437B4}"/>
    <cellStyle name="Normal 15 2 4 4" xfId="4942" xr:uid="{FB731521-31BE-4F6D-8AFA-3CF09E85076D}"/>
    <cellStyle name="Normal 15 2 4 4 2" xfId="10406" xr:uid="{5B50A1D4-5115-4A0A-9E85-CE6CD0D3A722}"/>
    <cellStyle name="Normal 15 2 4 5" xfId="5434" xr:uid="{6AA7D1A8-AD71-438F-B9D4-EDC804394E45}"/>
    <cellStyle name="Normal 15 2 4 5 2" xfId="10908" xr:uid="{C02A310C-BF2F-494C-8CC4-C46923196FCC}"/>
    <cellStyle name="Normal 15 2 4 6" xfId="5936" xr:uid="{4BE471A5-67D9-4C77-92FB-E9C6D245A118}"/>
    <cellStyle name="Normal 15 2 4 6 2" xfId="11410" xr:uid="{2F2ED464-7B47-4AE6-9956-668D7859E4D9}"/>
    <cellStyle name="Normal 15 2 4 7" xfId="2960" xr:uid="{4A76C4E7-D4B6-442B-B773-0A9584516392}"/>
    <cellStyle name="Normal 15 2 4 8" xfId="6876" xr:uid="{C7109833-6155-465D-AC03-B360A2368B73}"/>
    <cellStyle name="Normal 15 2 4 9" xfId="8400" xr:uid="{456CFED9-8F30-42C2-811A-A5E4A0BE5B87}"/>
    <cellStyle name="Normal 15 2 5" xfId="1488" xr:uid="{D813558E-AFEE-4A25-81B9-D00DA9202BBF}"/>
    <cellStyle name="Normal 15 2 5 2" xfId="4212" xr:uid="{01932486-F57B-4CE7-83A5-6D65FC6D444C}"/>
    <cellStyle name="Normal 15 2 5 2 2" xfId="9656" xr:uid="{88DE4491-7AEF-4BAE-80FB-50D3C65034DF}"/>
    <cellStyle name="Normal 15 2 5 3" xfId="3202" xr:uid="{32076108-A54D-4467-BCBC-C29262910471}"/>
    <cellStyle name="Normal 15 2 5 4" xfId="7134" xr:uid="{DA195BB6-7A8B-49A3-B769-61E5E4985096}"/>
    <cellStyle name="Normal 15 2 5 5" xfId="8648" xr:uid="{19B98086-3A8A-49BC-8E66-2567444BADD1}"/>
    <cellStyle name="Normal 15 2 5 6" xfId="12268" xr:uid="{CD6B0F1B-8CBA-4273-9F76-865CBD0F9058}"/>
    <cellStyle name="Normal 15 2 5 7" xfId="14013" xr:uid="{68B051FD-5B1A-4549-AE75-C25D024FAF35}"/>
    <cellStyle name="Normal 15 2 6" xfId="1996" xr:uid="{691CC7E4-C458-4255-97E8-C9EB034AD1D2}"/>
    <cellStyle name="Normal 15 2 6 2" xfId="3716" xr:uid="{D71C9917-9152-4CBA-A145-EF4A60A106BA}"/>
    <cellStyle name="Normal 15 2 6 3" xfId="7642" xr:uid="{852AAB65-3BB6-4A16-AF1A-163B8DEAF446}"/>
    <cellStyle name="Normal 15 2 6 4" xfId="9160" xr:uid="{19A3CA24-2757-4D19-A6D2-9D6B601F12EE}"/>
    <cellStyle name="Normal 15 2 6 5" xfId="12774" xr:uid="{BB4E9A77-C6CB-4D81-9FAB-EA631F08ED37}"/>
    <cellStyle name="Normal 15 2 6 6" xfId="14519" xr:uid="{AF224483-EE32-4D3A-9270-2C57F1A00523}"/>
    <cellStyle name="Normal 15 2 7" xfId="4712" xr:uid="{6952184D-D6A7-4D3F-8F8B-F042BB946C60}"/>
    <cellStyle name="Normal 15 2 7 2" xfId="10158" xr:uid="{35E9318E-1F29-4FAA-9D46-46AAA8A375FC}"/>
    <cellStyle name="Normal 15 2 8" xfId="5188" xr:uid="{198963AA-5E98-41E9-9FBB-8D6AA3218212}"/>
    <cellStyle name="Normal 15 2 8 2" xfId="10660" xr:uid="{4B2B2AAC-1540-4EA0-8EAB-F17D4AEF6FE7}"/>
    <cellStyle name="Normal 15 2 9" xfId="5688" xr:uid="{356AE372-3423-4539-9C81-2B9A7E4CE086}"/>
    <cellStyle name="Normal 15 2 9 2" xfId="11162" xr:uid="{90BAD1D1-A92D-4152-9556-1657F59064BF}"/>
    <cellStyle name="Normal 15 3" xfId="1002" xr:uid="{FAB69F05-13E6-4381-8FB8-8B04AFAE141A}"/>
    <cellStyle name="Normal 15 3 10" xfId="2748" xr:uid="{C859D3A5-5C9D-4393-A7AB-8FFA5754443E}"/>
    <cellStyle name="Normal 15 3 11" xfId="6648" xr:uid="{5F17DB55-34DF-4164-BB24-66CF897AC551}"/>
    <cellStyle name="Normal 15 3 12" xfId="8172" xr:uid="{59FDB376-9641-4DD9-AE80-9A705EEC57BA}"/>
    <cellStyle name="Normal 15 3 13" xfId="11782" xr:uid="{4159B743-C793-4013-AD51-F1D8BB0408ED}"/>
    <cellStyle name="Normal 15 3 14" xfId="13527" xr:uid="{CDC68C99-F81B-481E-9D3F-F1ABABB0C441}"/>
    <cellStyle name="Normal 15 3 2" xfId="1052" xr:uid="{821D4728-77A7-4B90-82EF-2B11F511E07C}"/>
    <cellStyle name="Normal 15 3 2 10" xfId="6698" xr:uid="{A262724C-C5A8-4437-8DB3-779B0DBBB954}"/>
    <cellStyle name="Normal 15 3 2 11" xfId="8222" xr:uid="{8CCD403A-9E72-4A96-89ED-DA67DBA4414F}"/>
    <cellStyle name="Normal 15 3 2 12" xfId="11832" xr:uid="{6EBFD871-5324-4C85-A6F1-D77D00B9DA11}"/>
    <cellStyle name="Normal 15 3 2 13" xfId="13577" xr:uid="{2B699C8E-7A0E-4175-9D86-72C8F673E3DF}"/>
    <cellStyle name="Normal 15 3 2 2" xfId="1176" xr:uid="{2B8028E7-5EFB-47E0-9C86-0AA8E514A546}"/>
    <cellStyle name="Normal 15 3 2 2 10" xfId="8346" xr:uid="{18F23643-9FCB-4BCA-B739-98D79BAEC0C2}"/>
    <cellStyle name="Normal 15 3 2 2 11" xfId="11956" xr:uid="{61722137-CF33-406B-AC90-BE90784B6D48}"/>
    <cellStyle name="Normal 15 3 2 2 12" xfId="13701" xr:uid="{151D27DC-5887-4397-AFC8-DDA942D76CDF}"/>
    <cellStyle name="Normal 15 3 2 2 2" xfId="1424" xr:uid="{A7B0A01D-AB6B-4C13-9A3B-49C05AC28816}"/>
    <cellStyle name="Normal 15 3 2 2 2 10" xfId="12204" xr:uid="{8C76DBDE-7CF9-482A-89C6-1125FDDCF9FF}"/>
    <cellStyle name="Normal 15 3 2 2 2 11" xfId="13949" xr:uid="{57E525E0-AD9D-4855-A3DF-2AE5A1E0885F}"/>
    <cellStyle name="Normal 15 3 2 2 2 2" xfId="1930" xr:uid="{70026CD2-09D8-4608-A369-8F19F4AA454A}"/>
    <cellStyle name="Normal 15 3 2 2 2 2 2" xfId="4652" xr:uid="{03A1DE87-9F6C-4338-9B18-CFEB978A48CF}"/>
    <cellStyle name="Normal 15 3 2 2 2 2 2 2" xfId="10098" xr:uid="{C70A009F-CC91-4285-94FA-590A0EE0D7E1}"/>
    <cellStyle name="Normal 15 3 2 2 2 2 3" xfId="3642" xr:uid="{A7A68EE2-2046-4237-A65B-C89B1C86330D}"/>
    <cellStyle name="Normal 15 3 2 2 2 2 4" xfId="7576" xr:uid="{4E3F2CCF-338E-41CF-8340-2670B2B2E4CC}"/>
    <cellStyle name="Normal 15 3 2 2 2 2 5" xfId="9090" xr:uid="{99C186A9-EDCC-4328-B5A5-62016A473196}"/>
    <cellStyle name="Normal 15 3 2 2 2 2 6" xfId="12710" xr:uid="{87263833-C37E-4A8C-9714-5854CD6AED02}"/>
    <cellStyle name="Normal 15 3 2 2 2 2 7" xfId="14455" xr:uid="{F9C8C012-AC89-47B6-8813-219FE7CE583C}"/>
    <cellStyle name="Normal 15 3 2 2 2 3" xfId="2438" xr:uid="{07B4CC76-86CF-43AE-8644-28A7D290E607}"/>
    <cellStyle name="Normal 15 3 2 2 2 3 2" xfId="4158" xr:uid="{9A1C69F3-125F-4611-BAC9-4338651DDFBF}"/>
    <cellStyle name="Normal 15 3 2 2 2 3 3" xfId="8084" xr:uid="{1AAC7CDA-1F81-4585-A2F1-56E721197C05}"/>
    <cellStyle name="Normal 15 3 2 2 2 3 4" xfId="9602" xr:uid="{02DC2821-4CB3-4B20-B937-07106B3AF392}"/>
    <cellStyle name="Normal 15 3 2 2 2 3 5" xfId="13216" xr:uid="{25ECE298-3CE9-4F8A-9BDF-55665D08CB4B}"/>
    <cellStyle name="Normal 15 3 2 2 2 3 6" xfId="14961" xr:uid="{B824F8ED-1FD7-4F42-9A0D-AE7BA75592FE}"/>
    <cellStyle name="Normal 15 3 2 2 2 4" xfId="5130" xr:uid="{A25B1E85-52A8-42EB-A916-E78ACA241BCB}"/>
    <cellStyle name="Normal 15 3 2 2 2 4 2" xfId="10600" xr:uid="{EF74DCC9-02C1-4716-8EA3-06DDC59F66DB}"/>
    <cellStyle name="Normal 15 3 2 2 2 5" xfId="5628" xr:uid="{BB1C66F8-C3CE-45C6-B206-153F3CCC0B1C}"/>
    <cellStyle name="Normal 15 3 2 2 2 5 2" xfId="11102" xr:uid="{BBE4A4DC-1889-495E-8277-339185DE4B19}"/>
    <cellStyle name="Normal 15 3 2 2 2 6" xfId="6130" xr:uid="{BC3D6CA4-3484-4448-8D11-A6D8FE2E5CB2}"/>
    <cellStyle name="Normal 15 3 2 2 2 6 2" xfId="11604" xr:uid="{DBBF5FE0-826E-4EAA-B744-FC6427619C88}"/>
    <cellStyle name="Normal 15 3 2 2 2 7" xfId="3148" xr:uid="{03414E89-7666-441B-84D6-67802D2DEEAB}"/>
    <cellStyle name="Normal 15 3 2 2 2 8" xfId="7070" xr:uid="{318B5C44-490B-4146-921A-91BDD9E8B977}"/>
    <cellStyle name="Normal 15 3 2 2 2 9" xfId="8594" xr:uid="{7265B1D3-34D3-4870-AA4B-F12FA1029401}"/>
    <cellStyle name="Normal 15 3 2 2 3" xfId="1682" xr:uid="{EAC465E1-3B65-47DD-87D3-3D18B024F8D9}"/>
    <cellStyle name="Normal 15 3 2 2 3 2" xfId="4404" xr:uid="{6D3D9A93-A7F1-4BE9-811F-EBEABF720D0A}"/>
    <cellStyle name="Normal 15 3 2 2 3 2 2" xfId="9850" xr:uid="{0056FEBE-1A97-4733-8F69-AE88B21EFC98}"/>
    <cellStyle name="Normal 15 3 2 2 3 3" xfId="3394" xr:uid="{E185B30A-FFDF-40A8-A630-610CC55F1A3C}"/>
    <cellStyle name="Normal 15 3 2 2 3 4" xfId="7328" xr:uid="{845FE24C-B6F2-4F79-B47B-D9DC15C0A261}"/>
    <cellStyle name="Normal 15 3 2 2 3 5" xfId="8842" xr:uid="{F708166E-2C8C-47E6-8234-0076231114B8}"/>
    <cellStyle name="Normal 15 3 2 2 3 6" xfId="12462" xr:uid="{E5A75FBF-75FE-4BEF-8A1D-418F17A69606}"/>
    <cellStyle name="Normal 15 3 2 2 3 7" xfId="14207" xr:uid="{0E56691D-DDF0-4D63-9FB2-5EC89528E6E8}"/>
    <cellStyle name="Normal 15 3 2 2 4" xfId="2190" xr:uid="{0ACA5103-CCA8-427F-B678-02B0A81F8064}"/>
    <cellStyle name="Normal 15 3 2 2 4 2" xfId="3910" xr:uid="{5CC6959F-AF15-4224-A639-49BFD269C5E4}"/>
    <cellStyle name="Normal 15 3 2 2 4 3" xfId="7836" xr:uid="{2DCEA66E-3ED7-4A0D-A6BC-937D766492CE}"/>
    <cellStyle name="Normal 15 3 2 2 4 4" xfId="9354" xr:uid="{4A38E2C3-C766-4280-B06B-A54CC5C8CA7F}"/>
    <cellStyle name="Normal 15 3 2 2 4 5" xfId="12968" xr:uid="{359F9F24-A526-49E8-92E7-B0E5D6E9BF7A}"/>
    <cellStyle name="Normal 15 3 2 2 4 6" xfId="14713" xr:uid="{6882CAF9-7C9C-4176-8382-3064DF6B7541}"/>
    <cellStyle name="Normal 15 3 2 2 5" xfId="4891" xr:uid="{B4440037-12EE-4E15-BCA5-689093713557}"/>
    <cellStyle name="Normal 15 3 2 2 5 2" xfId="10352" xr:uid="{2A2997C6-C70E-46F4-8F18-22714821C0C5}"/>
    <cellStyle name="Normal 15 3 2 2 6" xfId="5380" xr:uid="{91CFAD12-CC96-4641-A4A9-81ABE4E551BB}"/>
    <cellStyle name="Normal 15 3 2 2 6 2" xfId="10854" xr:uid="{DB6F92ED-CE76-465A-BC7F-57A5A12A09D1}"/>
    <cellStyle name="Normal 15 3 2 2 7" xfId="5882" xr:uid="{5E2D7760-7163-4158-8580-68648E4D68E4}"/>
    <cellStyle name="Normal 15 3 2 2 7 2" xfId="11356" xr:uid="{F3490B22-9102-4C92-BC42-D57AACBD82A8}"/>
    <cellStyle name="Normal 15 3 2 2 8" xfId="2907" xr:uid="{95CBB10D-AC6A-4BCB-B12F-50ADCAA98595}"/>
    <cellStyle name="Normal 15 3 2 2 9" xfId="6822" xr:uid="{B87A5F67-14D2-4B85-9897-0E1A48AC7437}"/>
    <cellStyle name="Normal 15 3 2 3" xfId="1300" xr:uid="{6330F864-7CE5-4362-B8B4-630C9B24D9FA}"/>
    <cellStyle name="Normal 15 3 2 3 10" xfId="12080" xr:uid="{E96AFC58-B2EB-4BAF-B1B3-3EEF44968890}"/>
    <cellStyle name="Normal 15 3 2 3 11" xfId="13825" xr:uid="{1D520C0C-4FD0-4032-A8DD-9307869990CE}"/>
    <cellStyle name="Normal 15 3 2 3 2" xfId="1806" xr:uid="{CDCFC8EC-18BB-4E1D-9DF6-FFCC2A902CCA}"/>
    <cellStyle name="Normal 15 3 2 3 2 2" xfId="4528" xr:uid="{6BAD78ED-4759-4128-BBF2-3C56E3B85B9E}"/>
    <cellStyle name="Normal 15 3 2 3 2 2 2" xfId="9974" xr:uid="{C2E875A2-5229-4825-B095-D25F68CFF6FD}"/>
    <cellStyle name="Normal 15 3 2 3 2 3" xfId="3518" xr:uid="{A204C392-2941-497F-90C1-4ABAA1B8995A}"/>
    <cellStyle name="Normal 15 3 2 3 2 4" xfId="7452" xr:uid="{4FAF777F-E351-4113-BDFF-C2603F201EA0}"/>
    <cellStyle name="Normal 15 3 2 3 2 5" xfId="8966" xr:uid="{09BBCDA7-73FA-462E-9B47-EDA202167090}"/>
    <cellStyle name="Normal 15 3 2 3 2 6" xfId="12586" xr:uid="{605C4C26-AC51-42B5-B3FA-D624B4FD3F56}"/>
    <cellStyle name="Normal 15 3 2 3 2 7" xfId="14331" xr:uid="{83315B5B-C3BD-4839-936E-88DCD86D729F}"/>
    <cellStyle name="Normal 15 3 2 3 3" xfId="2314" xr:uid="{693AA0E9-D215-458C-A015-3B4658779F42}"/>
    <cellStyle name="Normal 15 3 2 3 3 2" xfId="4034" xr:uid="{E1DEBC95-5587-4AAB-ABAA-E84AEA497887}"/>
    <cellStyle name="Normal 15 3 2 3 3 3" xfId="7960" xr:uid="{269DB648-7DFD-432A-8034-F5BCBA024CE6}"/>
    <cellStyle name="Normal 15 3 2 3 3 4" xfId="9478" xr:uid="{18EA0B68-9F4B-4BD0-A6C9-1C15A20FC2B6}"/>
    <cellStyle name="Normal 15 3 2 3 3 5" xfId="13092" xr:uid="{80BE4CC2-F017-478B-87E7-6A4B83047121}"/>
    <cellStyle name="Normal 15 3 2 3 3 6" xfId="14837" xr:uid="{BFB535C9-A46C-4B81-923C-4581EBC528A8}"/>
    <cellStyle name="Normal 15 3 2 3 4" xfId="5007" xr:uid="{A48C3956-2A1C-4487-8C38-C68185033058}"/>
    <cellStyle name="Normal 15 3 2 3 4 2" xfId="10476" xr:uid="{1184485D-3CC6-4375-B1B7-DA6A6FB1B657}"/>
    <cellStyle name="Normal 15 3 2 3 5" xfId="5504" xr:uid="{B7076279-1DFD-47FF-9CF3-E8A701D8439B}"/>
    <cellStyle name="Normal 15 3 2 3 5 2" xfId="10978" xr:uid="{A9DC59F2-17DF-4215-A097-94E153AE99CA}"/>
    <cellStyle name="Normal 15 3 2 3 6" xfId="6006" xr:uid="{6A79D026-C1CB-447D-A16B-22A85C7E5F0F}"/>
    <cellStyle name="Normal 15 3 2 3 6 2" xfId="11480" xr:uid="{0DBF3A5B-01AF-4EF9-B626-0FF61A3E30DE}"/>
    <cellStyle name="Normal 15 3 2 3 7" xfId="3025" xr:uid="{D2EB0764-71E5-43C5-813E-5EA483CB707B}"/>
    <cellStyle name="Normal 15 3 2 3 8" xfId="6946" xr:uid="{394641AF-1BBF-4633-80DC-94F1A57E4115}"/>
    <cellStyle name="Normal 15 3 2 3 9" xfId="8470" xr:uid="{BD6BEA12-EBEE-4770-B408-73C2A3F61772}"/>
    <cellStyle name="Normal 15 3 2 4" xfId="1558" xr:uid="{4DA23F3A-3C65-4B44-841D-77F1980BD8FD}"/>
    <cellStyle name="Normal 15 3 2 4 2" xfId="4281" xr:uid="{089E56E6-D890-4CA0-AD36-D034168D10EC}"/>
    <cellStyle name="Normal 15 3 2 4 2 2" xfId="9726" xr:uid="{81403C2E-16FB-483D-B1DA-1340B10269E4}"/>
    <cellStyle name="Normal 15 3 2 4 3" xfId="3271" xr:uid="{A8CF78DC-DCD0-4E41-AC04-F645FB5537A8}"/>
    <cellStyle name="Normal 15 3 2 4 4" xfId="7204" xr:uid="{F10507E3-1AA5-4001-9869-B4FFBA1A94CC}"/>
    <cellStyle name="Normal 15 3 2 4 5" xfId="8718" xr:uid="{0822D362-2181-48FF-ABB8-E425FD3E0F00}"/>
    <cellStyle name="Normal 15 3 2 4 6" xfId="12338" xr:uid="{EE76DB28-6ECD-4329-9A29-158EAAB8BFE4}"/>
    <cellStyle name="Normal 15 3 2 4 7" xfId="14083" xr:uid="{53A04D03-AB07-4E66-8BE0-0E1DF050FEE7}"/>
    <cellStyle name="Normal 15 3 2 5" xfId="2066" xr:uid="{6F394AA9-F844-4248-BC3A-449EBCD42E88}"/>
    <cellStyle name="Normal 15 3 2 5 2" xfId="3786" xr:uid="{A2A3E00B-7036-441E-9CCC-06599F8B67F5}"/>
    <cellStyle name="Normal 15 3 2 5 3" xfId="7712" xr:uid="{AA52F30B-8633-4816-9AF7-B6E2449581C2}"/>
    <cellStyle name="Normal 15 3 2 5 4" xfId="9230" xr:uid="{FCA9F46F-2E89-4767-99D6-0438712737AE}"/>
    <cellStyle name="Normal 15 3 2 5 5" xfId="12844" xr:uid="{CF032DE0-13C7-4B8C-A54A-6D2BD9B415DA}"/>
    <cellStyle name="Normal 15 3 2 5 6" xfId="14589" xr:uid="{4E68A6CF-E27F-44C8-86EA-60FA08CC3C99}"/>
    <cellStyle name="Normal 15 3 2 6" xfId="4777" xr:uid="{A202E757-798A-4E19-9834-8961DC894FA4}"/>
    <cellStyle name="Normal 15 3 2 6 2" xfId="10228" xr:uid="{02AE392B-C5F2-4080-8946-3C9E24071D78}"/>
    <cellStyle name="Normal 15 3 2 7" xfId="5256" xr:uid="{80C815DC-7B4D-4B12-9E96-5598309BD1E1}"/>
    <cellStyle name="Normal 15 3 2 7 2" xfId="10730" xr:uid="{8A2C31F6-47E2-43F8-81E5-E6FCD7E60AA3}"/>
    <cellStyle name="Normal 15 3 2 8" xfId="5758" xr:uid="{AACC4364-A839-4C90-9461-886941B2AB4E}"/>
    <cellStyle name="Normal 15 3 2 8 2" xfId="11232" xr:uid="{3DE45E2D-62C1-49D5-BBB1-5E80B5CA72FB}"/>
    <cellStyle name="Normal 15 3 2 9" xfId="2793" xr:uid="{15E6E31E-626C-453D-AB40-B4B9E2854D20}"/>
    <cellStyle name="Normal 15 3 3" xfId="1126" xr:uid="{231737BA-61C4-4D78-8794-2C1E027C3A12}"/>
    <cellStyle name="Normal 15 3 3 10" xfId="8296" xr:uid="{2CBD0686-86F2-440B-98F9-0B5FFBCA3371}"/>
    <cellStyle name="Normal 15 3 3 11" xfId="11906" xr:uid="{E4B1A544-B0BC-469F-B3DE-7B11725DCA42}"/>
    <cellStyle name="Normal 15 3 3 12" xfId="13651" xr:uid="{AC987BC4-D3E2-4779-AF61-152EDAEF0F2D}"/>
    <cellStyle name="Normal 15 3 3 2" xfId="1374" xr:uid="{37AF3519-BE7F-4FCC-826C-39A7B1E80AAB}"/>
    <cellStyle name="Normal 15 3 3 2 10" xfId="12154" xr:uid="{4EF110DD-30C2-4633-8A2F-7D61DEAA1C61}"/>
    <cellStyle name="Normal 15 3 3 2 11" xfId="13899" xr:uid="{F75D9B1C-7549-4045-9B7F-CB39932CCD9A}"/>
    <cellStyle name="Normal 15 3 3 2 2" xfId="1880" xr:uid="{C6DBAD3A-B5A6-4D9F-ADFD-B2B418B58134}"/>
    <cellStyle name="Normal 15 3 3 2 2 2" xfId="4602" xr:uid="{9234F1AB-1BCC-453B-8A14-E65B8F9D05EB}"/>
    <cellStyle name="Normal 15 3 3 2 2 2 2" xfId="10048" xr:uid="{364093DA-9D60-4ABD-BC1F-061C5888A85E}"/>
    <cellStyle name="Normal 15 3 3 2 2 3" xfId="3592" xr:uid="{60E0F682-DE6F-4B9A-A9DA-882C3B670FE5}"/>
    <cellStyle name="Normal 15 3 3 2 2 4" xfId="7526" xr:uid="{B37D562D-E656-4F00-B7C0-833B5F66A345}"/>
    <cellStyle name="Normal 15 3 3 2 2 5" xfId="9040" xr:uid="{F7A796AD-C368-4367-82E5-4BE667B94A3E}"/>
    <cellStyle name="Normal 15 3 3 2 2 6" xfId="12660" xr:uid="{49B97A9F-EEF2-464A-A6A9-6495E80C549C}"/>
    <cellStyle name="Normal 15 3 3 2 2 7" xfId="14405" xr:uid="{4FA7D914-B1A0-4691-A1BA-56DDBD66306E}"/>
    <cellStyle name="Normal 15 3 3 2 3" xfId="2388" xr:uid="{C581D30A-689F-4644-8756-9669CDC1AFE2}"/>
    <cellStyle name="Normal 15 3 3 2 3 2" xfId="4108" xr:uid="{44070F24-52F9-4F88-A294-8AE940A86856}"/>
    <cellStyle name="Normal 15 3 3 2 3 3" xfId="8034" xr:uid="{19F994FA-E616-42D1-981D-74D04C69EBCE}"/>
    <cellStyle name="Normal 15 3 3 2 3 4" xfId="9552" xr:uid="{7F530C6C-BB9C-43AB-972C-31D909861A1C}"/>
    <cellStyle name="Normal 15 3 3 2 3 5" xfId="13166" xr:uid="{DEC566BC-6C14-4482-BFA9-6698E572C6FF}"/>
    <cellStyle name="Normal 15 3 3 2 3 6" xfId="14911" xr:uid="{EC183B72-0E90-48A5-BAA0-B453F8130031}"/>
    <cellStyle name="Normal 15 3 3 2 4" xfId="5080" xr:uid="{348AC781-C154-4AB9-9338-7BE673DEEA48}"/>
    <cellStyle name="Normal 15 3 3 2 4 2" xfId="10550" xr:uid="{5057AA0C-C0B0-4C28-87F3-AD811883DDBE}"/>
    <cellStyle name="Normal 15 3 3 2 5" xfId="5578" xr:uid="{87938C62-6B42-4CC6-959E-EA260E0D6B26}"/>
    <cellStyle name="Normal 15 3 3 2 5 2" xfId="11052" xr:uid="{9811D703-1767-4FA4-985C-58702691B601}"/>
    <cellStyle name="Normal 15 3 3 2 6" xfId="6080" xr:uid="{B379F144-972C-42BC-B5D2-CAE833E9F603}"/>
    <cellStyle name="Normal 15 3 3 2 6 2" xfId="11554" xr:uid="{9D898FD3-8895-4A7E-9DEF-598A702EC843}"/>
    <cellStyle name="Normal 15 3 3 2 7" xfId="3098" xr:uid="{5B8246AF-7D8A-428E-83BD-2F998BF16714}"/>
    <cellStyle name="Normal 15 3 3 2 8" xfId="7020" xr:uid="{96AF8B22-C463-4254-92E9-E35DF31349B6}"/>
    <cellStyle name="Normal 15 3 3 2 9" xfId="8544" xr:uid="{07A1880A-E856-4961-BF00-BBB72F33E0EC}"/>
    <cellStyle name="Normal 15 3 3 3" xfId="1632" xr:uid="{728F6EEB-FA1E-4F1B-A6D2-A2F967A27AB7}"/>
    <cellStyle name="Normal 15 3 3 3 2" xfId="4354" xr:uid="{1EDDFBC1-4DE5-411E-9255-5DFA8A9E4C15}"/>
    <cellStyle name="Normal 15 3 3 3 2 2" xfId="9800" xr:uid="{C3E8E88D-9EEC-4A43-81D9-C3F301C427BC}"/>
    <cellStyle name="Normal 15 3 3 3 3" xfId="3344" xr:uid="{6044BAAD-A923-401D-BA3B-DA91CB59CA39}"/>
    <cellStyle name="Normal 15 3 3 3 4" xfId="7278" xr:uid="{3DE81369-E693-4665-8826-BF94D292F83A}"/>
    <cellStyle name="Normal 15 3 3 3 5" xfId="8792" xr:uid="{249D7FED-1E4C-4174-A5E9-11C4CF60CFA7}"/>
    <cellStyle name="Normal 15 3 3 3 6" xfId="12412" xr:uid="{70E90BDF-78FF-407C-A231-69F7E94C7F64}"/>
    <cellStyle name="Normal 15 3 3 3 7" xfId="14157" xr:uid="{13999249-0467-4567-9766-F35801B2AE1B}"/>
    <cellStyle name="Normal 15 3 3 4" xfId="2140" xr:uid="{DB60B896-7A2C-4D54-897F-5FA5DF8C04D3}"/>
    <cellStyle name="Normal 15 3 3 4 2" xfId="3860" xr:uid="{805CA1EE-654F-4365-8309-3367003266E7}"/>
    <cellStyle name="Normal 15 3 3 4 3" xfId="7786" xr:uid="{DFF12388-7991-488C-9FC4-F693A89FAC3B}"/>
    <cellStyle name="Normal 15 3 3 4 4" xfId="9304" xr:uid="{D09297C4-6E37-4C2D-8B1E-E9B9A3D09F0E}"/>
    <cellStyle name="Normal 15 3 3 4 5" xfId="12918" xr:uid="{F5581F77-9F35-4F93-BC77-5E573578C310}"/>
    <cellStyle name="Normal 15 3 3 4 6" xfId="14663" xr:uid="{7D68AC53-ADC2-4D01-BFF1-572D8C639588}"/>
    <cellStyle name="Normal 15 3 3 5" xfId="4844" xr:uid="{6441B8B9-FA91-4C2E-8D0D-A84B0C630E28}"/>
    <cellStyle name="Normal 15 3 3 5 2" xfId="10302" xr:uid="{63D8DF9F-F79C-4413-B82E-4A34F045C515}"/>
    <cellStyle name="Normal 15 3 3 6" xfId="5330" xr:uid="{1970A72E-87F3-4491-9146-50C3E172EAE4}"/>
    <cellStyle name="Normal 15 3 3 6 2" xfId="10804" xr:uid="{D80F366F-4601-46EE-BBA1-A91166726989}"/>
    <cellStyle name="Normal 15 3 3 7" xfId="5832" xr:uid="{E30E11D6-44F2-41DE-8A05-71454850BDAD}"/>
    <cellStyle name="Normal 15 3 3 7 2" xfId="11306" xr:uid="{17A45547-FE73-4290-B8A6-1610BE31AE86}"/>
    <cellStyle name="Normal 15 3 3 8" xfId="2860" xr:uid="{E51643A6-3663-409C-88CB-A4834E615396}"/>
    <cellStyle name="Normal 15 3 3 9" xfId="6772" xr:uid="{BE16A96A-4B9E-4A36-9194-DC098DA6047A}"/>
    <cellStyle name="Normal 15 3 4" xfId="1250" xr:uid="{80F7C75E-C5DB-4B7D-9140-C2250851D132}"/>
    <cellStyle name="Normal 15 3 4 10" xfId="12030" xr:uid="{CFCFB70E-1317-435B-8F02-D063C4D54224}"/>
    <cellStyle name="Normal 15 3 4 11" xfId="13775" xr:uid="{E6F8FF00-F85B-43A0-B41E-0313A4160A65}"/>
    <cellStyle name="Normal 15 3 4 2" xfId="1756" xr:uid="{16524CAD-B626-468B-88BE-8C705D693C1E}"/>
    <cellStyle name="Normal 15 3 4 2 2" xfId="4478" xr:uid="{F673C47E-9126-4816-AAAF-BC2A42978729}"/>
    <cellStyle name="Normal 15 3 4 2 2 2" xfId="9924" xr:uid="{92C56AA5-F7E2-4B16-8B93-5315002321D7}"/>
    <cellStyle name="Normal 15 3 4 2 3" xfId="3468" xr:uid="{EBCE56ED-FB47-4049-909A-129E8772E5B1}"/>
    <cellStyle name="Normal 15 3 4 2 4" xfId="7402" xr:uid="{5667CEE3-3C1A-44C2-904B-B8E04748EC6D}"/>
    <cellStyle name="Normal 15 3 4 2 5" xfId="8916" xr:uid="{F967943C-A942-4644-95E5-E4CBE758BFF2}"/>
    <cellStyle name="Normal 15 3 4 2 6" xfId="12536" xr:uid="{C27736CB-5275-4867-A720-B59FE85F42B7}"/>
    <cellStyle name="Normal 15 3 4 2 7" xfId="14281" xr:uid="{3A801FE6-4239-4447-A122-C70073AC3A1C}"/>
    <cellStyle name="Normal 15 3 4 3" xfId="2264" xr:uid="{36EBC94C-C612-422E-8383-D513E4F43DE9}"/>
    <cellStyle name="Normal 15 3 4 3 2" xfId="3984" xr:uid="{76684034-1A96-4A60-B5F6-6E2BFE6282F2}"/>
    <cellStyle name="Normal 15 3 4 3 3" xfId="7910" xr:uid="{15633786-FEB0-4D64-AC44-8939705D18E8}"/>
    <cellStyle name="Normal 15 3 4 3 4" xfId="9428" xr:uid="{D697B6F6-93B8-41C2-984F-7C37612F7AAA}"/>
    <cellStyle name="Normal 15 3 4 3 5" xfId="13042" xr:uid="{CC8CD024-5D76-4010-969C-14FCC3EF8F77}"/>
    <cellStyle name="Normal 15 3 4 3 6" xfId="14787" xr:uid="{3D9DD73B-A184-478B-AA17-303D19D53027}"/>
    <cellStyle name="Normal 15 3 4 4" xfId="4960" xr:uid="{2E747A17-6D26-419A-B532-42145DA938A7}"/>
    <cellStyle name="Normal 15 3 4 4 2" xfId="10426" xr:uid="{81821A93-4F74-4DEE-B2A2-8DDBF06A9FF8}"/>
    <cellStyle name="Normal 15 3 4 5" xfId="5454" xr:uid="{3B924259-CF28-493C-9485-3AD9942A2BD9}"/>
    <cellStyle name="Normal 15 3 4 5 2" xfId="10928" xr:uid="{C4B00E13-056F-4735-8C70-61FD443A3616}"/>
    <cellStyle name="Normal 15 3 4 6" xfId="5956" xr:uid="{949F8136-1CB1-4382-A7EA-C86826B537D9}"/>
    <cellStyle name="Normal 15 3 4 6 2" xfId="11430" xr:uid="{0BE8406C-5D4B-43E6-AB25-54BDA37EB10C}"/>
    <cellStyle name="Normal 15 3 4 7" xfId="2978" xr:uid="{D94FE38F-3FE6-4D55-ABD7-56199F2BD3A5}"/>
    <cellStyle name="Normal 15 3 4 8" xfId="6896" xr:uid="{D252AE04-C059-4E0A-A3E7-150BB7D3543E}"/>
    <cellStyle name="Normal 15 3 4 9" xfId="8420" xr:uid="{D1F30ED4-3F11-4504-85DD-2156DDF9290F}"/>
    <cellStyle name="Normal 15 3 5" xfId="1508" xr:uid="{D94A3D52-9D3F-4704-AA14-7CA46A0BDCC1}"/>
    <cellStyle name="Normal 15 3 5 2" xfId="4232" xr:uid="{9079B4BE-4649-4DC8-AAAA-7410EEA343F2}"/>
    <cellStyle name="Normal 15 3 5 2 2" xfId="9676" xr:uid="{91C7C0FC-1F77-4DF2-995C-3E99E8394DDA}"/>
    <cellStyle name="Normal 15 3 5 3" xfId="3222" xr:uid="{8A224ADE-A21F-4246-B447-4DCFC71C3032}"/>
    <cellStyle name="Normal 15 3 5 4" xfId="7154" xr:uid="{7D1EF598-FF32-45D8-8F75-28EEF79F7E48}"/>
    <cellStyle name="Normal 15 3 5 5" xfId="8668" xr:uid="{9AD82409-5D2B-4BBE-83E6-9F8D62A01BDB}"/>
    <cellStyle name="Normal 15 3 5 6" xfId="12288" xr:uid="{756E72BE-44C7-4C8E-98F1-40C2C6B490DC}"/>
    <cellStyle name="Normal 15 3 5 7" xfId="14033" xr:uid="{E3DC66CE-2E2E-4F40-9E58-BC7346B97041}"/>
    <cellStyle name="Normal 15 3 6" xfId="2016" xr:uid="{7D22EA86-9C7A-49A0-B753-5D8A5B412844}"/>
    <cellStyle name="Normal 15 3 6 2" xfId="3736" xr:uid="{F20928AA-0BC3-4A64-9657-AF9B968C997A}"/>
    <cellStyle name="Normal 15 3 6 3" xfId="7662" xr:uid="{9373B5C3-185D-4AE4-AC0B-20438A46D659}"/>
    <cellStyle name="Normal 15 3 6 4" xfId="9180" xr:uid="{FD091BA6-CE7D-41C6-B53E-00F2D42CAF6A}"/>
    <cellStyle name="Normal 15 3 6 5" xfId="12794" xr:uid="{96F47198-CA7B-4E29-ACDD-69516FFFAACF}"/>
    <cellStyle name="Normal 15 3 6 6" xfId="14539" xr:uid="{E52B9118-2367-4408-90E8-EE295FB6931B}"/>
    <cellStyle name="Normal 15 3 7" xfId="4732" xr:uid="{538A5E2D-7E7D-4FB4-B52F-6DCFDF67BDA0}"/>
    <cellStyle name="Normal 15 3 7 2" xfId="10178" xr:uid="{3F02F768-ADA7-47A9-ADD1-49AD14F8F2AE}"/>
    <cellStyle name="Normal 15 3 8" xfId="5206" xr:uid="{AA1F55FD-8950-4886-98F0-E154F6467B60}"/>
    <cellStyle name="Normal 15 3 8 2" xfId="10680" xr:uid="{8EA046FF-F1DC-4602-A4B1-B32D1FE20743}"/>
    <cellStyle name="Normal 15 3 9" xfId="5708" xr:uid="{69DE28AC-4A4D-4C16-8FBB-BB8B61D270D9}"/>
    <cellStyle name="Normal 15 3 9 2" xfId="11182" xr:uid="{E4BFD559-4700-427F-870F-85081D47FB01}"/>
    <cellStyle name="Normal 15 4" xfId="1050" xr:uid="{C7DB077C-4EBB-438A-B5BC-D3856973007E}"/>
    <cellStyle name="Normal 15 4 10" xfId="6696" xr:uid="{39968D07-F956-4038-9DD4-D95B01E4FFF2}"/>
    <cellStyle name="Normal 15 4 11" xfId="8220" xr:uid="{3C360F4A-7300-4173-938D-F87FDE3B993A}"/>
    <cellStyle name="Normal 15 4 12" xfId="11830" xr:uid="{96B7CF0B-85E5-4254-A30E-A9FFDE444FBD}"/>
    <cellStyle name="Normal 15 4 13" xfId="13575" xr:uid="{E0557A3C-565A-4DCB-A4F1-E11CDFB9A88A}"/>
    <cellStyle name="Normal 15 4 2" xfId="1174" xr:uid="{A4593468-027F-4BFD-B3E4-823D316B0D5D}"/>
    <cellStyle name="Normal 15 4 2 10" xfId="8344" xr:uid="{21CFEBB7-59B4-4976-913F-B3F63E53302B}"/>
    <cellStyle name="Normal 15 4 2 11" xfId="11954" xr:uid="{6B1E8895-F186-4E4C-9412-5B4AD9A0AA42}"/>
    <cellStyle name="Normal 15 4 2 12" xfId="13699" xr:uid="{CC3D777B-91C8-4B89-986C-7D85CEE858D6}"/>
    <cellStyle name="Normal 15 4 2 2" xfId="1422" xr:uid="{C1D4CE88-5603-42AD-AC01-0B8F1EDEBF42}"/>
    <cellStyle name="Normal 15 4 2 2 10" xfId="12202" xr:uid="{1D323FA6-49B4-4890-A1EF-212BAE592195}"/>
    <cellStyle name="Normal 15 4 2 2 11" xfId="13947" xr:uid="{8750BBD1-48D5-4266-A11A-70EA13CBB68D}"/>
    <cellStyle name="Normal 15 4 2 2 2" xfId="1928" xr:uid="{DABFD0E4-EC3B-42E6-8BF7-56B31F5745DA}"/>
    <cellStyle name="Normal 15 4 2 2 2 2" xfId="4650" xr:uid="{213700D4-E71E-44B2-91B1-AEA28E1AB0F9}"/>
    <cellStyle name="Normal 15 4 2 2 2 2 2" xfId="10096" xr:uid="{37959822-CDE5-4925-B47A-0ECAE8877F4F}"/>
    <cellStyle name="Normal 15 4 2 2 2 3" xfId="3640" xr:uid="{8549CB54-009A-4AE7-9C89-4102B32CA74D}"/>
    <cellStyle name="Normal 15 4 2 2 2 4" xfId="7574" xr:uid="{B6A95A6C-804A-4351-A623-A64B038FFC2D}"/>
    <cellStyle name="Normal 15 4 2 2 2 5" xfId="9088" xr:uid="{01BC653A-7F5D-4B98-A7D4-1AD94B3F7760}"/>
    <cellStyle name="Normal 15 4 2 2 2 6" xfId="12708" xr:uid="{681DAB67-7CB6-45CD-91F4-78E2C4B4CF68}"/>
    <cellStyle name="Normal 15 4 2 2 2 7" xfId="14453" xr:uid="{4E809EA3-3F4A-4F49-AF23-2C223F090DFB}"/>
    <cellStyle name="Normal 15 4 2 2 3" xfId="2436" xr:uid="{1D148A34-1028-44AC-A32C-726C14546766}"/>
    <cellStyle name="Normal 15 4 2 2 3 2" xfId="4156" xr:uid="{501F975A-6A0B-46E8-98BF-FADB998E4EB9}"/>
    <cellStyle name="Normal 15 4 2 2 3 3" xfId="8082" xr:uid="{61BE19B1-9629-4B1D-9C0C-0F0CAC02DF3F}"/>
    <cellStyle name="Normal 15 4 2 2 3 4" xfId="9600" xr:uid="{4647696E-03EE-4D07-9D83-0906720C08A6}"/>
    <cellStyle name="Normal 15 4 2 2 3 5" xfId="13214" xr:uid="{21B3A514-2EB6-47DE-A967-7AD79434C2C6}"/>
    <cellStyle name="Normal 15 4 2 2 3 6" xfId="14959" xr:uid="{91AD5429-A8D0-43C0-9103-7D8F23430EA9}"/>
    <cellStyle name="Normal 15 4 2 2 4" xfId="5128" xr:uid="{7035E1BE-8CB5-44B5-B75C-1D159FABE793}"/>
    <cellStyle name="Normal 15 4 2 2 4 2" xfId="10598" xr:uid="{435A3818-3E96-49F3-B056-7BCFD6F7C19A}"/>
    <cellStyle name="Normal 15 4 2 2 5" xfId="5626" xr:uid="{CB545BDE-B540-46F7-8DA2-9F06B516566C}"/>
    <cellStyle name="Normal 15 4 2 2 5 2" xfId="11100" xr:uid="{F7EB4512-C9AE-4182-A837-E8433CFDA395}"/>
    <cellStyle name="Normal 15 4 2 2 6" xfId="6128" xr:uid="{B0B0A763-F88F-45E1-A9A3-56D7EE37B48A}"/>
    <cellStyle name="Normal 15 4 2 2 6 2" xfId="11602" xr:uid="{703E49F5-B8B9-4C25-A4DC-2024DDD90C10}"/>
    <cellStyle name="Normal 15 4 2 2 7" xfId="3146" xr:uid="{D82D2080-2CAF-4D91-837D-351DA1CF22AF}"/>
    <cellStyle name="Normal 15 4 2 2 8" xfId="7068" xr:uid="{2463491F-3FF2-48B5-9535-5AC26EAD2202}"/>
    <cellStyle name="Normal 15 4 2 2 9" xfId="8592" xr:uid="{0DCC98F0-F0E5-4CA4-A9F4-C5FF06447826}"/>
    <cellStyle name="Normal 15 4 2 3" xfId="1680" xr:uid="{51DCA57B-F0CD-4482-9798-284B0BAFB261}"/>
    <cellStyle name="Normal 15 4 2 3 2" xfId="4402" xr:uid="{B949259F-B76B-43F0-8606-8F929896271B}"/>
    <cellStyle name="Normal 15 4 2 3 2 2" xfId="9848" xr:uid="{0F7C060B-CF23-4A59-BED7-E73F76D86406}"/>
    <cellStyle name="Normal 15 4 2 3 3" xfId="3392" xr:uid="{97EBA2FB-04EC-4E2D-82F5-8BE3F1C8AFE7}"/>
    <cellStyle name="Normal 15 4 2 3 4" xfId="7326" xr:uid="{CBACF7C9-B972-4469-9206-FD8765B23FE8}"/>
    <cellStyle name="Normal 15 4 2 3 5" xfId="8840" xr:uid="{142D98CB-7E4D-424C-977E-E3FAFD9DFA32}"/>
    <cellStyle name="Normal 15 4 2 3 6" xfId="12460" xr:uid="{8402CA2F-5B77-48DF-8145-0FA15F104052}"/>
    <cellStyle name="Normal 15 4 2 3 7" xfId="14205" xr:uid="{B105C1CF-F3F1-44F3-8E8B-56535182871F}"/>
    <cellStyle name="Normal 15 4 2 4" xfId="2188" xr:uid="{61C1BB98-CD35-4338-BE12-8A69904656EA}"/>
    <cellStyle name="Normal 15 4 2 4 2" xfId="3908" xr:uid="{E4C31A3C-7CC0-43C9-8952-FCCB89C3B3B0}"/>
    <cellStyle name="Normal 15 4 2 4 3" xfId="7834" xr:uid="{573433E7-0A1B-48EA-A889-01819E8B7A7A}"/>
    <cellStyle name="Normal 15 4 2 4 4" xfId="9352" xr:uid="{59ADB5D0-EFD8-4DE8-AC10-A964B622AF45}"/>
    <cellStyle name="Normal 15 4 2 4 5" xfId="12966" xr:uid="{A1002CDD-C4C1-4CBF-9E88-658553B8BB3D}"/>
    <cellStyle name="Normal 15 4 2 4 6" xfId="14711" xr:uid="{260B0B56-9582-4139-B6A2-871B8FD1565B}"/>
    <cellStyle name="Normal 15 4 2 5" xfId="4889" xr:uid="{510AF66E-7CC6-4105-8FCE-D2BA28DB510D}"/>
    <cellStyle name="Normal 15 4 2 5 2" xfId="10350" xr:uid="{748CE3A0-6252-43C5-8830-0F432372B285}"/>
    <cellStyle name="Normal 15 4 2 6" xfId="5378" xr:uid="{3F7BE3B8-97E1-48DB-A1A6-45794C0D6AC4}"/>
    <cellStyle name="Normal 15 4 2 6 2" xfId="10852" xr:uid="{1E47AA5A-6E96-4F27-8AF7-43113F0E937D}"/>
    <cellStyle name="Normal 15 4 2 7" xfId="5880" xr:uid="{3AE98252-4D10-4F37-81EB-F42B1D4A64C3}"/>
    <cellStyle name="Normal 15 4 2 7 2" xfId="11354" xr:uid="{3C0B9DA8-330B-4802-8CC7-BE92D7978433}"/>
    <cellStyle name="Normal 15 4 2 8" xfId="2905" xr:uid="{C2BD2176-B611-462D-B9DA-121190469212}"/>
    <cellStyle name="Normal 15 4 2 9" xfId="6820" xr:uid="{92EEDE13-7DBA-4B3F-B272-DC71E93DE186}"/>
    <cellStyle name="Normal 15 4 3" xfId="1298" xr:uid="{211E460E-5100-4A85-97F0-C1A715FF89F7}"/>
    <cellStyle name="Normal 15 4 3 10" xfId="12078" xr:uid="{3E7A9AA2-0EA7-4D15-8C99-6308854813D9}"/>
    <cellStyle name="Normal 15 4 3 11" xfId="13823" xr:uid="{1097E7A1-5032-4890-917A-14BAA0D19D5F}"/>
    <cellStyle name="Normal 15 4 3 2" xfId="1804" xr:uid="{0C76724F-EE7C-47B1-BE39-55839B3EFCF6}"/>
    <cellStyle name="Normal 15 4 3 2 2" xfId="4526" xr:uid="{7F2C6779-863F-4260-9E53-70EB143DB3DE}"/>
    <cellStyle name="Normal 15 4 3 2 2 2" xfId="9972" xr:uid="{DCC874EA-0E5B-4EED-B95C-77BFDAA48B34}"/>
    <cellStyle name="Normal 15 4 3 2 3" xfId="3516" xr:uid="{453FDD04-0500-4401-B261-786453E48CE0}"/>
    <cellStyle name="Normal 15 4 3 2 4" xfId="7450" xr:uid="{5BF944A6-41C0-4831-AA5F-4F853B500FE3}"/>
    <cellStyle name="Normal 15 4 3 2 5" xfId="8964" xr:uid="{A3452E6A-8312-4921-B320-AF62799DE18F}"/>
    <cellStyle name="Normal 15 4 3 2 6" xfId="12584" xr:uid="{29A7CC71-98CC-4B9C-AC57-75F91E53D091}"/>
    <cellStyle name="Normal 15 4 3 2 7" xfId="14329" xr:uid="{BAF6D62B-E16F-4A3A-8840-A683E4300F42}"/>
    <cellStyle name="Normal 15 4 3 3" xfId="2312" xr:uid="{35565DB5-9CC3-40D9-8AF4-D25B26D26824}"/>
    <cellStyle name="Normal 15 4 3 3 2" xfId="4032" xr:uid="{FF47B10A-2296-4A21-8A01-B8CA8073FD42}"/>
    <cellStyle name="Normal 15 4 3 3 3" xfId="7958" xr:uid="{1D92C76E-868B-4034-9AA8-81F219ECB8E6}"/>
    <cellStyle name="Normal 15 4 3 3 4" xfId="9476" xr:uid="{393C981E-7E04-4CD3-97BE-D8E68B55B6B0}"/>
    <cellStyle name="Normal 15 4 3 3 5" xfId="13090" xr:uid="{50D47130-8070-4CCD-971D-F104B1719F17}"/>
    <cellStyle name="Normal 15 4 3 3 6" xfId="14835" xr:uid="{8AC0DC32-B17F-4ADC-B4DC-807794C62526}"/>
    <cellStyle name="Normal 15 4 3 4" xfId="5005" xr:uid="{64314087-3983-41D7-B7A6-D254F8DFAA47}"/>
    <cellStyle name="Normal 15 4 3 4 2" xfId="10474" xr:uid="{AEC10A01-161F-4311-B3F9-43493424D87E}"/>
    <cellStyle name="Normal 15 4 3 5" xfId="5502" xr:uid="{16D6527B-E29B-4A27-94E5-BF9937DB0C62}"/>
    <cellStyle name="Normal 15 4 3 5 2" xfId="10976" xr:uid="{DE3F16A7-E5D9-48E9-A91E-68D49C8E6B06}"/>
    <cellStyle name="Normal 15 4 3 6" xfId="6004" xr:uid="{172B6861-06DF-46C5-AE4E-384F9A5CED9C}"/>
    <cellStyle name="Normal 15 4 3 6 2" xfId="11478" xr:uid="{17DE4300-85D4-4ABD-B58C-9FE87809B6E2}"/>
    <cellStyle name="Normal 15 4 3 7" xfId="3023" xr:uid="{BAC48811-68E9-4F86-A957-42CE266DE24B}"/>
    <cellStyle name="Normal 15 4 3 8" xfId="6944" xr:uid="{A6976E3F-DC2F-4A79-8762-D9F36D947A51}"/>
    <cellStyle name="Normal 15 4 3 9" xfId="8468" xr:uid="{E1100D4F-2DFC-430A-B8AC-CCD6B2925BE0}"/>
    <cellStyle name="Normal 15 4 4" xfId="1556" xr:uid="{6715B85B-F73C-4E55-A373-CBB74B5F33B0}"/>
    <cellStyle name="Normal 15 4 4 2" xfId="4279" xr:uid="{E4399356-8066-4BD4-A801-9F831AF1CB3C}"/>
    <cellStyle name="Normal 15 4 4 2 2" xfId="9724" xr:uid="{5AD45679-4021-431E-8327-4B86036B3FE6}"/>
    <cellStyle name="Normal 15 4 4 3" xfId="3269" xr:uid="{186017D6-74A5-421C-B2FE-EAB273AE1F35}"/>
    <cellStyle name="Normal 15 4 4 4" xfId="7202" xr:uid="{9E0412A6-9673-4D64-B907-B92DA8198642}"/>
    <cellStyle name="Normal 15 4 4 5" xfId="8716" xr:uid="{9162CEF5-E42C-48EB-A864-CD0ED4D84EF5}"/>
    <cellStyle name="Normal 15 4 4 6" xfId="12336" xr:uid="{BE593D44-B090-4FD5-9588-DB5939F81A72}"/>
    <cellStyle name="Normal 15 4 4 7" xfId="14081" xr:uid="{22086A0A-C878-4275-AC96-13A6C25BC654}"/>
    <cellStyle name="Normal 15 4 5" xfId="2064" xr:uid="{C40DE1CD-2796-4F6D-8663-45DE607E5B7C}"/>
    <cellStyle name="Normal 15 4 5 2" xfId="3784" xr:uid="{3ADADA29-071D-4053-8847-95DBE43B2277}"/>
    <cellStyle name="Normal 15 4 5 3" xfId="7710" xr:uid="{AAEBF418-5A10-4B64-9EC3-4896E277A76A}"/>
    <cellStyle name="Normal 15 4 5 4" xfId="9228" xr:uid="{9A7B178B-42E9-4187-8F96-FD4DD5659CD4}"/>
    <cellStyle name="Normal 15 4 5 5" xfId="12842" xr:uid="{33D09C93-E373-4B11-A708-13C62B25ED3D}"/>
    <cellStyle name="Normal 15 4 5 6" xfId="14587" xr:uid="{D3A74FA7-F035-436E-95CD-4882B99CE044}"/>
    <cellStyle name="Normal 15 4 6" xfId="4775" xr:uid="{63679EE2-BCC9-402C-BA06-CABFB86BA56C}"/>
    <cellStyle name="Normal 15 4 6 2" xfId="10226" xr:uid="{99E986F4-2AE8-4302-9EE1-74AB4A7187E0}"/>
    <cellStyle name="Normal 15 4 7" xfId="5254" xr:uid="{4C44AFC0-EA10-4BB1-B30D-BE1B99CA18A6}"/>
    <cellStyle name="Normal 15 4 7 2" xfId="10728" xr:uid="{88EF5514-D089-4AF6-90A4-B2FC4D814622}"/>
    <cellStyle name="Normal 15 4 8" xfId="5756" xr:uid="{7AEEDEF0-4819-43E5-93E0-FA262DCFA230}"/>
    <cellStyle name="Normal 15 4 8 2" xfId="11230" xr:uid="{CBF1B329-23D9-46BE-98C5-D1DB5870341A}"/>
    <cellStyle name="Normal 15 4 9" xfId="2791" xr:uid="{F12CA1B7-2F3D-41BD-8FDE-29A12D5ED080}"/>
    <cellStyle name="Normal 15 5" xfId="1084" xr:uid="{6D97C17E-06F0-4A7E-88AD-902C2344DDF3}"/>
    <cellStyle name="Normal 15 5 10" xfId="8254" xr:uid="{14004696-61A1-46B1-BE76-CC1ACF4C159F}"/>
    <cellStyle name="Normal 15 5 11" xfId="11864" xr:uid="{2D9626CD-E0AD-4597-816D-5C7939F58BFB}"/>
    <cellStyle name="Normal 15 5 12" xfId="13609" xr:uid="{F000C529-8E43-419D-B33A-C5924438E757}"/>
    <cellStyle name="Normal 15 5 2" xfId="1332" xr:uid="{DF37D7D3-73CF-4E6B-B8BD-C5F66AB17E64}"/>
    <cellStyle name="Normal 15 5 2 10" xfId="12112" xr:uid="{012CBE9D-E2F8-422A-9D37-E10A0935CE22}"/>
    <cellStyle name="Normal 15 5 2 11" xfId="13857" xr:uid="{CB1CAA80-D96F-432B-A673-0DB79AE6B9F6}"/>
    <cellStyle name="Normal 15 5 2 2" xfId="1838" xr:uid="{773C8AB0-C792-46C2-840C-870865411EFD}"/>
    <cellStyle name="Normal 15 5 2 2 2" xfId="4560" xr:uid="{CC001DD6-1562-4E77-8D86-4B14E3CEDC12}"/>
    <cellStyle name="Normal 15 5 2 2 2 2" xfId="10006" xr:uid="{2F9D8887-8F69-4B68-B11D-862820B3D135}"/>
    <cellStyle name="Normal 15 5 2 2 3" xfId="3550" xr:uid="{84809230-7D86-4F32-AD83-7520E35C8756}"/>
    <cellStyle name="Normal 15 5 2 2 4" xfId="7484" xr:uid="{3B9F80CC-6ACA-45D3-9C61-7F4434D1DFD1}"/>
    <cellStyle name="Normal 15 5 2 2 5" xfId="8998" xr:uid="{BDF80EF9-93C2-4695-AFC6-054D1897158A}"/>
    <cellStyle name="Normal 15 5 2 2 6" xfId="12618" xr:uid="{327D9D21-5CE7-497F-9F49-A534C01CF0B1}"/>
    <cellStyle name="Normal 15 5 2 2 7" xfId="14363" xr:uid="{6738A173-3038-4D34-A930-EB089D0EA2C9}"/>
    <cellStyle name="Normal 15 5 2 3" xfId="2346" xr:uid="{9991F875-BE40-46B9-B0AE-21E3B996E265}"/>
    <cellStyle name="Normal 15 5 2 3 2" xfId="4066" xr:uid="{BC05568F-2DDC-4C69-9E06-91B094FEFCC0}"/>
    <cellStyle name="Normal 15 5 2 3 3" xfId="7992" xr:uid="{8AF94E1E-A41F-4CFA-B7E8-BF1B53121202}"/>
    <cellStyle name="Normal 15 5 2 3 4" xfId="9510" xr:uid="{5282F0E6-8B4E-490C-A6EF-48FF4F929703}"/>
    <cellStyle name="Normal 15 5 2 3 5" xfId="13124" xr:uid="{9C13539D-602D-4C3B-8131-DA34BA95F757}"/>
    <cellStyle name="Normal 15 5 2 3 6" xfId="14869" xr:uid="{5D48BEF1-F1C6-4D00-9DD0-5928EBADFE33}"/>
    <cellStyle name="Normal 15 5 2 4" xfId="5038" xr:uid="{0A7B086A-EA58-4F71-B5C8-1208C0FB9C78}"/>
    <cellStyle name="Normal 15 5 2 4 2" xfId="10508" xr:uid="{D6463502-48A2-459B-BEE9-ADA5498E8839}"/>
    <cellStyle name="Normal 15 5 2 5" xfId="5536" xr:uid="{8EA5D1E0-CE20-4B18-8E98-9BE19FCCDAF8}"/>
    <cellStyle name="Normal 15 5 2 5 2" xfId="11010" xr:uid="{5EE378B4-7A7A-41F1-A68F-0574E2FDC31B}"/>
    <cellStyle name="Normal 15 5 2 6" xfId="6038" xr:uid="{65253AA3-89F2-4C5F-9D7D-2A14D0D1F755}"/>
    <cellStyle name="Normal 15 5 2 6 2" xfId="11512" xr:uid="{01412006-8611-4B52-9F80-3C0D304F1C7B}"/>
    <cellStyle name="Normal 15 5 2 7" xfId="3056" xr:uid="{F7C6ECD5-F69B-45FC-83A9-3E5A73F2A791}"/>
    <cellStyle name="Normal 15 5 2 8" xfId="6978" xr:uid="{0374C2A2-51A7-4E79-A792-F7B8504827CA}"/>
    <cellStyle name="Normal 15 5 2 9" xfId="8502" xr:uid="{F5EF2B51-EB6E-4C98-8441-46772E7BA0FE}"/>
    <cellStyle name="Normal 15 5 3" xfId="1590" xr:uid="{B4BBB37B-9580-4529-9F20-985D8111B434}"/>
    <cellStyle name="Normal 15 5 3 2" xfId="4312" xr:uid="{BACA50D3-6288-4D9C-BC65-E49543085700}"/>
    <cellStyle name="Normal 15 5 3 2 2" xfId="9758" xr:uid="{D9827563-1D4B-4B0D-B616-11401351FE57}"/>
    <cellStyle name="Normal 15 5 3 3" xfId="3302" xr:uid="{6A8AD610-D112-4783-ADC7-663F838F9437}"/>
    <cellStyle name="Normal 15 5 3 4" xfId="7236" xr:uid="{891E9D97-714A-4D60-874B-CBFE96F534CC}"/>
    <cellStyle name="Normal 15 5 3 5" xfId="8750" xr:uid="{CCF592FC-D6E6-4823-8472-FA437E1FE447}"/>
    <cellStyle name="Normal 15 5 3 6" xfId="12370" xr:uid="{45A412D9-128A-480A-8B39-E074B72E6035}"/>
    <cellStyle name="Normal 15 5 3 7" xfId="14115" xr:uid="{16185750-D884-42B1-9394-A02C33F20FA8}"/>
    <cellStyle name="Normal 15 5 4" xfId="2098" xr:uid="{890490E4-61A7-45DC-A468-F22EB1398E0C}"/>
    <cellStyle name="Normal 15 5 4 2" xfId="3818" xr:uid="{F783D3C8-22F1-4A3A-817F-E55F256C5BB8}"/>
    <cellStyle name="Normal 15 5 4 3" xfId="7744" xr:uid="{613FA295-EB95-44A8-AEEE-93AEEE42F5C4}"/>
    <cellStyle name="Normal 15 5 4 4" xfId="9262" xr:uid="{1D0B34C7-EF6A-4B7E-B093-6D768C0F386B}"/>
    <cellStyle name="Normal 15 5 4 5" xfId="12876" xr:uid="{E47A07DF-6B4D-4FBD-9980-FA66B6FAE503}"/>
    <cellStyle name="Normal 15 5 4 6" xfId="14621" xr:uid="{2ACB6E8D-59E5-47BD-A799-F44A01EBD735}"/>
    <cellStyle name="Normal 15 5 5" xfId="4806" xr:uid="{077A14E9-52DE-4061-AC6C-69B2E5CC2E58}"/>
    <cellStyle name="Normal 15 5 5 2" xfId="10260" xr:uid="{86F3374E-7756-4A03-AEF6-D52FD3739BED}"/>
    <cellStyle name="Normal 15 5 6" xfId="5288" xr:uid="{E56E7C44-F345-4F09-9CB2-3E8FE64EB56E}"/>
    <cellStyle name="Normal 15 5 6 2" xfId="10762" xr:uid="{C905B301-3464-4E93-91E5-38F6B122819F}"/>
    <cellStyle name="Normal 15 5 7" xfId="5790" xr:uid="{243DD7E3-3128-4417-9447-7EBE134A4057}"/>
    <cellStyle name="Normal 15 5 7 2" xfId="11264" xr:uid="{4EC579C8-5851-4298-A759-6BDE635CA2DC}"/>
    <cellStyle name="Normal 15 5 8" xfId="2822" xr:uid="{9F79175C-2B3A-4674-8B62-BA9D86B495FE}"/>
    <cellStyle name="Normal 15 5 9" xfId="6730" xr:uid="{8C028B58-0B9F-484D-AE02-9CC1C9615B34}"/>
    <cellStyle name="Normal 15 6" xfId="1208" xr:uid="{59C816FE-30D2-4107-AB95-AE1B88335FCD}"/>
    <cellStyle name="Normal 15 6 10" xfId="11988" xr:uid="{26C63637-968E-4333-8B13-09C8724E4C9D}"/>
    <cellStyle name="Normal 15 6 11" xfId="13733" xr:uid="{FF675BA2-9125-448D-9CD1-63B845BC7EDA}"/>
    <cellStyle name="Normal 15 6 2" xfId="1714" xr:uid="{7BB3587B-3C7F-448F-A5E0-45C085FD4A52}"/>
    <cellStyle name="Normal 15 6 2 2" xfId="4436" xr:uid="{3FB54191-5D0D-4739-A4CF-33D399143D96}"/>
    <cellStyle name="Normal 15 6 2 2 2" xfId="9882" xr:uid="{C4C62BAF-31BC-4AAA-8EAD-79ED6ED7C154}"/>
    <cellStyle name="Normal 15 6 2 3" xfId="3426" xr:uid="{66C32079-D36F-4A3A-AA24-97BA89756452}"/>
    <cellStyle name="Normal 15 6 2 4" xfId="7360" xr:uid="{4B8CA1DA-BCF6-4057-8EB4-30420BB82A46}"/>
    <cellStyle name="Normal 15 6 2 5" xfId="8874" xr:uid="{ED69392C-A33B-4827-9E0D-C7F00010D782}"/>
    <cellStyle name="Normal 15 6 2 6" xfId="12494" xr:uid="{36600AF4-DA53-4DE5-9846-840215F602AD}"/>
    <cellStyle name="Normal 15 6 2 7" xfId="14239" xr:uid="{ADB70E72-45F6-4DBC-8834-36DCC433273F}"/>
    <cellStyle name="Normal 15 6 3" xfId="2222" xr:uid="{D7917AD9-1D34-4AAC-A261-9FE7A64DDE1C}"/>
    <cellStyle name="Normal 15 6 3 2" xfId="3942" xr:uid="{3326852C-B735-47C2-8FC3-2852D1F1F2B4}"/>
    <cellStyle name="Normal 15 6 3 3" xfId="7868" xr:uid="{DD136134-23E2-468F-AF5F-7E129017CC02}"/>
    <cellStyle name="Normal 15 6 3 4" xfId="9386" xr:uid="{0658DC9C-C649-48E7-827F-0306EE12E0A8}"/>
    <cellStyle name="Normal 15 6 3 5" xfId="13000" xr:uid="{45977C55-7E1B-41FC-910C-C90E61DD031D}"/>
    <cellStyle name="Normal 15 6 3 6" xfId="14745" xr:uid="{2A961119-FD15-4378-9861-B4226760CEC5}"/>
    <cellStyle name="Normal 15 6 4" xfId="4922" xr:uid="{BD3BC510-066A-485E-B3A8-8770E2986FC6}"/>
    <cellStyle name="Normal 15 6 4 2" xfId="10384" xr:uid="{4E936404-716C-4C5F-B02F-F2ABFBC155B6}"/>
    <cellStyle name="Normal 15 6 5" xfId="5412" xr:uid="{9DA5CCE7-075B-4F89-9531-1BB67BACCA87}"/>
    <cellStyle name="Normal 15 6 5 2" xfId="10886" xr:uid="{42C55C06-9835-46C6-A8D2-8BDF22BF3319}"/>
    <cellStyle name="Normal 15 6 6" xfId="5914" xr:uid="{B3F47E53-4E05-4154-886C-D87C09256D53}"/>
    <cellStyle name="Normal 15 6 6 2" xfId="11388" xr:uid="{BA06FACE-4091-4ED4-9643-AD4FE0E6D171}"/>
    <cellStyle name="Normal 15 6 7" xfId="2938" xr:uid="{978522E9-840A-41E8-87D2-A40BF8AA464E}"/>
    <cellStyle name="Normal 15 6 8" xfId="6854" xr:uid="{B793FEC4-9CD7-404F-A902-42DAAE3EFB10}"/>
    <cellStyle name="Normal 15 6 9" xfId="8378" xr:uid="{386E1D63-4E7F-4261-BF0B-C6C558B182B6}"/>
    <cellStyle name="Normal 15 7" xfId="819" xr:uid="{27C5D5BB-6546-4C35-A9E7-070CD567E115}"/>
    <cellStyle name="Normal 15 7 2" xfId="4190" xr:uid="{CE74F469-CEF7-4028-A9F6-F46D395093DC}"/>
    <cellStyle name="Normal 15 7 2 2" xfId="9634" xr:uid="{D90E74F6-4F36-4A68-A6CE-D496183FBB91}"/>
    <cellStyle name="Normal 15 7 3" xfId="3180" xr:uid="{45C31D05-2094-45DB-B287-204FA2CB23FF}"/>
    <cellStyle name="Normal 15 7 4" xfId="6582" xr:uid="{3410D053-1A60-4E44-8A4A-77DF4DF4A797}"/>
    <cellStyle name="Normal 15 7 5" xfId="8626" xr:uid="{37F8A909-6E3C-4DA7-B567-374FF542F039}"/>
    <cellStyle name="Normal 15 7 6" xfId="11740" xr:uid="{88994A15-C16B-4465-BEA2-A020129A76F3}"/>
    <cellStyle name="Normal 15 7 7" xfId="13485" xr:uid="{D36DDBEC-5E70-4572-92C2-B01D72539497}"/>
    <cellStyle name="Normal 15 8" xfId="1466" xr:uid="{DF5DBF71-CE82-4819-8BD1-7A3F003F02AB}"/>
    <cellStyle name="Normal 15 8 2" xfId="3694" xr:uid="{D1879A5A-8258-4ECB-A606-C1CD960B6021}"/>
    <cellStyle name="Normal 15 8 3" xfId="7112" xr:uid="{63DE384E-D046-474F-8446-EB349A43A79F}"/>
    <cellStyle name="Normal 15 8 4" xfId="9138" xr:uid="{5DFCBEBE-20E0-4D6C-A1CF-BA4FADAF6664}"/>
    <cellStyle name="Normal 15 8 5" xfId="12246" xr:uid="{348B9C06-6A99-40C7-81E6-A0931319076A}"/>
    <cellStyle name="Normal 15 8 6" xfId="13991" xr:uid="{ED45DC48-0F11-4C0B-B5E9-F0B92B16F85B}"/>
    <cellStyle name="Normal 15 9" xfId="1973" xr:uid="{56DE352F-12A8-4D8D-9198-700E3C808649}"/>
    <cellStyle name="Normal 15 9 2" xfId="4690" xr:uid="{CCDE5FB7-7F89-4BE0-8705-F760A32BAA8F}"/>
    <cellStyle name="Normal 15 9 3" xfId="7619" xr:uid="{DC8196F0-EE6E-4B41-922F-0A15D739F597}"/>
    <cellStyle name="Normal 15 9 4" xfId="10136" xr:uid="{C89B2A20-7FEB-4A9C-93AB-56C8121FD3AD}"/>
    <cellStyle name="Normal 15 9 5" xfId="12752" xr:uid="{20283059-C2B2-481F-8219-86263C72D094}"/>
    <cellStyle name="Normal 15 9 6" xfId="14497" xr:uid="{E74287FC-44DD-486C-9011-6BA84AA41D49}"/>
    <cellStyle name="Normal 16" xfId="541" xr:uid="{E759968E-D9A4-404E-B77D-E8308D39E0AF}"/>
    <cellStyle name="Normal 16 2" xfId="820" xr:uid="{A9D2F4D7-C078-41A1-98B1-C9995A3F4FE6}"/>
    <cellStyle name="Normal 16 3" xfId="6506" xr:uid="{6F023505-1716-4942-9BBA-1EFE1F4D46D3}"/>
    <cellStyle name="Normal 16 4" xfId="11725" xr:uid="{79C6F3F3-81C0-41DA-8847-AD6F6D27EF02}"/>
    <cellStyle name="Normal 16 5" xfId="13470" xr:uid="{7B95FDD8-1F61-4C8D-8A0C-CCC74E2645F6}"/>
    <cellStyle name="Normal 17" xfId="821" xr:uid="{645563AD-0933-4955-B872-818698CEA943}"/>
    <cellStyle name="Normal 18" xfId="822" xr:uid="{AF169818-D601-48EA-A837-D5DB2A59203F}"/>
    <cellStyle name="Normal 19" xfId="823" xr:uid="{6E7FDC6C-9891-4031-AF80-13B61ECB31D1}"/>
    <cellStyle name="Normal 2" xfId="60" xr:uid="{00000000-0005-0000-0000-000025010000}"/>
    <cellStyle name="Normal 2 10" xfId="532" xr:uid="{82D3E7E6-4875-405E-9323-995F39E640F9}"/>
    <cellStyle name="Normal 2 2" xfId="61" xr:uid="{00000000-0005-0000-0000-000026010000}"/>
    <cellStyle name="Normal 2 2 2" xfId="62" xr:uid="{00000000-0005-0000-0000-000027010000}"/>
    <cellStyle name="Normal 2 2 2 2" xfId="142" xr:uid="{00000000-0005-0000-0000-000028010000}"/>
    <cellStyle name="Normal 2 2 2 2 2" xfId="312" xr:uid="{00000000-0005-0000-0000-000029010000}"/>
    <cellStyle name="Normal 2 2 2 3" xfId="255" xr:uid="{00000000-0005-0000-0000-00002A010000}"/>
    <cellStyle name="Normal 2 2 3" xfId="63" xr:uid="{00000000-0005-0000-0000-00002B010000}"/>
    <cellStyle name="Normal 2 2 3 2" xfId="143" xr:uid="{00000000-0005-0000-0000-00002C010000}"/>
    <cellStyle name="Normal 2 2 3 2 2" xfId="313" xr:uid="{00000000-0005-0000-0000-00002D010000}"/>
    <cellStyle name="Normal 2 2 3 3" xfId="256" xr:uid="{00000000-0005-0000-0000-00002E010000}"/>
    <cellStyle name="Normal 2 2 4" xfId="64" xr:uid="{00000000-0005-0000-0000-00002F010000}"/>
    <cellStyle name="Normal 2 2 4 2" xfId="144" xr:uid="{00000000-0005-0000-0000-000030010000}"/>
    <cellStyle name="Normal 2 2 4 2 2" xfId="314" xr:uid="{00000000-0005-0000-0000-000031010000}"/>
    <cellStyle name="Normal 2 2 4 3" xfId="257" xr:uid="{00000000-0005-0000-0000-000032010000}"/>
    <cellStyle name="Normal 2 2 5" xfId="117" xr:uid="{00000000-0005-0000-0000-000033010000}"/>
    <cellStyle name="Normal 2 2 5 2" xfId="290" xr:uid="{00000000-0005-0000-0000-000034010000}"/>
    <cellStyle name="Normal 2 2 6" xfId="254" xr:uid="{00000000-0005-0000-0000-000035010000}"/>
    <cellStyle name="Normal 2 2 6 2" xfId="2524" xr:uid="{38E32E65-3A25-4275-B2A6-EFA4C5E85CE8}"/>
    <cellStyle name="Normal 2 2 6 2 2" xfId="6519" xr:uid="{70218FE9-96D5-4A40-969C-D606336DA82D}"/>
    <cellStyle name="Normal 2 2 6 3" xfId="558" xr:uid="{3C87F136-A45F-486B-A0D7-B7B456CC337C}"/>
    <cellStyle name="Normal 2 3" xfId="65" xr:uid="{00000000-0005-0000-0000-000036010000}"/>
    <cellStyle name="Normal 2 3 2" xfId="66" xr:uid="{00000000-0005-0000-0000-000037010000}"/>
    <cellStyle name="Normal 2 3 2 2" xfId="145" xr:uid="{00000000-0005-0000-0000-000038010000}"/>
    <cellStyle name="Normal 2 3 2 2 2" xfId="315" xr:uid="{00000000-0005-0000-0000-000039010000}"/>
    <cellStyle name="Normal 2 3 2 3" xfId="259" xr:uid="{00000000-0005-0000-0000-00003A010000}"/>
    <cellStyle name="Normal 2 3 2 3 2" xfId="4683" xr:uid="{FC50BFFF-B0CC-4CB3-8522-2F7EFBB24F9F}"/>
    <cellStyle name="Normal 2 3 2 3 2 2" xfId="10129" xr:uid="{C343EA54-5B88-410C-8D3D-A836BC2C207B}"/>
    <cellStyle name="Normal 2 3 2 3 3" xfId="6248" xr:uid="{3A418007-B49D-4328-973A-A99122C701CA}"/>
    <cellStyle name="Normal 2 3 2 3 4" xfId="3673" xr:uid="{76083E7E-5AC1-41B4-9FB8-25B16C873477}"/>
    <cellStyle name="Normal 2 3 2 3 5" xfId="9121" xr:uid="{AEAC88C0-F4E0-461D-A204-2B1C3C0CAD17}"/>
    <cellStyle name="Normal 2 3 2 4" xfId="5161" xr:uid="{5D65249E-0862-4A52-AF08-90CED2E86838}"/>
    <cellStyle name="Normal 2 3 2 4 2" xfId="10631" xr:uid="{8CCE78F8-5293-4F83-A2BF-DC2E054E76E5}"/>
    <cellStyle name="Normal 2 3 2 5" xfId="5659" xr:uid="{5D017041-151A-4755-8616-0331D1A56C65}"/>
    <cellStyle name="Normal 2 3 2 5 2" xfId="11133" xr:uid="{D251A791-24BC-4A4E-BB3F-869189266D0F}"/>
    <cellStyle name="Normal 2 3 2 6" xfId="6161" xr:uid="{3B5DD1D3-8071-4E6B-B320-434CBB491A11}"/>
    <cellStyle name="Normal 2 3 2 6 2" xfId="11635" xr:uid="{0EAA741F-DF2C-4B96-9D31-2B52D45AAA5E}"/>
    <cellStyle name="Normal 2 3 3" xfId="67" xr:uid="{00000000-0005-0000-0000-00003B010000}"/>
    <cellStyle name="Normal 2 3 3 2" xfId="146" xr:uid="{00000000-0005-0000-0000-00003C010000}"/>
    <cellStyle name="Normal 2 3 3 2 2" xfId="316" xr:uid="{00000000-0005-0000-0000-00003D010000}"/>
    <cellStyle name="Normal 2 3 3 3" xfId="260" xr:uid="{00000000-0005-0000-0000-00003E010000}"/>
    <cellStyle name="Normal 2 3 4" xfId="68" xr:uid="{00000000-0005-0000-0000-00003F010000}"/>
    <cellStyle name="Normal 2 3 4 2" xfId="147" xr:uid="{00000000-0005-0000-0000-000040010000}"/>
    <cellStyle name="Normal 2 3 4 2 2" xfId="317" xr:uid="{00000000-0005-0000-0000-000041010000}"/>
    <cellStyle name="Normal 2 3 4 3" xfId="261" xr:uid="{00000000-0005-0000-0000-000042010000}"/>
    <cellStyle name="Normal 2 3 5" xfId="258" xr:uid="{00000000-0005-0000-0000-000043010000}"/>
    <cellStyle name="Normal 2 4" xfId="103" xr:uid="{00000000-0005-0000-0000-000044010000}"/>
    <cellStyle name="Normal 2 4 2" xfId="824" xr:uid="{52EA22E6-15CC-49B8-8870-8635B45EA83C}"/>
    <cellStyle name="Normal 2 4 3" xfId="3680" xr:uid="{8C187807-1035-48AC-B9EB-98005524B872}"/>
    <cellStyle name="Normal 2 5" xfId="253" xr:uid="{00000000-0005-0000-0000-000045010000}"/>
    <cellStyle name="Normal 2 6" xfId="6230" xr:uid="{CCDAA130-07B7-4755-A5BC-E13C123C6DFD}"/>
    <cellStyle name="Normal 2 6 2" xfId="6476" xr:uid="{B0F39AB9-E9CA-4548-BF75-B3250B145503}"/>
    <cellStyle name="Normal 2 7" xfId="6254" xr:uid="{71D71136-366E-40E4-B198-ADB1B12B2022}"/>
    <cellStyle name="Normal 2 8" xfId="6256" xr:uid="{998AF945-4490-4E0E-B6EA-46668A2E115B}"/>
    <cellStyle name="Normal 2 8 2" xfId="11700" xr:uid="{557CC324-21B1-448F-95F1-84CF9694CD3B}"/>
    <cellStyle name="Normal 2 9" xfId="506" xr:uid="{3F47D70F-B3B6-4C4B-98ED-239BBE609160}"/>
    <cellStyle name="Normal 2_Adjustment WP" xfId="825" xr:uid="{3BDD7A9F-8673-4CD8-A284-B91FB14485FC}"/>
    <cellStyle name="Normal 20" xfId="826" xr:uid="{4D38961F-6562-4741-8FDC-D1CEEBB0BEE7}"/>
    <cellStyle name="Normal 21" xfId="827" xr:uid="{BA40D3AF-9E02-40F2-82F5-428C66D16856}"/>
    <cellStyle name="Normal 22" xfId="828" xr:uid="{3717155D-E88D-4F52-9305-B05ED81C83C4}"/>
    <cellStyle name="Normal 23" xfId="829" xr:uid="{E591CE33-2258-41E1-A52D-B1D839EACE10}"/>
    <cellStyle name="Normal 24" xfId="830" xr:uid="{5C209B5C-8B4E-4037-8095-91A4E7ED43EF}"/>
    <cellStyle name="Normal 25" xfId="831" xr:uid="{8B48189A-7564-4644-9E0B-C346A43CD931}"/>
    <cellStyle name="Normal 26" xfId="832" xr:uid="{EF6B807B-5D9B-4580-A642-758979044069}"/>
    <cellStyle name="Normal 27" xfId="833" xr:uid="{D8441960-4621-4EEB-8C24-7CDD1CCBAD3E}"/>
    <cellStyle name="Normal 28" xfId="834" xr:uid="{DA2F6919-EAEC-4CA8-B230-AF42CD19570C}"/>
    <cellStyle name="Normal 29" xfId="835" xr:uid="{EC121E9F-6267-452D-9DD1-B3166D33FE1F}"/>
    <cellStyle name="Normal 3" xfId="69" xr:uid="{00000000-0005-0000-0000-000046010000}"/>
    <cellStyle name="Normal 3 2" xfId="100" xr:uid="{00000000-0005-0000-0000-000047010000}"/>
    <cellStyle name="Normal 3 2 2" xfId="837" xr:uid="{CA99ABC9-28A4-4CCE-A841-E5975489EDAE}"/>
    <cellStyle name="Normal 3 2 2 2" xfId="3674" xr:uid="{E786E0B9-A4C0-4E36-84B0-B1D080522CA1}"/>
    <cellStyle name="Normal 3 2 2 2 2" xfId="4684" xr:uid="{1CF4EDAC-E013-4441-9D97-081BFBE3D7C1}"/>
    <cellStyle name="Normal 3 2 2 2 2 2" xfId="10130" xr:uid="{39B91DA6-59B5-4675-A284-91B51F1EDA64}"/>
    <cellStyle name="Normal 3 2 2 2 3" xfId="9122" xr:uid="{7B6635E7-5522-4180-833C-A19BF50F9F02}"/>
    <cellStyle name="Normal 3 2 2 3" xfId="5162" xr:uid="{C8827046-54DE-4E60-BFC2-7AA1D526F1AC}"/>
    <cellStyle name="Normal 3 2 2 3 2" xfId="10632" xr:uid="{ED9E5565-8401-46D2-93D5-0072E1C9F9C0}"/>
    <cellStyle name="Normal 3 2 2 4" xfId="5660" xr:uid="{15D0E12A-3586-4442-93F7-E38D43E1FA2B}"/>
    <cellStyle name="Normal 3 2 2 4 2" xfId="11134" xr:uid="{D7FF5EB3-03E7-471D-914E-85CC36C68B1A}"/>
    <cellStyle name="Normal 3 2 2 5" xfId="6162" xr:uid="{9D79FA8A-570A-45E1-BB26-15BB637365D9}"/>
    <cellStyle name="Normal 3 2 2 5 2" xfId="11636" xr:uid="{5998B7EE-9193-444F-8CD5-86E5812983DE}"/>
    <cellStyle name="Normal 3 2 3" xfId="3677" xr:uid="{6203BB44-73EB-4B25-B42F-3E2818B4916D}"/>
    <cellStyle name="Normal 3 3" xfId="109" xr:uid="{00000000-0005-0000-0000-000048010000}"/>
    <cellStyle name="Normal 3 3 2" xfId="286" xr:uid="{00000000-0005-0000-0000-000049010000}"/>
    <cellStyle name="Normal 3 3 2 2" xfId="2534" xr:uid="{CF79E5E4-EE33-49BE-860C-67450DA182CD}"/>
    <cellStyle name="Normal 3 3 2 2 2" xfId="6583" xr:uid="{68B2919F-1A90-4095-8029-F6FCAA40CAD3}"/>
    <cellStyle name="Normal 3 3 2 3" xfId="838" xr:uid="{DC7B70D7-06ED-4D58-A9C1-7D262E9AAEF7}"/>
    <cellStyle name="Normal 3 3 3" xfId="3681" xr:uid="{706C38FA-ACC1-46CD-A58F-1B98B20AD696}"/>
    <cellStyle name="Normal 3 4" xfId="217" xr:uid="{00000000-0005-0000-0000-00004A010000}"/>
    <cellStyle name="Normal 3 4 2" xfId="363" xr:uid="{00000000-0005-0000-0000-00004B010000}"/>
    <cellStyle name="Normal 3 4 2 2" xfId="2571" xr:uid="{1A07E389-E26B-497C-B50E-9B61A58B3DE3}"/>
    <cellStyle name="Normal 3 4 2 2 2" xfId="6584" xr:uid="{C4687D9F-A021-4095-85C1-6CBCFF8D065B}"/>
    <cellStyle name="Normal 3 4 2 3" xfId="839" xr:uid="{5780F980-E2BD-4122-92E4-4C39FA2D2F62}"/>
    <cellStyle name="Normal 3 4 3" xfId="552" xr:uid="{964245B0-1097-4760-8D4B-5F9F07CABBC1}"/>
    <cellStyle name="Normal 3 4 3 2" xfId="6245" xr:uid="{B4476E78-B15F-44A4-909C-D872ADC69A59}"/>
    <cellStyle name="Normal 3 4 4" xfId="2499" xr:uid="{28ADC2AF-B540-4DBE-9BDE-D56823168F91}"/>
    <cellStyle name="Normal 3 4 4 2" xfId="6486" xr:uid="{70FD3089-D14C-447F-806F-33BE5AE2F8B3}"/>
    <cellStyle name="Normal 3 4 5" xfId="516" xr:uid="{2E08C332-2249-4355-9089-89F487B8BAEC}"/>
    <cellStyle name="Normal 3 5" xfId="262" xr:uid="{00000000-0005-0000-0000-00004C010000}"/>
    <cellStyle name="Normal 3 5 2" xfId="2525" xr:uid="{41E89E5F-4CF5-435F-8AA2-2348CC191BDF}"/>
    <cellStyle name="Normal 3 5 2 2" xfId="6603" xr:uid="{F9704EDC-A46D-4888-A09D-AE6F32765381}"/>
    <cellStyle name="Normal 3 5 3" xfId="952" xr:uid="{E16E9C51-EA8E-4F0C-A0DB-5C491A610365}"/>
    <cellStyle name="Normal 3 6" xfId="978" xr:uid="{DC016942-20E3-4656-BD45-CA9011876D3F}"/>
    <cellStyle name="Normal 3 6 2" xfId="6231" xr:uid="{EBA93772-9B35-4D73-8595-91420B75ABC5}"/>
    <cellStyle name="Normal 3 7" xfId="836" xr:uid="{B05D982B-0FD4-4DD2-8C77-25C845DAA1A9}"/>
    <cellStyle name="Normal 3 8" xfId="6477" xr:uid="{44E00A7C-B4AF-474F-8004-475E5E0BEF66}"/>
    <cellStyle name="Normal 3 9" xfId="507" xr:uid="{B68DB7FD-AE24-4AD0-9A70-52EFCCF2F25F}"/>
    <cellStyle name="Normal 3_108 Summary" xfId="840" xr:uid="{E38C1F3B-73FC-425B-AE27-DB51EC26CE27}"/>
    <cellStyle name="Normal 30" xfId="841" xr:uid="{5C764472-A1E0-46AD-BE4E-D2FCA128ADD1}"/>
    <cellStyle name="Normal 31" xfId="842" xr:uid="{502CB800-925C-4F18-BDD3-C913855BFB73}"/>
    <cellStyle name="Normal 32" xfId="843" xr:uid="{2E8DF8FD-DD47-4299-AFE0-78EC952F758F}"/>
    <cellStyle name="Normal 33" xfId="844" xr:uid="{247654FC-700D-463D-8653-27AB910CEEE1}"/>
    <cellStyle name="Normal 34" xfId="845" xr:uid="{159E88F7-C203-4B7A-8820-C78942C6E378}"/>
    <cellStyle name="Normal 35" xfId="846" xr:uid="{BCE7E037-CA4D-43D2-9801-F99EA61DB24D}"/>
    <cellStyle name="Normal 35 10" xfId="5169" xr:uid="{FEF3F396-96AC-46E3-802B-81214B52D57A}"/>
    <cellStyle name="Normal 35 10 2" xfId="10639" xr:uid="{53816769-38F7-4B85-BD3C-C32C835A9DE7}"/>
    <cellStyle name="Normal 35 11" xfId="5667" xr:uid="{48158535-55C9-4468-8707-37D9B459985D}"/>
    <cellStyle name="Normal 35 11 2" xfId="11141" xr:uid="{36EB0FF0-9605-461F-8414-7F237FF0FEFA}"/>
    <cellStyle name="Normal 35 12" xfId="2710" xr:uid="{126E2597-1B58-413E-B652-1E75C18884F8}"/>
    <cellStyle name="Normal 35 13" xfId="6585" xr:uid="{83DE002C-F581-4963-8676-4315270A945B}"/>
    <cellStyle name="Normal 35 14" xfId="8131" xr:uid="{D389B449-5A55-4BD3-9A84-D5D79347E9CF}"/>
    <cellStyle name="Normal 35 15" xfId="11741" xr:uid="{DFAB653F-B2D7-4359-8FA5-13BBFC2E91A0}"/>
    <cellStyle name="Normal 35 16" xfId="13486" xr:uid="{179DCA89-FD96-4630-884B-0DD8D16F4EB2}"/>
    <cellStyle name="Normal 35 2" xfId="979" xr:uid="{8832A3E1-93A7-42DF-A2A4-E6B2B795BC97}"/>
    <cellStyle name="Normal 35 2 10" xfId="2731" xr:uid="{B5BEBBD4-D82C-45B6-8CF7-F546A3B9AB7D}"/>
    <cellStyle name="Normal 35 2 11" xfId="6627" xr:uid="{806BC4F2-15F5-4068-82D0-96B575482368}"/>
    <cellStyle name="Normal 35 2 12" xfId="8153" xr:uid="{B4718588-92A2-4F0D-B32B-1B8C883053BA}"/>
    <cellStyle name="Normal 35 2 13" xfId="11763" xr:uid="{12C25D54-4189-4070-B374-D1631CEE7E4B}"/>
    <cellStyle name="Normal 35 2 14" xfId="13508" xr:uid="{FC29BF53-EC36-4FC1-8850-7E69680A8F1A}"/>
    <cellStyle name="Normal 35 2 2" xfId="1054" xr:uid="{1619E274-6029-467D-9ABF-C0CAC0F27E29}"/>
    <cellStyle name="Normal 35 2 2 10" xfId="6700" xr:uid="{3B8D0E6B-9EA2-4D49-8B58-A545FB6842BC}"/>
    <cellStyle name="Normal 35 2 2 11" xfId="8224" xr:uid="{A1E7F229-19D3-49D8-A851-D673F612C4F7}"/>
    <cellStyle name="Normal 35 2 2 12" xfId="11834" xr:uid="{FFEAB62D-6797-4A62-9402-2B05DDF19A57}"/>
    <cellStyle name="Normal 35 2 2 13" xfId="13579" xr:uid="{4D45AEF9-2E5A-40C3-BF3F-ED068674B7DD}"/>
    <cellStyle name="Normal 35 2 2 2" xfId="1178" xr:uid="{966D9616-2447-48AE-B380-AF84DB190E8C}"/>
    <cellStyle name="Normal 35 2 2 2 10" xfId="8348" xr:uid="{367BC90D-0989-463E-BEFD-B98AD3492197}"/>
    <cellStyle name="Normal 35 2 2 2 11" xfId="11958" xr:uid="{2F866434-C01B-4A92-ABF6-8478BE51DBF4}"/>
    <cellStyle name="Normal 35 2 2 2 12" xfId="13703" xr:uid="{7387BDC3-34CD-415D-880D-097433829EF0}"/>
    <cellStyle name="Normal 35 2 2 2 2" xfId="1426" xr:uid="{15C7921E-0ED2-4D78-A0DA-764E63B96760}"/>
    <cellStyle name="Normal 35 2 2 2 2 10" xfId="12206" xr:uid="{B12E2E2B-6E4A-4328-900A-C13BAAF5AE21}"/>
    <cellStyle name="Normal 35 2 2 2 2 11" xfId="13951" xr:uid="{5C6502B9-AD55-4A8A-B19E-47C019AB183A}"/>
    <cellStyle name="Normal 35 2 2 2 2 2" xfId="1932" xr:uid="{1F26A4F2-296F-468B-AA5B-03D550874576}"/>
    <cellStyle name="Normal 35 2 2 2 2 2 2" xfId="4654" xr:uid="{41C8ABE6-6060-411A-ACC8-84F5D81ED1C7}"/>
    <cellStyle name="Normal 35 2 2 2 2 2 2 2" xfId="10100" xr:uid="{FE518D94-1201-49C6-A060-FB071DD7F193}"/>
    <cellStyle name="Normal 35 2 2 2 2 2 3" xfId="3644" xr:uid="{83550BDB-01A4-4841-B12E-E3845DC28E5F}"/>
    <cellStyle name="Normal 35 2 2 2 2 2 4" xfId="7578" xr:uid="{F32672DE-292C-41B7-B65A-6CC578BD97D9}"/>
    <cellStyle name="Normal 35 2 2 2 2 2 5" xfId="9092" xr:uid="{948723E2-A0CA-4317-B3C9-6B7A827439FA}"/>
    <cellStyle name="Normal 35 2 2 2 2 2 6" xfId="12712" xr:uid="{15AF66D1-C79F-4661-8FD6-00F14C9488EE}"/>
    <cellStyle name="Normal 35 2 2 2 2 2 7" xfId="14457" xr:uid="{A1ED7E76-98A8-4CB0-93D6-32EFF5EF46FA}"/>
    <cellStyle name="Normal 35 2 2 2 2 3" xfId="2440" xr:uid="{3535A969-55B5-47D3-87B3-EA3747305170}"/>
    <cellStyle name="Normal 35 2 2 2 2 3 2" xfId="4160" xr:uid="{FB3C52CF-8347-40B4-BC3E-F3D6FACC54E1}"/>
    <cellStyle name="Normal 35 2 2 2 2 3 3" xfId="8086" xr:uid="{5699B998-D4B3-458F-91BE-33F0237B85CF}"/>
    <cellStyle name="Normal 35 2 2 2 2 3 4" xfId="9604" xr:uid="{F22F1F0E-ED65-4024-858F-114BC773726F}"/>
    <cellStyle name="Normal 35 2 2 2 2 3 5" xfId="13218" xr:uid="{A888730D-39A6-4166-9D25-E46A3FF59DAA}"/>
    <cellStyle name="Normal 35 2 2 2 2 3 6" xfId="14963" xr:uid="{A26B2C18-B2B9-4367-AA20-0BE6CE87017F}"/>
    <cellStyle name="Normal 35 2 2 2 2 4" xfId="5132" xr:uid="{4F18B8FC-7F30-4530-95CE-2DEB58D12496}"/>
    <cellStyle name="Normal 35 2 2 2 2 4 2" xfId="10602" xr:uid="{A0391230-1C4F-4CE6-8795-298D78D813BA}"/>
    <cellStyle name="Normal 35 2 2 2 2 5" xfId="5630" xr:uid="{0FB16CEB-5370-4788-83DD-BFE05940D8E4}"/>
    <cellStyle name="Normal 35 2 2 2 2 5 2" xfId="11104" xr:uid="{F2051D42-8A57-4CC2-B30A-FBE0BD62E667}"/>
    <cellStyle name="Normal 35 2 2 2 2 6" xfId="6132" xr:uid="{5769FBF8-62BB-47FE-9EDF-4FE2CD67F254}"/>
    <cellStyle name="Normal 35 2 2 2 2 6 2" xfId="11606" xr:uid="{873F0500-0139-4174-ABED-78C34289378E}"/>
    <cellStyle name="Normal 35 2 2 2 2 7" xfId="3150" xr:uid="{CE7C393B-FA49-464D-8178-5C6B6219B97C}"/>
    <cellStyle name="Normal 35 2 2 2 2 8" xfId="7072" xr:uid="{D57CE760-B50B-4F64-95DB-6E1B01BD51CB}"/>
    <cellStyle name="Normal 35 2 2 2 2 9" xfId="8596" xr:uid="{82954A5C-2526-4CB9-9F1E-6A1302C9C0CB}"/>
    <cellStyle name="Normal 35 2 2 2 3" xfId="1684" xr:uid="{2FF0A502-F927-4657-AFFC-47066722E59E}"/>
    <cellStyle name="Normal 35 2 2 2 3 2" xfId="4406" xr:uid="{1095FA2D-31F0-4D74-B905-861A7D824466}"/>
    <cellStyle name="Normal 35 2 2 2 3 2 2" xfId="9852" xr:uid="{523F18AF-DE5E-4497-B337-4464C91EA350}"/>
    <cellStyle name="Normal 35 2 2 2 3 3" xfId="3396" xr:uid="{097BA348-4F8F-4B63-96B8-BB764C7ABAA1}"/>
    <cellStyle name="Normal 35 2 2 2 3 4" xfId="7330" xr:uid="{8F02FB64-23A6-422B-8AD5-345E988E1A7F}"/>
    <cellStyle name="Normal 35 2 2 2 3 5" xfId="8844" xr:uid="{0C4889F7-6AD9-4F22-B574-8C041E63EF06}"/>
    <cellStyle name="Normal 35 2 2 2 3 6" xfId="12464" xr:uid="{0F4493C8-5D0D-4811-8B88-3BD1F91BFD03}"/>
    <cellStyle name="Normal 35 2 2 2 3 7" xfId="14209" xr:uid="{F10331CE-E93A-468D-9C93-0345A8AAC0FB}"/>
    <cellStyle name="Normal 35 2 2 2 4" xfId="2192" xr:uid="{47B6B9F7-2DB5-47A7-BD60-6B2940BC7751}"/>
    <cellStyle name="Normal 35 2 2 2 4 2" xfId="3912" xr:uid="{BC85B783-4CB9-408C-88EA-C8FBC26F9FAC}"/>
    <cellStyle name="Normal 35 2 2 2 4 3" xfId="7838" xr:uid="{B4594FA9-EBED-4E37-8201-C7562B1725D2}"/>
    <cellStyle name="Normal 35 2 2 2 4 4" xfId="9356" xr:uid="{25140415-7500-4AC2-AC5E-241A592D3DD5}"/>
    <cellStyle name="Normal 35 2 2 2 4 5" xfId="12970" xr:uid="{6AC27AF3-223D-4231-861A-571F0555896D}"/>
    <cellStyle name="Normal 35 2 2 2 4 6" xfId="14715" xr:uid="{D45D0A41-D9C3-4D3F-8B40-B361EC6C8E3B}"/>
    <cellStyle name="Normal 35 2 2 2 5" xfId="4893" xr:uid="{F7E55498-F7FC-4A7C-8422-7215BD1B0622}"/>
    <cellStyle name="Normal 35 2 2 2 5 2" xfId="10354" xr:uid="{81C74591-335D-43E1-882B-C9038191B53F}"/>
    <cellStyle name="Normal 35 2 2 2 6" xfId="5382" xr:uid="{455B0B33-303A-40DA-9322-C7F7C81DB0C3}"/>
    <cellStyle name="Normal 35 2 2 2 6 2" xfId="10856" xr:uid="{D67BF78C-A56A-47B1-AC62-4B549F788EED}"/>
    <cellStyle name="Normal 35 2 2 2 7" xfId="5884" xr:uid="{48F080B7-5969-42BE-9AD9-160A4E8503EA}"/>
    <cellStyle name="Normal 35 2 2 2 7 2" xfId="11358" xr:uid="{67244D47-7625-4461-BD41-B5EF9C866624}"/>
    <cellStyle name="Normal 35 2 2 2 8" xfId="2909" xr:uid="{8E985911-C329-4415-B6D8-F833ACB05A4B}"/>
    <cellStyle name="Normal 35 2 2 2 9" xfId="6824" xr:uid="{1AA2CFC6-8E4C-4D59-9E89-300072B768F4}"/>
    <cellStyle name="Normal 35 2 2 3" xfId="1302" xr:uid="{6B7D37DD-C21B-4B40-8056-8D9A0E0EC9D8}"/>
    <cellStyle name="Normal 35 2 2 3 10" xfId="12082" xr:uid="{841C99D7-6895-4201-896C-8FA18A243D15}"/>
    <cellStyle name="Normal 35 2 2 3 11" xfId="13827" xr:uid="{5CB6235A-CFDB-48B1-A4CD-A857CECFA181}"/>
    <cellStyle name="Normal 35 2 2 3 2" xfId="1808" xr:uid="{B68645ED-F1F9-41CD-953D-61CF7F6D0488}"/>
    <cellStyle name="Normal 35 2 2 3 2 2" xfId="4530" xr:uid="{F9D4EBEF-6C63-4FBA-B3E7-8CAD28388F78}"/>
    <cellStyle name="Normal 35 2 2 3 2 2 2" xfId="9976" xr:uid="{8CDE617A-DA23-4EA2-B679-63B784EE878A}"/>
    <cellStyle name="Normal 35 2 2 3 2 3" xfId="3520" xr:uid="{27F1E3F7-13F4-4215-B8AC-0F86C6CF517B}"/>
    <cellStyle name="Normal 35 2 2 3 2 4" xfId="7454" xr:uid="{93D2314B-F539-4527-96EE-703C842B7989}"/>
    <cellStyle name="Normal 35 2 2 3 2 5" xfId="8968" xr:uid="{83A87136-E772-49C8-A3F2-A44B9B96D887}"/>
    <cellStyle name="Normal 35 2 2 3 2 6" xfId="12588" xr:uid="{6E99E09B-A77A-4AC8-9371-F6A282246913}"/>
    <cellStyle name="Normal 35 2 2 3 2 7" xfId="14333" xr:uid="{2521BB0E-699C-4F1F-B455-DE7D9F160E8E}"/>
    <cellStyle name="Normal 35 2 2 3 3" xfId="2316" xr:uid="{4461745A-578A-4C2A-8A09-D4EA0BFA0754}"/>
    <cellStyle name="Normal 35 2 2 3 3 2" xfId="4036" xr:uid="{9D89EDDB-6607-4E48-81E7-BD84636EDAC9}"/>
    <cellStyle name="Normal 35 2 2 3 3 3" xfId="7962" xr:uid="{1444CF97-EA5E-45B4-96EF-370E5E33B412}"/>
    <cellStyle name="Normal 35 2 2 3 3 4" xfId="9480" xr:uid="{252F0B31-C7E5-43DC-935A-D31407375CE0}"/>
    <cellStyle name="Normal 35 2 2 3 3 5" xfId="13094" xr:uid="{8A481C47-46B7-47A3-ABB4-ED67B601AF47}"/>
    <cellStyle name="Normal 35 2 2 3 3 6" xfId="14839" xr:uid="{8E3C17B9-E90B-40FE-B648-4268D60149D5}"/>
    <cellStyle name="Normal 35 2 2 3 4" xfId="5009" xr:uid="{9A18CC15-EA0E-4902-9847-9A36C4054D9F}"/>
    <cellStyle name="Normal 35 2 2 3 4 2" xfId="10478" xr:uid="{E6E30E59-D28B-415E-988B-1835807E892A}"/>
    <cellStyle name="Normal 35 2 2 3 5" xfId="5506" xr:uid="{377F6192-B8C8-4C6D-89D4-33C0B733062A}"/>
    <cellStyle name="Normal 35 2 2 3 5 2" xfId="10980" xr:uid="{CB3F03C8-6214-49CF-B5E3-540355D13882}"/>
    <cellStyle name="Normal 35 2 2 3 6" xfId="6008" xr:uid="{1CE7F368-277A-469D-BC29-7493E369AD8A}"/>
    <cellStyle name="Normal 35 2 2 3 6 2" xfId="11482" xr:uid="{0AC30786-E0FB-416B-867D-4BD328D05A16}"/>
    <cellStyle name="Normal 35 2 2 3 7" xfId="3027" xr:uid="{BFC715BD-B8F8-4FEE-86E3-85EFE9AECC28}"/>
    <cellStyle name="Normal 35 2 2 3 8" xfId="6948" xr:uid="{3A2BFD97-57D7-4BEC-8D53-C8C158DA05B3}"/>
    <cellStyle name="Normal 35 2 2 3 9" xfId="8472" xr:uid="{7EFD6D47-C734-4777-AB4C-830EABC08C6B}"/>
    <cellStyle name="Normal 35 2 2 4" xfId="1560" xr:uid="{90C82716-ED56-4C87-9CDA-3FCCD918182D}"/>
    <cellStyle name="Normal 35 2 2 4 2" xfId="4283" xr:uid="{7EE03BD0-D44A-49FD-BE3B-5D210E7F28E5}"/>
    <cellStyle name="Normal 35 2 2 4 2 2" xfId="9728" xr:uid="{D3FDA949-74EC-4951-A87E-612DBBB423D1}"/>
    <cellStyle name="Normal 35 2 2 4 3" xfId="3273" xr:uid="{4B762F8A-113B-487F-B884-9E339354874C}"/>
    <cellStyle name="Normal 35 2 2 4 4" xfId="7206" xr:uid="{10E29D5F-A645-4C3D-997C-E23C7BAEDDE7}"/>
    <cellStyle name="Normal 35 2 2 4 5" xfId="8720" xr:uid="{849E5D96-4C98-4597-BBB7-DC5E366C45F2}"/>
    <cellStyle name="Normal 35 2 2 4 6" xfId="12340" xr:uid="{92B0C6D3-232E-410B-81D1-25D07E4156F9}"/>
    <cellStyle name="Normal 35 2 2 4 7" xfId="14085" xr:uid="{1ED14653-8BD5-42DF-ACF6-FD387E4C0F14}"/>
    <cellStyle name="Normal 35 2 2 5" xfId="2068" xr:uid="{A6D3A3B3-F1D2-4426-823F-BB2A1C504B41}"/>
    <cellStyle name="Normal 35 2 2 5 2" xfId="3788" xr:uid="{2B16EB0C-4A4D-4409-9416-304F6CAEBDE9}"/>
    <cellStyle name="Normal 35 2 2 5 3" xfId="7714" xr:uid="{7B17310D-D911-4102-AA6D-9C1E6FFB6B49}"/>
    <cellStyle name="Normal 35 2 2 5 4" xfId="9232" xr:uid="{BF320ECC-7D52-4643-95BE-860D678B64FE}"/>
    <cellStyle name="Normal 35 2 2 5 5" xfId="12846" xr:uid="{6C050816-344B-4C08-9EEA-11C8741EDF9A}"/>
    <cellStyle name="Normal 35 2 2 5 6" xfId="14591" xr:uid="{B6BDCE8F-58C0-4ED3-88B4-90DF02B2FD71}"/>
    <cellStyle name="Normal 35 2 2 6" xfId="4779" xr:uid="{B4602EB7-5466-4FE5-B17C-44939093A765}"/>
    <cellStyle name="Normal 35 2 2 6 2" xfId="10230" xr:uid="{F8E91126-A63F-4C9F-A6B0-3C288CA7B07E}"/>
    <cellStyle name="Normal 35 2 2 7" xfId="5258" xr:uid="{5FE3F256-97A1-4A38-B12E-4163FD2E6094}"/>
    <cellStyle name="Normal 35 2 2 7 2" xfId="10732" xr:uid="{BF45E083-DDA3-4E62-B09A-59E7135D5AA2}"/>
    <cellStyle name="Normal 35 2 2 8" xfId="5760" xr:uid="{51E19C2F-71B5-416C-92B3-D4300FE5D192}"/>
    <cellStyle name="Normal 35 2 2 8 2" xfId="11234" xr:uid="{7E95ACF8-5299-4072-88D7-E1EDDCF1B75F}"/>
    <cellStyle name="Normal 35 2 2 9" xfId="2795" xr:uid="{45E61029-8994-4711-9CEB-3DB999A5FE6C}"/>
    <cellStyle name="Normal 35 2 3" xfId="1107" xr:uid="{81A01260-5F51-42CF-AEC3-C716EC7BA368}"/>
    <cellStyle name="Normal 35 2 3 10" xfId="8277" xr:uid="{FEB80C82-40AF-4176-9E5C-51520D140CD7}"/>
    <cellStyle name="Normal 35 2 3 11" xfId="11887" xr:uid="{61ACDE82-CD8C-4D7C-BE18-4C007100BAC3}"/>
    <cellStyle name="Normal 35 2 3 12" xfId="13632" xr:uid="{FFF7B412-16C9-4E0C-8038-B4C5FF999D34}"/>
    <cellStyle name="Normal 35 2 3 2" xfId="1355" xr:uid="{091FA672-9182-4B8D-A4CC-5BD7381E2926}"/>
    <cellStyle name="Normal 35 2 3 2 10" xfId="12135" xr:uid="{817C6FF1-78C2-415D-9FC4-0752968015DB}"/>
    <cellStyle name="Normal 35 2 3 2 11" xfId="13880" xr:uid="{A7184E04-A99D-4C6F-A4A2-6B1314D684B5}"/>
    <cellStyle name="Normal 35 2 3 2 2" xfId="1861" xr:uid="{8F4F0E49-FF53-4F4A-BC88-6240D08A1F84}"/>
    <cellStyle name="Normal 35 2 3 2 2 2" xfId="4583" xr:uid="{16C6F2E4-E5E3-4CE8-97AE-4A8049B507E0}"/>
    <cellStyle name="Normal 35 2 3 2 2 2 2" xfId="10029" xr:uid="{021B45CD-EC77-4A82-BA81-300624A42AC4}"/>
    <cellStyle name="Normal 35 2 3 2 2 3" xfId="3573" xr:uid="{16B30231-E941-4538-8640-192122589AD7}"/>
    <cellStyle name="Normal 35 2 3 2 2 4" xfId="7507" xr:uid="{833A05BC-B1E5-46CF-809B-514E5287BA2B}"/>
    <cellStyle name="Normal 35 2 3 2 2 5" xfId="9021" xr:uid="{60BFD3B6-EE61-4FF1-AA40-1FCFD0082E06}"/>
    <cellStyle name="Normal 35 2 3 2 2 6" xfId="12641" xr:uid="{49623E97-011E-44CE-AA21-FB3C862BC77E}"/>
    <cellStyle name="Normal 35 2 3 2 2 7" xfId="14386" xr:uid="{8400AD76-DCF0-406E-A21D-223F4B130F31}"/>
    <cellStyle name="Normal 35 2 3 2 3" xfId="2369" xr:uid="{7077491A-BC8B-460B-8508-79FDFBBBEAE4}"/>
    <cellStyle name="Normal 35 2 3 2 3 2" xfId="4089" xr:uid="{C256D62B-76C1-4DD3-BEFF-1A5916654C30}"/>
    <cellStyle name="Normal 35 2 3 2 3 3" xfId="8015" xr:uid="{7F57D804-DC33-48EE-8098-2BE475DF61A2}"/>
    <cellStyle name="Normal 35 2 3 2 3 4" xfId="9533" xr:uid="{76DC8A04-D6F9-4C65-BBF9-14D8DAA9D8AB}"/>
    <cellStyle name="Normal 35 2 3 2 3 5" xfId="13147" xr:uid="{C5C6CAB5-0DA6-4A99-966E-E39971675858}"/>
    <cellStyle name="Normal 35 2 3 2 3 6" xfId="14892" xr:uid="{AF1394AB-A2E8-4E60-8EF1-A09E531F20BC}"/>
    <cellStyle name="Normal 35 2 3 2 4" xfId="5061" xr:uid="{A21B300B-F6CB-41D3-B160-F5723F4B37B7}"/>
    <cellStyle name="Normal 35 2 3 2 4 2" xfId="10531" xr:uid="{BF161657-A0A3-42F0-9369-D7D8D5155FD5}"/>
    <cellStyle name="Normal 35 2 3 2 5" xfId="5559" xr:uid="{41A1AC91-648A-4576-8FC1-F33E06B8AB45}"/>
    <cellStyle name="Normal 35 2 3 2 5 2" xfId="11033" xr:uid="{6EEB7088-3BA9-4A7A-8B08-B1AB17900FAA}"/>
    <cellStyle name="Normal 35 2 3 2 6" xfId="6061" xr:uid="{0BBD2D4D-D23B-4FC4-B1D6-0ED1AAAB4B6E}"/>
    <cellStyle name="Normal 35 2 3 2 6 2" xfId="11535" xr:uid="{6F005466-2FBB-4E39-91AC-B5586F89F44C}"/>
    <cellStyle name="Normal 35 2 3 2 7" xfId="3079" xr:uid="{5403ED9E-8E01-4516-AD0F-9D7255CA0832}"/>
    <cellStyle name="Normal 35 2 3 2 8" xfId="7001" xr:uid="{AFB3A6EE-65FC-4CC1-88E5-4E7CD74693F7}"/>
    <cellStyle name="Normal 35 2 3 2 9" xfId="8525" xr:uid="{D4FF5EB6-B945-4584-9DBF-27A6DFF5FFC4}"/>
    <cellStyle name="Normal 35 2 3 3" xfId="1613" xr:uid="{0A194C34-BCF2-4D2D-8F89-09F487ED4D36}"/>
    <cellStyle name="Normal 35 2 3 3 2" xfId="4335" xr:uid="{287A29D6-F68D-4348-B4CC-C4619C367AFF}"/>
    <cellStyle name="Normal 35 2 3 3 2 2" xfId="9781" xr:uid="{D7E0E24C-E2C4-48B8-963E-2219929AA58B}"/>
    <cellStyle name="Normal 35 2 3 3 3" xfId="3325" xr:uid="{3DABDE66-F95A-49F4-9940-9BE48892ADDF}"/>
    <cellStyle name="Normal 35 2 3 3 4" xfId="7259" xr:uid="{4EF0CF10-093B-431E-A638-9CBC971E6F1E}"/>
    <cellStyle name="Normal 35 2 3 3 5" xfId="8773" xr:uid="{91821393-DF20-4E67-9B81-EC5E44B5E506}"/>
    <cellStyle name="Normal 35 2 3 3 6" xfId="12393" xr:uid="{48B3E669-2528-46D7-8C28-7EB902822885}"/>
    <cellStyle name="Normal 35 2 3 3 7" xfId="14138" xr:uid="{77EFFF35-09D3-4118-9EB9-04DA25EAA410}"/>
    <cellStyle name="Normal 35 2 3 4" xfId="2121" xr:uid="{D170F6FE-8562-4741-ACA7-507BAC62DFAD}"/>
    <cellStyle name="Normal 35 2 3 4 2" xfId="3841" xr:uid="{69B0FC02-389D-4A27-A1E1-AD5084C58262}"/>
    <cellStyle name="Normal 35 2 3 4 3" xfId="7767" xr:uid="{0A552CEC-0C15-46D5-8354-AA4575B95A78}"/>
    <cellStyle name="Normal 35 2 3 4 4" xfId="9285" xr:uid="{D3DC2C07-53D3-4D3B-A142-131B26DC950B}"/>
    <cellStyle name="Normal 35 2 3 4 5" xfId="12899" xr:uid="{A6316327-2763-48A2-844D-AAB54A51149F}"/>
    <cellStyle name="Normal 35 2 3 4 6" xfId="14644" xr:uid="{1694225D-AF32-499E-853A-7721051AC186}"/>
    <cellStyle name="Normal 35 2 3 5" xfId="4827" xr:uid="{25F51589-6840-4CEB-A29D-1C81D0039F59}"/>
    <cellStyle name="Normal 35 2 3 5 2" xfId="10283" xr:uid="{65D91BE9-A15F-48A0-8623-B6D7545AFD68}"/>
    <cellStyle name="Normal 35 2 3 6" xfId="5311" xr:uid="{79DD49FA-CF9D-4B42-9A0A-6D7CB8E25F70}"/>
    <cellStyle name="Normal 35 2 3 6 2" xfId="10785" xr:uid="{A8233E54-D26D-4326-AD26-52F353844AEB}"/>
    <cellStyle name="Normal 35 2 3 7" xfId="5813" xr:uid="{BD6E1DE4-DB95-4BE6-A992-A907088B4C01}"/>
    <cellStyle name="Normal 35 2 3 7 2" xfId="11287" xr:uid="{80579097-2505-40AA-8038-28634E3F50EF}"/>
    <cellStyle name="Normal 35 2 3 8" xfId="2843" xr:uid="{FAABE94A-F4A2-4DDA-ABBE-C2AF951092CD}"/>
    <cellStyle name="Normal 35 2 3 9" xfId="6753" xr:uid="{F24D1C45-AAD4-4C77-BB26-32119F4C8F9A}"/>
    <cellStyle name="Normal 35 2 4" xfId="1231" xr:uid="{32F091C2-8C2F-469C-8256-6A9716B7D367}"/>
    <cellStyle name="Normal 35 2 4 10" xfId="12011" xr:uid="{97B487D0-419F-4387-A2F3-147E040CE232}"/>
    <cellStyle name="Normal 35 2 4 11" xfId="13756" xr:uid="{2770B45B-C1C6-43A1-8324-9CA8392F892A}"/>
    <cellStyle name="Normal 35 2 4 2" xfId="1737" xr:uid="{65886829-3674-4809-B9AF-C97059E19C0E}"/>
    <cellStyle name="Normal 35 2 4 2 2" xfId="4459" xr:uid="{3D28D61B-838C-4090-8A66-1E8BCB917D91}"/>
    <cellStyle name="Normal 35 2 4 2 2 2" xfId="9905" xr:uid="{6A8C7D91-D765-4B37-AED8-61522A026927}"/>
    <cellStyle name="Normal 35 2 4 2 3" xfId="3449" xr:uid="{15E30DAB-7A17-43E9-9DEE-6BA0798F17A8}"/>
    <cellStyle name="Normal 35 2 4 2 4" xfId="7383" xr:uid="{2EA07AFA-EA11-4814-BD67-805E4109BB56}"/>
    <cellStyle name="Normal 35 2 4 2 5" xfId="8897" xr:uid="{DEFBD97C-6A6B-43BB-8A63-D642C7BB5E10}"/>
    <cellStyle name="Normal 35 2 4 2 6" xfId="12517" xr:uid="{5D120052-A4E8-4DD3-8915-DC01AD056A57}"/>
    <cellStyle name="Normal 35 2 4 2 7" xfId="14262" xr:uid="{0998FE11-BEF2-41EF-82B2-1CAFB7E92C3F}"/>
    <cellStyle name="Normal 35 2 4 3" xfId="2245" xr:uid="{A354ADC2-1F00-470C-8096-D8D665E99754}"/>
    <cellStyle name="Normal 35 2 4 3 2" xfId="3965" xr:uid="{8B1A5AD9-70D9-4D8B-B578-873451B21741}"/>
    <cellStyle name="Normal 35 2 4 3 3" xfId="7891" xr:uid="{9F44FC62-5184-4AB4-954C-44D2F8E61ABA}"/>
    <cellStyle name="Normal 35 2 4 3 4" xfId="9409" xr:uid="{F918B676-046B-4E2F-A6CE-12465DEE9A46}"/>
    <cellStyle name="Normal 35 2 4 3 5" xfId="13023" xr:uid="{8F18E285-F4EE-4CAB-858F-981CF2CEF3AD}"/>
    <cellStyle name="Normal 35 2 4 3 6" xfId="14768" xr:uid="{FC0847FE-1142-421E-9017-B7E08A4A9C67}"/>
    <cellStyle name="Normal 35 2 4 4" xfId="4943" xr:uid="{EED5D103-3A86-4B02-AD48-8B9B4F939092}"/>
    <cellStyle name="Normal 35 2 4 4 2" xfId="10407" xr:uid="{2FE95F8A-F5C1-4378-A851-D638444B5C57}"/>
    <cellStyle name="Normal 35 2 4 5" xfId="5435" xr:uid="{353859D6-CE77-4090-9B2A-2F25696EF76C}"/>
    <cellStyle name="Normal 35 2 4 5 2" xfId="10909" xr:uid="{8DAFC4AE-A452-46FF-8E75-868CAE1E1340}"/>
    <cellStyle name="Normal 35 2 4 6" xfId="5937" xr:uid="{BCCE7F40-E4B9-492A-AA70-95F79DC31641}"/>
    <cellStyle name="Normal 35 2 4 6 2" xfId="11411" xr:uid="{63097D98-B995-4051-B0BD-CF1FD060F105}"/>
    <cellStyle name="Normal 35 2 4 7" xfId="2961" xr:uid="{990566E7-06BD-483F-8795-D32EE9404568}"/>
    <cellStyle name="Normal 35 2 4 8" xfId="6877" xr:uid="{516B9436-D477-451C-A565-9C1E73AA267E}"/>
    <cellStyle name="Normal 35 2 4 9" xfId="8401" xr:uid="{3E6F4082-440E-4135-9BF3-66876C3B17E6}"/>
    <cellStyle name="Normal 35 2 5" xfId="1489" xr:uid="{10D00DF7-5FA3-4734-98BC-25E00976DFBD}"/>
    <cellStyle name="Normal 35 2 5 2" xfId="4213" xr:uid="{06B3E4BD-FD1E-484A-B55C-499758E6851B}"/>
    <cellStyle name="Normal 35 2 5 2 2" xfId="9657" xr:uid="{151F04E0-B996-411A-8E4C-09A91471E91D}"/>
    <cellStyle name="Normal 35 2 5 3" xfId="3203" xr:uid="{3F9AFE30-5002-4427-B220-0950F5B0D735}"/>
    <cellStyle name="Normal 35 2 5 4" xfId="7135" xr:uid="{2D3558A1-D66E-4534-A64D-757D654DD31A}"/>
    <cellStyle name="Normal 35 2 5 5" xfId="8649" xr:uid="{8330FCB5-D689-4F75-8419-6AC825CA78EA}"/>
    <cellStyle name="Normal 35 2 5 6" xfId="12269" xr:uid="{56AF6F4A-DAFE-4755-A162-FC24AD029D68}"/>
    <cellStyle name="Normal 35 2 5 7" xfId="14014" xr:uid="{AB696DE6-7254-4AA8-B2BA-E04E033C5C2B}"/>
    <cellStyle name="Normal 35 2 6" xfId="1997" xr:uid="{E7845236-ABE5-4F85-BE4F-FBE4210AF235}"/>
    <cellStyle name="Normal 35 2 6 2" xfId="3717" xr:uid="{C3BCADA8-4E9C-43AD-9FB3-AEC0C8B28AD2}"/>
    <cellStyle name="Normal 35 2 6 3" xfId="7643" xr:uid="{B758270C-2288-4959-B438-C0E5D453FC6A}"/>
    <cellStyle name="Normal 35 2 6 4" xfId="9161" xr:uid="{0DA73594-C28C-44A3-821C-38B898298F3C}"/>
    <cellStyle name="Normal 35 2 6 5" xfId="12775" xr:uid="{A103F117-9CAF-4541-9909-94FF4BC81B6E}"/>
    <cellStyle name="Normal 35 2 6 6" xfId="14520" xr:uid="{77B26D53-1DC9-485E-A28B-BE56BF6CE3AC}"/>
    <cellStyle name="Normal 35 2 7" xfId="4713" xr:uid="{73270952-EC57-402E-ADCF-4FC8D6D90B12}"/>
    <cellStyle name="Normal 35 2 7 2" xfId="10159" xr:uid="{11D5ACE1-3199-4F3A-B545-87D44878B397}"/>
    <cellStyle name="Normal 35 2 8" xfId="5189" xr:uid="{B6978871-3FD4-4767-A181-B73536A0588A}"/>
    <cellStyle name="Normal 35 2 8 2" xfId="10661" xr:uid="{C0D7DC3D-18CD-4DDE-9082-C592A6513E7F}"/>
    <cellStyle name="Normal 35 2 9" xfId="5689" xr:uid="{A6A8AE55-E2AB-4EB0-BBB3-EFFFE4265280}"/>
    <cellStyle name="Normal 35 2 9 2" xfId="11163" xr:uid="{1CD13B38-7B54-452C-BEE4-FCD0B95DB6C5}"/>
    <cellStyle name="Normal 35 3" xfId="1003" xr:uid="{3F169B71-EAE9-41F9-88F1-22DF6256EB44}"/>
    <cellStyle name="Normal 35 3 10" xfId="2749" xr:uid="{A17A3B5A-579D-45EB-BFBF-D440DFAFC3E6}"/>
    <cellStyle name="Normal 35 3 11" xfId="6649" xr:uid="{B5DF3734-D5BC-4C68-AE23-545ABC04DCFB}"/>
    <cellStyle name="Normal 35 3 12" xfId="8173" xr:uid="{457E680E-8F64-4FC9-A52F-83E95DD43205}"/>
    <cellStyle name="Normal 35 3 13" xfId="11783" xr:uid="{F12D5AA9-5B18-4258-99C8-3B07DCF01957}"/>
    <cellStyle name="Normal 35 3 14" xfId="13528" xr:uid="{014DE694-0527-4751-9737-023697BA9E72}"/>
    <cellStyle name="Normal 35 3 2" xfId="1055" xr:uid="{825721FD-1228-44DC-993D-850E60473569}"/>
    <cellStyle name="Normal 35 3 2 10" xfId="6701" xr:uid="{343A3F0D-FB9C-4E63-A069-9F6F075CFC10}"/>
    <cellStyle name="Normal 35 3 2 11" xfId="8225" xr:uid="{6DCA6D3E-C6CC-430C-A91A-1ED829DD88B4}"/>
    <cellStyle name="Normal 35 3 2 12" xfId="11835" xr:uid="{F2117022-55FA-4395-8E0E-E06F18B9A3B3}"/>
    <cellStyle name="Normal 35 3 2 13" xfId="13580" xr:uid="{FD7937BA-E88D-4E24-A3C5-744F53B4A24F}"/>
    <cellStyle name="Normal 35 3 2 2" xfId="1179" xr:uid="{D164C7C3-2C3D-4691-9CD9-89C910585303}"/>
    <cellStyle name="Normal 35 3 2 2 10" xfId="8349" xr:uid="{E9B9B656-50EE-4B27-BC52-8B7AD2D1C1DF}"/>
    <cellStyle name="Normal 35 3 2 2 11" xfId="11959" xr:uid="{E9D83584-E02B-4265-9D4D-52774C13198D}"/>
    <cellStyle name="Normal 35 3 2 2 12" xfId="13704" xr:uid="{742D0DB7-682A-462B-8555-70AEC37BDDA4}"/>
    <cellStyle name="Normal 35 3 2 2 2" xfId="1427" xr:uid="{43A967FD-4B25-45D1-8F48-39DEEAB933E8}"/>
    <cellStyle name="Normal 35 3 2 2 2 10" xfId="12207" xr:uid="{276EEAEA-DC88-41F4-BB4B-AC9B594B4D6B}"/>
    <cellStyle name="Normal 35 3 2 2 2 11" xfId="13952" xr:uid="{A9351524-8416-4B79-9B6E-D3E71C761C64}"/>
    <cellStyle name="Normal 35 3 2 2 2 2" xfId="1933" xr:uid="{FA128644-5C37-4383-9244-FAFC8E7985DC}"/>
    <cellStyle name="Normal 35 3 2 2 2 2 2" xfId="4655" xr:uid="{ECEC74BE-6897-4FA7-98C2-D38F85C8289D}"/>
    <cellStyle name="Normal 35 3 2 2 2 2 2 2" xfId="10101" xr:uid="{5C0ABC39-E2F8-48FF-B08E-42CB1086C676}"/>
    <cellStyle name="Normal 35 3 2 2 2 2 3" xfId="3645" xr:uid="{0358F7B5-C1DA-4E45-BEB1-1AFA5FC40C37}"/>
    <cellStyle name="Normal 35 3 2 2 2 2 4" xfId="7579" xr:uid="{B5921B02-9E99-4645-BDE3-E9D372C4D0AD}"/>
    <cellStyle name="Normal 35 3 2 2 2 2 5" xfId="9093" xr:uid="{F74CE527-7482-41CA-9F20-47DE19E21BDB}"/>
    <cellStyle name="Normal 35 3 2 2 2 2 6" xfId="12713" xr:uid="{4E660A25-C39F-4521-8B28-2D202173F25C}"/>
    <cellStyle name="Normal 35 3 2 2 2 2 7" xfId="14458" xr:uid="{6012CE4E-E1D4-489E-9B22-07C9E01A3EAB}"/>
    <cellStyle name="Normal 35 3 2 2 2 3" xfId="2441" xr:uid="{310DAAA1-53D4-498C-9B35-C2B7CFEEBBAA}"/>
    <cellStyle name="Normal 35 3 2 2 2 3 2" xfId="4161" xr:uid="{C8D4E618-D718-4A7D-8E48-EB30411DFA6D}"/>
    <cellStyle name="Normal 35 3 2 2 2 3 3" xfId="8087" xr:uid="{0A2A45A2-3CD5-4E3E-AC53-55CC198E0FCA}"/>
    <cellStyle name="Normal 35 3 2 2 2 3 4" xfId="9605" xr:uid="{ECC5D8DC-B974-4207-80C4-DE0DAC3FB78A}"/>
    <cellStyle name="Normal 35 3 2 2 2 3 5" xfId="13219" xr:uid="{6DCFD17F-1426-494B-BFE1-D94E72647669}"/>
    <cellStyle name="Normal 35 3 2 2 2 3 6" xfId="14964" xr:uid="{ED67F2B8-D54C-4C78-A35E-B04E8DBC351B}"/>
    <cellStyle name="Normal 35 3 2 2 2 4" xfId="5133" xr:uid="{8F021389-5931-42D1-BC52-4E4B1F131C20}"/>
    <cellStyle name="Normal 35 3 2 2 2 4 2" xfId="10603" xr:uid="{952EA316-1CBF-484D-B380-A23588C07B90}"/>
    <cellStyle name="Normal 35 3 2 2 2 5" xfId="5631" xr:uid="{C02F9C6D-AC25-4A94-99F2-6FB24DC60724}"/>
    <cellStyle name="Normal 35 3 2 2 2 5 2" xfId="11105" xr:uid="{65A6255E-2DC5-4539-A927-1B5AF96EE090}"/>
    <cellStyle name="Normal 35 3 2 2 2 6" xfId="6133" xr:uid="{20771D4C-50CF-4C00-8714-3E9CCCCFBB61}"/>
    <cellStyle name="Normal 35 3 2 2 2 6 2" xfId="11607" xr:uid="{E65A3563-74A2-4677-B4A1-9C505AFE650E}"/>
    <cellStyle name="Normal 35 3 2 2 2 7" xfId="3151" xr:uid="{D3AC6DB9-08B3-403D-AF7C-12CA07E7EEB3}"/>
    <cellStyle name="Normal 35 3 2 2 2 8" xfId="7073" xr:uid="{9AB9320A-4EC7-4F44-A9F7-96679F4CA6BD}"/>
    <cellStyle name="Normal 35 3 2 2 2 9" xfId="8597" xr:uid="{81B73867-D279-445E-9C34-E4FC279C759A}"/>
    <cellStyle name="Normal 35 3 2 2 3" xfId="1685" xr:uid="{5EBD0929-8D4E-4E65-AC7A-74A2C965AC49}"/>
    <cellStyle name="Normal 35 3 2 2 3 2" xfId="4407" xr:uid="{3F9EFB73-949C-46AE-8652-C69D9345DF75}"/>
    <cellStyle name="Normal 35 3 2 2 3 2 2" xfId="9853" xr:uid="{66519182-EF42-45E0-9F65-2BD8CE64BF9A}"/>
    <cellStyle name="Normal 35 3 2 2 3 3" xfId="3397" xr:uid="{26BBE9E7-A60A-4095-88DC-6F70715931EA}"/>
    <cellStyle name="Normal 35 3 2 2 3 4" xfId="7331" xr:uid="{51FEF3F0-B29D-47E8-9B4C-1D808CB58BE6}"/>
    <cellStyle name="Normal 35 3 2 2 3 5" xfId="8845" xr:uid="{BB11E4DE-4F58-4E41-84BC-8739BC827FC9}"/>
    <cellStyle name="Normal 35 3 2 2 3 6" xfId="12465" xr:uid="{3F0346AD-C000-47A9-9E29-A90561DA778E}"/>
    <cellStyle name="Normal 35 3 2 2 3 7" xfId="14210" xr:uid="{68670F0C-7995-4799-B3FA-E93E9B2992F2}"/>
    <cellStyle name="Normal 35 3 2 2 4" xfId="2193" xr:uid="{9A26AF2F-26FB-4AB5-AC7F-66DDE7A82BE2}"/>
    <cellStyle name="Normal 35 3 2 2 4 2" xfId="3913" xr:uid="{069F2317-695A-48C2-9DB1-2767544FED09}"/>
    <cellStyle name="Normal 35 3 2 2 4 3" xfId="7839" xr:uid="{1DDEAF8D-A38B-4F6F-BE51-843ADF2485C2}"/>
    <cellStyle name="Normal 35 3 2 2 4 4" xfId="9357" xr:uid="{10C83A52-611C-4264-AD87-8AB2B3C6D940}"/>
    <cellStyle name="Normal 35 3 2 2 4 5" xfId="12971" xr:uid="{861E8E13-A51C-47C9-969D-286B9DFBED2D}"/>
    <cellStyle name="Normal 35 3 2 2 4 6" xfId="14716" xr:uid="{D721B957-8756-4B6E-8ADE-52B8DF44F534}"/>
    <cellStyle name="Normal 35 3 2 2 5" xfId="4894" xr:uid="{73FA351C-7F0C-4D3C-9C52-0DEE389CD963}"/>
    <cellStyle name="Normal 35 3 2 2 5 2" xfId="10355" xr:uid="{E5F9060B-31AF-40D3-81BE-47D0505AF72E}"/>
    <cellStyle name="Normal 35 3 2 2 6" xfId="5383" xr:uid="{F2F8C7C2-69C7-41DB-A776-64E5144D0B70}"/>
    <cellStyle name="Normal 35 3 2 2 6 2" xfId="10857" xr:uid="{8EFBB8B5-F09F-4FC1-9AEC-1322C6F84551}"/>
    <cellStyle name="Normal 35 3 2 2 7" xfId="5885" xr:uid="{13E3DEB7-6209-4380-A52D-99F18ADC8DB9}"/>
    <cellStyle name="Normal 35 3 2 2 7 2" xfId="11359" xr:uid="{723FEB7B-01AA-4FAA-A804-78639CFCF650}"/>
    <cellStyle name="Normal 35 3 2 2 8" xfId="2910" xr:uid="{9653CB75-5C3F-4A68-B418-327CE71F1BA0}"/>
    <cellStyle name="Normal 35 3 2 2 9" xfId="6825" xr:uid="{FAEA4AF1-0B86-4C87-93F0-69CD1975239B}"/>
    <cellStyle name="Normal 35 3 2 3" xfId="1303" xr:uid="{8BFEF419-E404-435E-95FB-1C22388048D6}"/>
    <cellStyle name="Normal 35 3 2 3 10" xfId="12083" xr:uid="{D5EC94AB-2849-4D66-9564-13F5056AC7A2}"/>
    <cellStyle name="Normal 35 3 2 3 11" xfId="13828" xr:uid="{59BC3B55-07DB-4D2B-B338-7DEB55C3F86B}"/>
    <cellStyle name="Normal 35 3 2 3 2" xfId="1809" xr:uid="{3E80A4AC-789F-4B6A-8289-376DFE8CFCC2}"/>
    <cellStyle name="Normal 35 3 2 3 2 2" xfId="4531" xr:uid="{FFAE6628-E276-45B2-BC5B-1B62E3158A2F}"/>
    <cellStyle name="Normal 35 3 2 3 2 2 2" xfId="9977" xr:uid="{921E49C7-8BB6-4E3F-B62E-F535108ECDEE}"/>
    <cellStyle name="Normal 35 3 2 3 2 3" xfId="3521" xr:uid="{72388DA3-3522-4385-B437-31DC03476D12}"/>
    <cellStyle name="Normal 35 3 2 3 2 4" xfId="7455" xr:uid="{23497C0E-FA4A-4DC8-9C61-0A2A3C942E71}"/>
    <cellStyle name="Normal 35 3 2 3 2 5" xfId="8969" xr:uid="{0B5BE8B6-C140-4D90-9430-83E67B694C80}"/>
    <cellStyle name="Normal 35 3 2 3 2 6" xfId="12589" xr:uid="{2840B249-768B-4CBB-92B2-B15DDEAD5180}"/>
    <cellStyle name="Normal 35 3 2 3 2 7" xfId="14334" xr:uid="{41380AB3-AED8-429A-989F-EED24C905C7F}"/>
    <cellStyle name="Normal 35 3 2 3 3" xfId="2317" xr:uid="{B5FD933F-EC5E-4693-9CE6-C9EA9405D5E1}"/>
    <cellStyle name="Normal 35 3 2 3 3 2" xfId="4037" xr:uid="{6929BE22-8240-4F14-A824-CBD3956DDD81}"/>
    <cellStyle name="Normal 35 3 2 3 3 3" xfId="7963" xr:uid="{9D05457A-6EA4-4AEB-A384-86B0C8AE3FF3}"/>
    <cellStyle name="Normal 35 3 2 3 3 4" xfId="9481" xr:uid="{B9C70A40-E9F9-4170-99E4-DC48B5D9D363}"/>
    <cellStyle name="Normal 35 3 2 3 3 5" xfId="13095" xr:uid="{E5889BDB-C16C-4D88-A968-3CDB7DA5FE29}"/>
    <cellStyle name="Normal 35 3 2 3 3 6" xfId="14840" xr:uid="{DD64C055-1493-412D-9FAC-EA9F6F1DD84B}"/>
    <cellStyle name="Normal 35 3 2 3 4" xfId="5010" xr:uid="{587AC91A-D75D-4285-AADF-DED47CE8F339}"/>
    <cellStyle name="Normal 35 3 2 3 4 2" xfId="10479" xr:uid="{8D434A9A-09D3-4DB6-BD98-3E4FF5305809}"/>
    <cellStyle name="Normal 35 3 2 3 5" xfId="5507" xr:uid="{D76B7CF3-267A-406B-BCBF-910B841EE44E}"/>
    <cellStyle name="Normal 35 3 2 3 5 2" xfId="10981" xr:uid="{978EB6FC-DE33-4072-9F49-CAE38AA60856}"/>
    <cellStyle name="Normal 35 3 2 3 6" xfId="6009" xr:uid="{CE5B2B94-2AFC-4BCC-899C-11802883C283}"/>
    <cellStyle name="Normal 35 3 2 3 6 2" xfId="11483" xr:uid="{465262EA-A788-4C89-9EBA-39ABF706CBAE}"/>
    <cellStyle name="Normal 35 3 2 3 7" xfId="3028" xr:uid="{3D28FF0C-EE7E-469C-8502-4C6B933B382E}"/>
    <cellStyle name="Normal 35 3 2 3 8" xfId="6949" xr:uid="{7DA306A5-2D8D-42C3-B24E-1F4BBB704CDB}"/>
    <cellStyle name="Normal 35 3 2 3 9" xfId="8473" xr:uid="{3BA17A56-7BF8-4C41-99C7-8ED3A48F1A91}"/>
    <cellStyle name="Normal 35 3 2 4" xfId="1561" xr:uid="{8EAD7706-AA4D-4CE6-A0CD-18F12FB61F26}"/>
    <cellStyle name="Normal 35 3 2 4 2" xfId="4284" xr:uid="{4CA6F238-3601-45F3-AD95-59AD390A5278}"/>
    <cellStyle name="Normal 35 3 2 4 2 2" xfId="9729" xr:uid="{E7FBFF44-5616-462A-B54D-AAF1B10BA5B1}"/>
    <cellStyle name="Normal 35 3 2 4 3" xfId="3274" xr:uid="{D7EE3F7D-E459-40DB-9589-62A9E11E4721}"/>
    <cellStyle name="Normal 35 3 2 4 4" xfId="7207" xr:uid="{C4298B1D-4734-4D56-B74A-85C7596F1C7C}"/>
    <cellStyle name="Normal 35 3 2 4 5" xfId="8721" xr:uid="{500071EE-6F86-4399-9EA7-4373D6E2138B}"/>
    <cellStyle name="Normal 35 3 2 4 6" xfId="12341" xr:uid="{7847E95C-DD1B-4F57-BBC9-236470D3FC72}"/>
    <cellStyle name="Normal 35 3 2 4 7" xfId="14086" xr:uid="{18359F9D-1C90-4865-ADEF-7C6A4D47BFB1}"/>
    <cellStyle name="Normal 35 3 2 5" xfId="2069" xr:uid="{61D57755-848A-4FEA-B4F8-9CD9AB57C52A}"/>
    <cellStyle name="Normal 35 3 2 5 2" xfId="3789" xr:uid="{A2725A41-3F63-4DB4-A6B9-37F5EA7809F6}"/>
    <cellStyle name="Normal 35 3 2 5 3" xfId="7715" xr:uid="{D2013D5B-F79F-4DF2-9223-DD55511848C0}"/>
    <cellStyle name="Normal 35 3 2 5 4" xfId="9233" xr:uid="{2850B29F-AF0D-4A24-9745-CE83E47A5E41}"/>
    <cellStyle name="Normal 35 3 2 5 5" xfId="12847" xr:uid="{B8D1A2A4-56B1-43AC-A7B5-2F85DA5E11C6}"/>
    <cellStyle name="Normal 35 3 2 5 6" xfId="14592" xr:uid="{A2948681-7E1B-4D54-A363-0E440693EFAE}"/>
    <cellStyle name="Normal 35 3 2 6" xfId="4780" xr:uid="{65209A43-F3BC-4F1C-A77E-2BA4CCA69D99}"/>
    <cellStyle name="Normal 35 3 2 6 2" xfId="10231" xr:uid="{C5E2E8DA-8006-42E4-92F5-DCF4FF61F6B6}"/>
    <cellStyle name="Normal 35 3 2 7" xfId="5259" xr:uid="{8A1FB725-026D-47F8-BA7E-83E0A9395C4A}"/>
    <cellStyle name="Normal 35 3 2 7 2" xfId="10733" xr:uid="{010F6363-F657-46EA-97A4-45CD8D24AB9A}"/>
    <cellStyle name="Normal 35 3 2 8" xfId="5761" xr:uid="{CDB02F15-5390-49B4-9E94-DABF4D8682A2}"/>
    <cellStyle name="Normal 35 3 2 8 2" xfId="11235" xr:uid="{31DB1FC3-3D1D-4F1E-9D3A-F4D1E10B399A}"/>
    <cellStyle name="Normal 35 3 2 9" xfId="2796" xr:uid="{8D6CFCB0-BE16-4404-B40D-00DCF95B5823}"/>
    <cellStyle name="Normal 35 3 3" xfId="1127" xr:uid="{A5DD39D9-B7CE-4800-A612-A923720E065F}"/>
    <cellStyle name="Normal 35 3 3 10" xfId="8297" xr:uid="{D5F4665A-3237-4EFA-A9A8-882F9C2C29D2}"/>
    <cellStyle name="Normal 35 3 3 11" xfId="11907" xr:uid="{1F16DF2F-E639-4406-8194-53C63E6AB69E}"/>
    <cellStyle name="Normal 35 3 3 12" xfId="13652" xr:uid="{08A00903-76CC-4ADD-B80D-3FF2C43D1583}"/>
    <cellStyle name="Normal 35 3 3 2" xfId="1375" xr:uid="{257000AC-E361-42D4-AD23-37E8B656731C}"/>
    <cellStyle name="Normal 35 3 3 2 10" xfId="12155" xr:uid="{A532B719-6DFD-424A-9BBC-1A85E2226F16}"/>
    <cellStyle name="Normal 35 3 3 2 11" xfId="13900" xr:uid="{89F59144-459F-45B4-A7F7-3B4955959FDD}"/>
    <cellStyle name="Normal 35 3 3 2 2" xfId="1881" xr:uid="{F60AB42C-A1AE-4A19-AC27-17025D73953F}"/>
    <cellStyle name="Normal 35 3 3 2 2 2" xfId="4603" xr:uid="{22E70FA5-186C-443B-941E-C92795A927B3}"/>
    <cellStyle name="Normal 35 3 3 2 2 2 2" xfId="10049" xr:uid="{F1B73D69-BFB2-47E8-939B-C446AF1590B2}"/>
    <cellStyle name="Normal 35 3 3 2 2 3" xfId="3593" xr:uid="{DF4DB163-C3A1-4AF7-9E66-36B4D19673D6}"/>
    <cellStyle name="Normal 35 3 3 2 2 4" xfId="7527" xr:uid="{7941AA5B-E411-40E6-ADBD-728B462E9900}"/>
    <cellStyle name="Normal 35 3 3 2 2 5" xfId="9041" xr:uid="{E4797257-F73D-422D-94CD-DD14C020C639}"/>
    <cellStyle name="Normal 35 3 3 2 2 6" xfId="12661" xr:uid="{9196F062-C682-4692-9087-6A204D9FD0DE}"/>
    <cellStyle name="Normal 35 3 3 2 2 7" xfId="14406" xr:uid="{19FE238C-BA61-40B4-A18C-5BCB6CEB2FBC}"/>
    <cellStyle name="Normal 35 3 3 2 3" xfId="2389" xr:uid="{DD398ACE-7071-4580-9382-49C0AFD6CFB5}"/>
    <cellStyle name="Normal 35 3 3 2 3 2" xfId="4109" xr:uid="{6EACFFA2-FBD2-4401-A5B9-7C78647B7F7C}"/>
    <cellStyle name="Normal 35 3 3 2 3 3" xfId="8035" xr:uid="{11248C14-F021-4B01-A14C-142EC929C1E8}"/>
    <cellStyle name="Normal 35 3 3 2 3 4" xfId="9553" xr:uid="{18081FC6-B78E-45EE-9539-A57431EFA75F}"/>
    <cellStyle name="Normal 35 3 3 2 3 5" xfId="13167" xr:uid="{27E786A7-7530-4C19-929D-58340095A117}"/>
    <cellStyle name="Normal 35 3 3 2 3 6" xfId="14912" xr:uid="{D91EFE9F-13CF-49DD-8641-E533C614FAD4}"/>
    <cellStyle name="Normal 35 3 3 2 4" xfId="5081" xr:uid="{D7E778E4-487A-4F01-99C8-946C35D34EA5}"/>
    <cellStyle name="Normal 35 3 3 2 4 2" xfId="10551" xr:uid="{37887483-4DFC-49EA-99A5-DEF480263F45}"/>
    <cellStyle name="Normal 35 3 3 2 5" xfId="5579" xr:uid="{668CE285-7030-4DE8-903D-7B77FA29A747}"/>
    <cellStyle name="Normal 35 3 3 2 5 2" xfId="11053" xr:uid="{46319764-FDBF-4AB6-AA5B-9331140544F2}"/>
    <cellStyle name="Normal 35 3 3 2 6" xfId="6081" xr:uid="{FC337746-A08F-433F-9280-CCDBBD6B5C33}"/>
    <cellStyle name="Normal 35 3 3 2 6 2" xfId="11555" xr:uid="{BD1D0622-EC5C-4FE9-975F-B868E163993D}"/>
    <cellStyle name="Normal 35 3 3 2 7" xfId="3099" xr:uid="{FFA47F90-F7CE-49FD-AB34-FF7A089796FD}"/>
    <cellStyle name="Normal 35 3 3 2 8" xfId="7021" xr:uid="{4CB11517-81C3-4E9C-9977-70E8B5B3797A}"/>
    <cellStyle name="Normal 35 3 3 2 9" xfId="8545" xr:uid="{0AE4FB30-5360-4EC6-AE7E-78E3ADE8F99D}"/>
    <cellStyle name="Normal 35 3 3 3" xfId="1633" xr:uid="{DBF4B631-1627-41B1-9E20-CCF04B3B755A}"/>
    <cellStyle name="Normal 35 3 3 3 2" xfId="4355" xr:uid="{B4C1603B-7153-4BFF-9428-64CC83F60DDC}"/>
    <cellStyle name="Normal 35 3 3 3 2 2" xfId="9801" xr:uid="{3ADFC1F2-F64F-4EBB-B796-E31BD01D41FC}"/>
    <cellStyle name="Normal 35 3 3 3 3" xfId="3345" xr:uid="{DF9C0915-9F29-4157-B43F-56CCA9C6FB88}"/>
    <cellStyle name="Normal 35 3 3 3 4" xfId="7279" xr:uid="{3791EB21-6390-461E-BB68-83465A7879A7}"/>
    <cellStyle name="Normal 35 3 3 3 5" xfId="8793" xr:uid="{F6961C3A-6C6A-4B84-9926-1B5B3EF420A9}"/>
    <cellStyle name="Normal 35 3 3 3 6" xfId="12413" xr:uid="{EBD5E121-04B5-42ED-98D8-8A7D92AA589F}"/>
    <cellStyle name="Normal 35 3 3 3 7" xfId="14158" xr:uid="{C7C7FEB9-62F6-41DD-BC36-BE5651245951}"/>
    <cellStyle name="Normal 35 3 3 4" xfId="2141" xr:uid="{D0492929-CC51-4B9B-B19F-C53AA9689DCD}"/>
    <cellStyle name="Normal 35 3 3 4 2" xfId="3861" xr:uid="{E6D1C134-4535-48F5-B19F-137CE1569A92}"/>
    <cellStyle name="Normal 35 3 3 4 3" xfId="7787" xr:uid="{F478061B-743E-4164-BF62-341C9270542F}"/>
    <cellStyle name="Normal 35 3 3 4 4" xfId="9305" xr:uid="{A6B71966-E675-41B2-9EEE-B599C7DE8023}"/>
    <cellStyle name="Normal 35 3 3 4 5" xfId="12919" xr:uid="{9F1F9696-5C32-4159-A774-5E46BE5AF03C}"/>
    <cellStyle name="Normal 35 3 3 4 6" xfId="14664" xr:uid="{2C944738-65CF-4327-9E2B-57368B44688D}"/>
    <cellStyle name="Normal 35 3 3 5" xfId="4845" xr:uid="{9353646F-7D52-4244-A1E9-7E3E3378FC3F}"/>
    <cellStyle name="Normal 35 3 3 5 2" xfId="10303" xr:uid="{B031972C-4EEB-406B-B569-BFFB4D03EE2C}"/>
    <cellStyle name="Normal 35 3 3 6" xfId="5331" xr:uid="{22BEBF8A-85EB-418C-AFCB-532AF9201A80}"/>
    <cellStyle name="Normal 35 3 3 6 2" xfId="10805" xr:uid="{5899239B-7597-4C74-AA2C-FE991D5CD9FD}"/>
    <cellStyle name="Normal 35 3 3 7" xfId="5833" xr:uid="{D5A95AA8-234F-4B3B-9488-54EFEBB3B929}"/>
    <cellStyle name="Normal 35 3 3 7 2" xfId="11307" xr:uid="{205B9561-3FAB-4F2A-827F-FC8964A7330A}"/>
    <cellStyle name="Normal 35 3 3 8" xfId="2861" xr:uid="{9090022B-49A4-49D9-A617-D45604F61BED}"/>
    <cellStyle name="Normal 35 3 3 9" xfId="6773" xr:uid="{3B2C6702-9F00-45F2-BF7B-02FB0DDF1698}"/>
    <cellStyle name="Normal 35 3 4" xfId="1251" xr:uid="{AA47E1F2-FF86-4DCD-A286-8438C47DDD99}"/>
    <cellStyle name="Normal 35 3 4 10" xfId="12031" xr:uid="{A19A0236-1E9E-4A8F-8721-56247EF6EAAC}"/>
    <cellStyle name="Normal 35 3 4 11" xfId="13776" xr:uid="{64AB5210-8460-4CC4-A3E6-F867D3AC72D9}"/>
    <cellStyle name="Normal 35 3 4 2" xfId="1757" xr:uid="{82896884-E536-4548-A582-25DD43773E07}"/>
    <cellStyle name="Normal 35 3 4 2 2" xfId="4479" xr:uid="{F1547699-8971-4B4D-8ACD-8D58BC2AA89A}"/>
    <cellStyle name="Normal 35 3 4 2 2 2" xfId="9925" xr:uid="{59454015-FF43-41CB-9A47-40FA37581D13}"/>
    <cellStyle name="Normal 35 3 4 2 3" xfId="3469" xr:uid="{E74036D7-7656-4CFE-9BA5-3F3A6415E27C}"/>
    <cellStyle name="Normal 35 3 4 2 4" xfId="7403" xr:uid="{CCF150D5-F36B-4D6C-972D-BBB634BE3697}"/>
    <cellStyle name="Normal 35 3 4 2 5" xfId="8917" xr:uid="{DD7B987D-4529-4BB8-BE17-51F7780ACB31}"/>
    <cellStyle name="Normal 35 3 4 2 6" xfId="12537" xr:uid="{178C0095-2151-48BF-8670-8DD0381A66A0}"/>
    <cellStyle name="Normal 35 3 4 2 7" xfId="14282" xr:uid="{4838A8CD-EDEB-481D-926A-F28D6E87379A}"/>
    <cellStyle name="Normal 35 3 4 3" xfId="2265" xr:uid="{6DB54730-3AD2-4458-ACF0-FC23CB87F652}"/>
    <cellStyle name="Normal 35 3 4 3 2" xfId="3985" xr:uid="{DB1242EC-5DCD-4E37-A0FC-CF1D6EFE4BC0}"/>
    <cellStyle name="Normal 35 3 4 3 3" xfId="7911" xr:uid="{8A4CA348-1DB3-4039-A792-D3EDE6F33819}"/>
    <cellStyle name="Normal 35 3 4 3 4" xfId="9429" xr:uid="{1253B92A-9FBA-4A9E-B05C-8A6AC1571609}"/>
    <cellStyle name="Normal 35 3 4 3 5" xfId="13043" xr:uid="{95169904-BABC-4EDD-BB31-7C2A9B28ED67}"/>
    <cellStyle name="Normal 35 3 4 3 6" xfId="14788" xr:uid="{D69D6380-1ABE-4062-BC3F-C79DA1D8B008}"/>
    <cellStyle name="Normal 35 3 4 4" xfId="4961" xr:uid="{51EEC7BC-BC05-4ACC-9F58-506088C5396F}"/>
    <cellStyle name="Normal 35 3 4 4 2" xfId="10427" xr:uid="{F968D26F-160C-4DE4-BEBE-27B2CB9B17AF}"/>
    <cellStyle name="Normal 35 3 4 5" xfId="5455" xr:uid="{E14B0261-D7EA-4635-9DC0-C4C4D82642CF}"/>
    <cellStyle name="Normal 35 3 4 5 2" xfId="10929" xr:uid="{1E35554A-1C01-46B4-9296-EF2B06B6C08B}"/>
    <cellStyle name="Normal 35 3 4 6" xfId="5957" xr:uid="{083EAF44-8AD4-492C-903E-89CEE1844D65}"/>
    <cellStyle name="Normal 35 3 4 6 2" xfId="11431" xr:uid="{56CFCA53-66F1-4F5C-9AB7-2F9759D3E869}"/>
    <cellStyle name="Normal 35 3 4 7" xfId="2979" xr:uid="{9C3CD45D-EABB-41A2-8F3C-D480FCA51AA1}"/>
    <cellStyle name="Normal 35 3 4 8" xfId="6897" xr:uid="{A2EAD896-9CB7-4A63-BD52-E590D9C1BF45}"/>
    <cellStyle name="Normal 35 3 4 9" xfId="8421" xr:uid="{A87F3504-8A55-477A-B87F-47595D2BAF5D}"/>
    <cellStyle name="Normal 35 3 5" xfId="1509" xr:uid="{649B3EF7-E54C-41F4-B1D3-489B577EFF0E}"/>
    <cellStyle name="Normal 35 3 5 2" xfId="4233" xr:uid="{0661753F-4FD4-4F15-BFE0-42F43655F5D3}"/>
    <cellStyle name="Normal 35 3 5 2 2" xfId="9677" xr:uid="{F8B86133-B04D-4665-BC64-251311176EB1}"/>
    <cellStyle name="Normal 35 3 5 3" xfId="3223" xr:uid="{FF8C31F8-8060-4DC1-ADA1-9E193D7B4DFB}"/>
    <cellStyle name="Normal 35 3 5 4" xfId="7155" xr:uid="{AC134399-0BB3-4891-817A-E2DBA1F13B99}"/>
    <cellStyle name="Normal 35 3 5 5" xfId="8669" xr:uid="{61B7B761-AC58-44ED-A44C-421DF4BD77CF}"/>
    <cellStyle name="Normal 35 3 5 6" xfId="12289" xr:uid="{8CFF0A8F-ADF9-4A73-AB07-C5189D8EF119}"/>
    <cellStyle name="Normal 35 3 5 7" xfId="14034" xr:uid="{FB99D1AE-FDA1-4599-AA14-18F012B81041}"/>
    <cellStyle name="Normal 35 3 6" xfId="2017" xr:uid="{B1FD4B98-6C87-41F1-A9E5-C9CE2A29CE05}"/>
    <cellStyle name="Normal 35 3 6 2" xfId="3737" xr:uid="{8375D6A6-AF2E-40C2-82FD-C0B14D8AE67F}"/>
    <cellStyle name="Normal 35 3 6 3" xfId="7663" xr:uid="{7ADB7790-F60A-488B-8E19-D76D7633264A}"/>
    <cellStyle name="Normal 35 3 6 4" xfId="9181" xr:uid="{79E8DFA5-35B1-40EC-B8F0-AE7D0A8705B6}"/>
    <cellStyle name="Normal 35 3 6 5" xfId="12795" xr:uid="{15FD2BC6-4B18-4DE8-9F62-A965A54EEA87}"/>
    <cellStyle name="Normal 35 3 6 6" xfId="14540" xr:uid="{759E6B4F-3BD3-42C0-90C5-1C3BD4960A35}"/>
    <cellStyle name="Normal 35 3 7" xfId="4733" xr:uid="{DB6F3CE2-1554-40A8-AA79-3798CDF11AC5}"/>
    <cellStyle name="Normal 35 3 7 2" xfId="10179" xr:uid="{1E8CD1F2-3D9A-4225-80D3-F41288190EDA}"/>
    <cellStyle name="Normal 35 3 8" xfId="5207" xr:uid="{445F0B48-87AE-44BE-8127-971022E44AA1}"/>
    <cellStyle name="Normal 35 3 8 2" xfId="10681" xr:uid="{A9DBEE83-4965-4A89-9B20-D8E0EA2174F9}"/>
    <cellStyle name="Normal 35 3 9" xfId="5709" xr:uid="{42113BD8-8065-4613-A7A5-80D3D7C3DBB7}"/>
    <cellStyle name="Normal 35 3 9 2" xfId="11183" xr:uid="{42809D8C-C849-4FF1-9ABF-B0526E0882EA}"/>
    <cellStyle name="Normal 35 4" xfId="1053" xr:uid="{F94A6E26-D2C0-4CFC-8FC2-F051081FA49D}"/>
    <cellStyle name="Normal 35 4 10" xfId="6699" xr:uid="{0D02B46E-E583-46E5-9C62-C18B9802918A}"/>
    <cellStyle name="Normal 35 4 11" xfId="8223" xr:uid="{3178E659-D2D6-415B-8656-55C66758A3E2}"/>
    <cellStyle name="Normal 35 4 12" xfId="11833" xr:uid="{19539C13-F022-4130-B573-BE79DDD61AEC}"/>
    <cellStyle name="Normal 35 4 13" xfId="13578" xr:uid="{E982FD62-91E0-4097-A244-C266DD858B22}"/>
    <cellStyle name="Normal 35 4 2" xfId="1177" xr:uid="{A86A0A32-FC57-493F-BDDD-BF0F3D9606D3}"/>
    <cellStyle name="Normal 35 4 2 10" xfId="8347" xr:uid="{FD211CC8-1A62-42A1-82F8-19DE4A7DA889}"/>
    <cellStyle name="Normal 35 4 2 11" xfId="11957" xr:uid="{2D6971B0-3764-4633-A787-153873E40FA7}"/>
    <cellStyle name="Normal 35 4 2 12" xfId="13702" xr:uid="{24B7BE16-6B5C-4F98-B404-94FD304ECCBA}"/>
    <cellStyle name="Normal 35 4 2 2" xfId="1425" xr:uid="{850043CC-5D99-452B-8647-52C3ADF1B746}"/>
    <cellStyle name="Normal 35 4 2 2 10" xfId="12205" xr:uid="{25CB401A-55AB-455F-8DBE-1048B8C9BCA6}"/>
    <cellStyle name="Normal 35 4 2 2 11" xfId="13950" xr:uid="{26BA0F32-6B81-4530-A278-9895CBF11A98}"/>
    <cellStyle name="Normal 35 4 2 2 2" xfId="1931" xr:uid="{EE80FE0B-0424-43FE-8917-73B9BE39FFDA}"/>
    <cellStyle name="Normal 35 4 2 2 2 2" xfId="4653" xr:uid="{22810E21-9EBB-4454-8F9C-794ACA56C068}"/>
    <cellStyle name="Normal 35 4 2 2 2 2 2" xfId="10099" xr:uid="{B9B6E9BF-52D6-49EB-93DE-67223A430848}"/>
    <cellStyle name="Normal 35 4 2 2 2 3" xfId="3643" xr:uid="{D522736B-0DE7-43ED-A38E-50A48E4F74BD}"/>
    <cellStyle name="Normal 35 4 2 2 2 4" xfId="7577" xr:uid="{9563C342-2A62-4FF2-988F-11A62218DD20}"/>
    <cellStyle name="Normal 35 4 2 2 2 5" xfId="9091" xr:uid="{A9AB4773-696C-4D36-B97C-EADB2D62F6B0}"/>
    <cellStyle name="Normal 35 4 2 2 2 6" xfId="12711" xr:uid="{42E9484B-12CE-4471-8D31-F5ECA4B22473}"/>
    <cellStyle name="Normal 35 4 2 2 2 7" xfId="14456" xr:uid="{75D87CCD-4744-423F-8665-4D889AF6FE63}"/>
    <cellStyle name="Normal 35 4 2 2 3" xfId="2439" xr:uid="{F3F48239-6432-4E37-B261-99EEFDE9C7F8}"/>
    <cellStyle name="Normal 35 4 2 2 3 2" xfId="4159" xr:uid="{3C1F249A-E459-418D-BEBF-2E4FA23419D2}"/>
    <cellStyle name="Normal 35 4 2 2 3 3" xfId="8085" xr:uid="{2EDA43FC-D34D-4FB6-9E8E-55614E6A971B}"/>
    <cellStyle name="Normal 35 4 2 2 3 4" xfId="9603" xr:uid="{3ED65738-C379-470B-B69E-EFB85FE9E21F}"/>
    <cellStyle name="Normal 35 4 2 2 3 5" xfId="13217" xr:uid="{C0E72C78-7A20-445A-AD71-68DDA366EEE1}"/>
    <cellStyle name="Normal 35 4 2 2 3 6" xfId="14962" xr:uid="{8519F887-5672-479F-A6BC-BB9EE54A0709}"/>
    <cellStyle name="Normal 35 4 2 2 4" xfId="5131" xr:uid="{1AFD5C4D-D47D-4118-B352-09824E197E8B}"/>
    <cellStyle name="Normal 35 4 2 2 4 2" xfId="10601" xr:uid="{D5FB982C-9003-4463-AB8A-DF1B2954E675}"/>
    <cellStyle name="Normal 35 4 2 2 5" xfId="5629" xr:uid="{6E4B1BD8-E205-4415-B16F-739A72C7DD54}"/>
    <cellStyle name="Normal 35 4 2 2 5 2" xfId="11103" xr:uid="{EBB0C12F-83BC-479F-B398-9AEBD7BFA001}"/>
    <cellStyle name="Normal 35 4 2 2 6" xfId="6131" xr:uid="{4BB8A80D-B3E7-438D-A531-5D90AD36EB9B}"/>
    <cellStyle name="Normal 35 4 2 2 6 2" xfId="11605" xr:uid="{EE921D64-F78B-43FC-A667-2B2EBB460C9E}"/>
    <cellStyle name="Normal 35 4 2 2 7" xfId="3149" xr:uid="{7F2F9147-1D25-49CD-8CBD-8A76BE84C663}"/>
    <cellStyle name="Normal 35 4 2 2 8" xfId="7071" xr:uid="{9F6977D8-9BA7-4B89-84B2-8BA7926E5C65}"/>
    <cellStyle name="Normal 35 4 2 2 9" xfId="8595" xr:uid="{31C02881-87C0-4792-ACCB-7AA86D50D2E1}"/>
    <cellStyle name="Normal 35 4 2 3" xfId="1683" xr:uid="{6BB2ECBC-F8FD-4C0C-9E38-9E4F32456001}"/>
    <cellStyle name="Normal 35 4 2 3 2" xfId="4405" xr:uid="{FE83BE9C-20C3-4B27-857B-48CA53254423}"/>
    <cellStyle name="Normal 35 4 2 3 2 2" xfId="9851" xr:uid="{A438E7CB-FB0C-400E-AE3E-3926C0D8653D}"/>
    <cellStyle name="Normal 35 4 2 3 3" xfId="3395" xr:uid="{0F6C8E2F-E2E7-49B4-8673-E77E0C540C34}"/>
    <cellStyle name="Normal 35 4 2 3 4" xfId="7329" xr:uid="{7808114C-3468-424D-9AD0-4A5144EEF744}"/>
    <cellStyle name="Normal 35 4 2 3 5" xfId="8843" xr:uid="{C09C39B9-272D-4DFF-9D82-DE70C6820E5B}"/>
    <cellStyle name="Normal 35 4 2 3 6" xfId="12463" xr:uid="{A330A039-DB56-4150-BB3E-A2460DEEE7A2}"/>
    <cellStyle name="Normal 35 4 2 3 7" xfId="14208" xr:uid="{E9A312FE-5304-4B6B-856E-EF59CCFF29FC}"/>
    <cellStyle name="Normal 35 4 2 4" xfId="2191" xr:uid="{037F2155-BB05-40E0-AB9C-7CCEC373DD87}"/>
    <cellStyle name="Normal 35 4 2 4 2" xfId="3911" xr:uid="{C560D530-9A27-4299-8136-233CFDB2FEAA}"/>
    <cellStyle name="Normal 35 4 2 4 3" xfId="7837" xr:uid="{A4873C02-7D5A-462B-95AF-C9355B11C1B4}"/>
    <cellStyle name="Normal 35 4 2 4 4" xfId="9355" xr:uid="{86D928D1-46FF-49D4-82D4-07FD2E6EF002}"/>
    <cellStyle name="Normal 35 4 2 4 5" xfId="12969" xr:uid="{EDA2C97F-721E-436E-B6A8-BA95A93AEB68}"/>
    <cellStyle name="Normal 35 4 2 4 6" xfId="14714" xr:uid="{FD7151A1-606E-449C-8FE4-006259E7C967}"/>
    <cellStyle name="Normal 35 4 2 5" xfId="4892" xr:uid="{89A6E351-789A-4D6E-9FD4-28BAE868BCBC}"/>
    <cellStyle name="Normal 35 4 2 5 2" xfId="10353" xr:uid="{111C23FE-A504-4FB9-AE14-0226D18A3165}"/>
    <cellStyle name="Normal 35 4 2 6" xfId="5381" xr:uid="{7018216F-63F6-41A2-B230-CCCCAD75596B}"/>
    <cellStyle name="Normal 35 4 2 6 2" xfId="10855" xr:uid="{BF92B6EF-3B16-45A1-A7DD-8380F178E44C}"/>
    <cellStyle name="Normal 35 4 2 7" xfId="5883" xr:uid="{F621FAA1-01E3-4633-B521-A8C900ACAEA3}"/>
    <cellStyle name="Normal 35 4 2 7 2" xfId="11357" xr:uid="{D91D8D67-1B59-401C-9A56-D53107DF8CCB}"/>
    <cellStyle name="Normal 35 4 2 8" xfId="2908" xr:uid="{F43B699A-B6F0-4453-9924-DB862F0D204B}"/>
    <cellStyle name="Normal 35 4 2 9" xfId="6823" xr:uid="{B123DE91-E5AB-4A34-9560-A318F085C16A}"/>
    <cellStyle name="Normal 35 4 3" xfId="1301" xr:uid="{B65F3ACB-519A-4832-A778-B28554DC3A12}"/>
    <cellStyle name="Normal 35 4 3 10" xfId="12081" xr:uid="{68E585F3-1FAE-4218-ADC9-4A3ACAD441B2}"/>
    <cellStyle name="Normal 35 4 3 11" xfId="13826" xr:uid="{4F069FE1-5E80-4831-9478-C458D8801769}"/>
    <cellStyle name="Normal 35 4 3 2" xfId="1807" xr:uid="{9CC46753-28CF-4109-ACF2-13913CE061CC}"/>
    <cellStyle name="Normal 35 4 3 2 2" xfId="4529" xr:uid="{4A1B09A3-0693-4B57-9D67-75B3541C9F57}"/>
    <cellStyle name="Normal 35 4 3 2 2 2" xfId="9975" xr:uid="{5033AF06-8880-4CD6-8977-F24A80B3FBB6}"/>
    <cellStyle name="Normal 35 4 3 2 3" xfId="3519" xr:uid="{91F2A745-A82F-4C32-9431-956ACD3F4A8E}"/>
    <cellStyle name="Normal 35 4 3 2 4" xfId="7453" xr:uid="{750AB4DB-1F09-4535-A374-B5CB53C14B62}"/>
    <cellStyle name="Normal 35 4 3 2 5" xfId="8967" xr:uid="{F399EBDF-D12A-42F5-A2D7-DE6C0C037631}"/>
    <cellStyle name="Normal 35 4 3 2 6" xfId="12587" xr:uid="{8ABE8727-B66C-46FC-B733-986D080880D4}"/>
    <cellStyle name="Normal 35 4 3 2 7" xfId="14332" xr:uid="{EF8FE5A4-0A01-488B-AB38-CA7113F1BB4F}"/>
    <cellStyle name="Normal 35 4 3 3" xfId="2315" xr:uid="{68D2CDED-3F33-4706-A235-BE5533A73AE7}"/>
    <cellStyle name="Normal 35 4 3 3 2" xfId="4035" xr:uid="{BC1CD5BF-C10E-48EB-A891-4FC4DE3C934A}"/>
    <cellStyle name="Normal 35 4 3 3 3" xfId="7961" xr:uid="{98EB4C94-42AE-40F2-868B-EAF9B7536DBD}"/>
    <cellStyle name="Normal 35 4 3 3 4" xfId="9479" xr:uid="{99A1CF47-D196-429C-ACA1-B26AA18E8D33}"/>
    <cellStyle name="Normal 35 4 3 3 5" xfId="13093" xr:uid="{0EA0ED93-B74A-466D-94D0-F84FE181F5CA}"/>
    <cellStyle name="Normal 35 4 3 3 6" xfId="14838" xr:uid="{BE33116C-C2EE-434A-B400-C585B0FC0CA7}"/>
    <cellStyle name="Normal 35 4 3 4" xfId="5008" xr:uid="{0B612569-42EE-4A1B-8864-6249A0680214}"/>
    <cellStyle name="Normal 35 4 3 4 2" xfId="10477" xr:uid="{55642E64-56EB-49D4-91E0-D164D0670705}"/>
    <cellStyle name="Normal 35 4 3 5" xfId="5505" xr:uid="{7E5A6760-05BD-4A3F-AC9B-8A264095990D}"/>
    <cellStyle name="Normal 35 4 3 5 2" xfId="10979" xr:uid="{ACB005DB-2A14-4AF4-A904-63A8EC71AA3F}"/>
    <cellStyle name="Normal 35 4 3 6" xfId="6007" xr:uid="{620729CD-3E4A-4657-98DC-1A677715ECD0}"/>
    <cellStyle name="Normal 35 4 3 6 2" xfId="11481" xr:uid="{773099A5-16E7-4AD9-8635-277CF35D05CC}"/>
    <cellStyle name="Normal 35 4 3 7" xfId="3026" xr:uid="{BB7104E2-E338-4666-89EB-C36E6C57FA47}"/>
    <cellStyle name="Normal 35 4 3 8" xfId="6947" xr:uid="{FBE3A6AE-F36F-4A7A-85F9-4AC036340162}"/>
    <cellStyle name="Normal 35 4 3 9" xfId="8471" xr:uid="{A8C27FEE-93C8-4A9D-A73E-E7220A8A6D75}"/>
    <cellStyle name="Normal 35 4 4" xfId="1559" xr:uid="{EC61FC28-D961-4B2D-A148-B3BA2BB71DED}"/>
    <cellStyle name="Normal 35 4 4 2" xfId="4282" xr:uid="{111F5DA6-1B08-410D-83E6-ED5C7165C851}"/>
    <cellStyle name="Normal 35 4 4 2 2" xfId="9727" xr:uid="{80DFE275-AD81-4816-B6C6-A29EEB993476}"/>
    <cellStyle name="Normal 35 4 4 3" xfId="3272" xr:uid="{A3467BCC-DD6A-4D8C-AA18-918012F7E968}"/>
    <cellStyle name="Normal 35 4 4 4" xfId="7205" xr:uid="{1BF66B6A-9984-4099-B66F-65251A038B1F}"/>
    <cellStyle name="Normal 35 4 4 5" xfId="8719" xr:uid="{B5B5C9AF-4DAA-4C86-AF54-75569EFBC77E}"/>
    <cellStyle name="Normal 35 4 4 6" xfId="12339" xr:uid="{FAAB925C-FF64-477C-A157-AE12A61BBFDB}"/>
    <cellStyle name="Normal 35 4 4 7" xfId="14084" xr:uid="{609F57C0-D03A-4C89-A761-9BFD00D437ED}"/>
    <cellStyle name="Normal 35 4 5" xfId="2067" xr:uid="{5F8F329F-1BE6-4B07-8E85-3E26DAD83818}"/>
    <cellStyle name="Normal 35 4 5 2" xfId="3787" xr:uid="{8E740029-DDB1-459C-8861-76D90FCE3B8F}"/>
    <cellStyle name="Normal 35 4 5 3" xfId="7713" xr:uid="{6C1BD9EC-17C7-4CF2-BEB1-F21ED9F1CD64}"/>
    <cellStyle name="Normal 35 4 5 4" xfId="9231" xr:uid="{F9FAFABD-B585-4151-ADDA-D5A2DD5B3050}"/>
    <cellStyle name="Normal 35 4 5 5" xfId="12845" xr:uid="{E112B92F-D3F8-4B45-BFC8-72AF6D8C8FC9}"/>
    <cellStyle name="Normal 35 4 5 6" xfId="14590" xr:uid="{4DFCC0BF-45D5-4C3C-9457-FEF86B4A5F1F}"/>
    <cellStyle name="Normal 35 4 6" xfId="4778" xr:uid="{36B787A9-E9B0-4DFB-9224-90BAF919ABD2}"/>
    <cellStyle name="Normal 35 4 6 2" xfId="10229" xr:uid="{41D024FF-FFBB-499F-9611-868B56E35109}"/>
    <cellStyle name="Normal 35 4 7" xfId="5257" xr:uid="{5E7B9ACA-3E1B-4378-BB35-FDEF6E3AD047}"/>
    <cellStyle name="Normal 35 4 7 2" xfId="10731" xr:uid="{EE846B86-0554-4E42-A5E5-E245BE37051A}"/>
    <cellStyle name="Normal 35 4 8" xfId="5759" xr:uid="{CB109E03-51FF-47ED-93FB-FD620BF3986C}"/>
    <cellStyle name="Normal 35 4 8 2" xfId="11233" xr:uid="{1F274913-09B2-4FF9-8888-0EFC09340C3C}"/>
    <cellStyle name="Normal 35 4 9" xfId="2794" xr:uid="{4F08539E-F723-479F-8D21-AD0B3EB8E078}"/>
    <cellStyle name="Normal 35 5" xfId="1085" xr:uid="{BE762C29-8A0A-4E8B-90E9-536391A18496}"/>
    <cellStyle name="Normal 35 5 10" xfId="8255" xr:uid="{8323C24F-92FB-41DD-A7E1-517828DE11B5}"/>
    <cellStyle name="Normal 35 5 11" xfId="11865" xr:uid="{63B365AE-6EE1-4530-9547-E3B4AC7B5529}"/>
    <cellStyle name="Normal 35 5 12" xfId="13610" xr:uid="{F64BD48B-E0BC-4263-9FEB-F802B4F28885}"/>
    <cellStyle name="Normal 35 5 2" xfId="1333" xr:uid="{B7FD4765-3E30-48A5-AB91-CC6922130E35}"/>
    <cellStyle name="Normal 35 5 2 10" xfId="12113" xr:uid="{E72826EA-EA63-46F0-87BE-79D2FEB05D61}"/>
    <cellStyle name="Normal 35 5 2 11" xfId="13858" xr:uid="{4CC5D878-DB7B-4F08-BC0F-9D051EB81629}"/>
    <cellStyle name="Normal 35 5 2 2" xfId="1839" xr:uid="{EFB58866-BEE4-4250-88DC-E16E5F7C03CF}"/>
    <cellStyle name="Normal 35 5 2 2 2" xfId="4561" xr:uid="{7ECE9616-F775-4369-9648-72D4BC2B82BF}"/>
    <cellStyle name="Normal 35 5 2 2 2 2" xfId="10007" xr:uid="{D5BC7CE6-B3FE-472E-8C4A-8904AF66E165}"/>
    <cellStyle name="Normal 35 5 2 2 3" xfId="3551" xr:uid="{9B6EFB2C-6142-4CB0-8359-58EFE9F221FD}"/>
    <cellStyle name="Normal 35 5 2 2 4" xfId="7485" xr:uid="{382F0FDC-E0EB-44F9-8B85-75F1BEEE1945}"/>
    <cellStyle name="Normal 35 5 2 2 5" xfId="8999" xr:uid="{D589A887-ACE4-45A2-B335-346FEE3F7580}"/>
    <cellStyle name="Normal 35 5 2 2 6" xfId="12619" xr:uid="{46E6D2C6-2BF1-4CE6-AE25-CA48CA0E4C6F}"/>
    <cellStyle name="Normal 35 5 2 2 7" xfId="14364" xr:uid="{CF8B7155-1B0E-48B9-B3B9-4866E3D555C1}"/>
    <cellStyle name="Normal 35 5 2 3" xfId="2347" xr:uid="{A23941A5-6DF4-4E3C-9E95-27D81D768DC7}"/>
    <cellStyle name="Normal 35 5 2 3 2" xfId="4067" xr:uid="{C586D777-0331-41A4-9055-1516129B0F0C}"/>
    <cellStyle name="Normal 35 5 2 3 3" xfId="7993" xr:uid="{68A0D73E-4C41-4320-8ACC-5ADCF41AEBD6}"/>
    <cellStyle name="Normal 35 5 2 3 4" xfId="9511" xr:uid="{A8448515-BD5B-416A-A4F7-98CC2A3FBEB3}"/>
    <cellStyle name="Normal 35 5 2 3 5" xfId="13125" xr:uid="{EBDC0874-A4BE-4A87-848B-E87C11BDDF43}"/>
    <cellStyle name="Normal 35 5 2 3 6" xfId="14870" xr:uid="{FDA09D4E-2818-459A-9912-8CC608EE2157}"/>
    <cellStyle name="Normal 35 5 2 4" xfId="5039" xr:uid="{268900CD-B090-4B17-AEF7-402E9C60C7BA}"/>
    <cellStyle name="Normal 35 5 2 4 2" xfId="10509" xr:uid="{0DDCC599-45EA-44AC-915B-723921C96D3D}"/>
    <cellStyle name="Normal 35 5 2 5" xfId="5537" xr:uid="{84F632C8-A5EB-4D04-B1D8-52BAFC7C60A5}"/>
    <cellStyle name="Normal 35 5 2 5 2" xfId="11011" xr:uid="{E86D8450-F8D0-45B6-AA3B-63FE61ACF93A}"/>
    <cellStyle name="Normal 35 5 2 6" xfId="6039" xr:uid="{3B5FAA8F-0B14-480E-8E7A-8F650D6A1DAC}"/>
    <cellStyle name="Normal 35 5 2 6 2" xfId="11513" xr:uid="{F06AFA17-90B8-4223-812E-FB1C25689145}"/>
    <cellStyle name="Normal 35 5 2 7" xfId="3057" xr:uid="{D29A7BC3-CF5E-4240-B173-ECB910582CFE}"/>
    <cellStyle name="Normal 35 5 2 8" xfId="6979" xr:uid="{F236DA2F-B7BE-41B9-B5F7-551112AEA9C3}"/>
    <cellStyle name="Normal 35 5 2 9" xfId="8503" xr:uid="{C7C5EBD3-7B6F-4105-92BF-5703B559D794}"/>
    <cellStyle name="Normal 35 5 3" xfId="1591" xr:uid="{4ECF7227-732D-457B-873F-23C160C2820B}"/>
    <cellStyle name="Normal 35 5 3 2" xfId="4313" xr:uid="{9D73C575-206A-4EB1-8258-EE38A393ED7B}"/>
    <cellStyle name="Normal 35 5 3 2 2" xfId="9759" xr:uid="{4F44F28F-E8C8-4E0C-B957-1EA9208EB492}"/>
    <cellStyle name="Normal 35 5 3 3" xfId="3303" xr:uid="{BD6B487C-758C-49F8-8764-8731E8BB68E6}"/>
    <cellStyle name="Normal 35 5 3 4" xfId="7237" xr:uid="{852C32C8-5E2F-4901-A6E0-A301D46A98AA}"/>
    <cellStyle name="Normal 35 5 3 5" xfId="8751" xr:uid="{ED7AD42D-256B-484F-82B5-1B8BE99BF857}"/>
    <cellStyle name="Normal 35 5 3 6" xfId="12371" xr:uid="{E63245AD-8D9E-4625-9283-81136B6F9467}"/>
    <cellStyle name="Normal 35 5 3 7" xfId="14116" xr:uid="{9F11D493-3C72-4819-B26B-BB6DB185194E}"/>
    <cellStyle name="Normal 35 5 4" xfId="2099" xr:uid="{08BFAEE4-B793-4462-9DE9-6FDA484972A8}"/>
    <cellStyle name="Normal 35 5 4 2" xfId="3819" xr:uid="{58138ED5-BC0C-45D9-BC73-AC4F1616EBEC}"/>
    <cellStyle name="Normal 35 5 4 3" xfId="7745" xr:uid="{B2AA9C3D-CE03-4D65-B18C-9E536B29568E}"/>
    <cellStyle name="Normal 35 5 4 4" xfId="9263" xr:uid="{9E49BF97-2C78-44FE-8E46-CE7E5FB83E39}"/>
    <cellStyle name="Normal 35 5 4 5" xfId="12877" xr:uid="{54DD913D-BBFF-4FF7-B81C-004E15236A30}"/>
    <cellStyle name="Normal 35 5 4 6" xfId="14622" xr:uid="{6544141C-602B-4A81-888F-2A6221B3EAC1}"/>
    <cellStyle name="Normal 35 5 5" xfId="4807" xr:uid="{47B4161D-C804-4697-9513-B9E0A0D57CF8}"/>
    <cellStyle name="Normal 35 5 5 2" xfId="10261" xr:uid="{66C8D02D-297A-4362-BB9D-9BF1B6F07DD7}"/>
    <cellStyle name="Normal 35 5 6" xfId="5289" xr:uid="{275769E8-7EE7-443C-A16C-B7195C869CFD}"/>
    <cellStyle name="Normal 35 5 6 2" xfId="10763" xr:uid="{C2F79AFA-E75F-4EAD-852C-244687220056}"/>
    <cellStyle name="Normal 35 5 7" xfId="5791" xr:uid="{DEFF6442-6C62-4434-97CE-9359395BE59E}"/>
    <cellStyle name="Normal 35 5 7 2" xfId="11265" xr:uid="{C3AC3956-B3E2-48E9-A91F-16505F27FB63}"/>
    <cellStyle name="Normal 35 5 8" xfId="2823" xr:uid="{FC9253BD-873E-437F-8FE0-A4A1D0254E1B}"/>
    <cellStyle name="Normal 35 5 9" xfId="6731" xr:uid="{1FEFD8B7-2415-4B4F-B3B1-337B5A698431}"/>
    <cellStyle name="Normal 35 6" xfId="1209" xr:uid="{84C4CA82-C17A-4A05-9A42-AEF2F24EED81}"/>
    <cellStyle name="Normal 35 6 10" xfId="11989" xr:uid="{BBCCE0C5-72EC-4D1E-BA9B-9FA5AC8330B0}"/>
    <cellStyle name="Normal 35 6 11" xfId="13734" xr:uid="{1A02941D-18A7-4101-AD6B-C93CE687C82F}"/>
    <cellStyle name="Normal 35 6 2" xfId="1715" xr:uid="{000DCBAB-EDA9-4C10-96B8-B6E779AF24B3}"/>
    <cellStyle name="Normal 35 6 2 2" xfId="4437" xr:uid="{FE7C0F45-5438-49E8-98E5-351C71D6278E}"/>
    <cellStyle name="Normal 35 6 2 2 2" xfId="9883" xr:uid="{C225FE18-2762-4A0D-AC0C-5A11737377BC}"/>
    <cellStyle name="Normal 35 6 2 3" xfId="3427" xr:uid="{BA25D7D0-9CB0-4E4F-A298-3902272400B4}"/>
    <cellStyle name="Normal 35 6 2 4" xfId="7361" xr:uid="{38147BC0-E3D8-4346-9C22-7C5CCE7327FD}"/>
    <cellStyle name="Normal 35 6 2 5" xfId="8875" xr:uid="{F3A01166-9C20-4019-BDB8-9034B1D91B9F}"/>
    <cellStyle name="Normal 35 6 2 6" xfId="12495" xr:uid="{CBCBFC3D-F435-4FF5-A876-1A9374829151}"/>
    <cellStyle name="Normal 35 6 2 7" xfId="14240" xr:uid="{61D8D3B3-CFE0-4D4D-B896-D4690C7616D4}"/>
    <cellStyle name="Normal 35 6 3" xfId="2223" xr:uid="{0345A4CA-E2CC-4970-AB2D-8F6F8D484535}"/>
    <cellStyle name="Normal 35 6 3 2" xfId="3943" xr:uid="{8C6A5877-E3F2-4231-A4E5-A79ECBA624F1}"/>
    <cellStyle name="Normal 35 6 3 3" xfId="7869" xr:uid="{00960AFA-ACEC-4D81-AF9C-90AE78076032}"/>
    <cellStyle name="Normal 35 6 3 4" xfId="9387" xr:uid="{062DFF6F-A590-49C7-84CD-A87FC69C3A82}"/>
    <cellStyle name="Normal 35 6 3 5" xfId="13001" xr:uid="{10F15F12-C185-42EC-9FFE-F8C1B3EB1FE9}"/>
    <cellStyle name="Normal 35 6 3 6" xfId="14746" xr:uid="{2C6AA173-5EFB-409C-863C-D1D76DAB3DE5}"/>
    <cellStyle name="Normal 35 6 4" xfId="4923" xr:uid="{84A39C57-6591-494C-A90E-49F327A33C8F}"/>
    <cellStyle name="Normal 35 6 4 2" xfId="10385" xr:uid="{E19D6701-D728-4615-B481-E5DD7873E957}"/>
    <cellStyle name="Normal 35 6 5" xfId="5413" xr:uid="{28F7EC27-5B97-4994-8EBE-1B60A487E944}"/>
    <cellStyle name="Normal 35 6 5 2" xfId="10887" xr:uid="{8C3C93EE-E31F-4101-A60F-DB5F5476A5C1}"/>
    <cellStyle name="Normal 35 6 6" xfId="5915" xr:uid="{D77A4EBE-0339-42F6-9F4B-E1674B003581}"/>
    <cellStyle name="Normal 35 6 6 2" xfId="11389" xr:uid="{2A918A79-F9BB-489F-9FCE-99F54124755B}"/>
    <cellStyle name="Normal 35 6 7" xfId="2939" xr:uid="{EBA374A2-8A7D-415B-ABC5-17DB6B67145C}"/>
    <cellStyle name="Normal 35 6 8" xfId="6855" xr:uid="{CF9C2D59-2835-4115-B084-465759C3B3F1}"/>
    <cellStyle name="Normal 35 6 9" xfId="8379" xr:uid="{649936D0-64D8-45A0-9F0F-517BA2CF06AE}"/>
    <cellStyle name="Normal 35 7" xfId="1467" xr:uid="{325B4301-B79D-4DB8-B51F-A3FA5566B68B}"/>
    <cellStyle name="Normal 35 7 2" xfId="4191" xr:uid="{25FE4216-85D6-454A-AFD9-39E8A0BCC2D4}"/>
    <cellStyle name="Normal 35 7 2 2" xfId="9635" xr:uid="{6313ACC7-6F57-42CE-9249-7B1DE6A937EF}"/>
    <cellStyle name="Normal 35 7 3" xfId="3181" xr:uid="{D4C89749-4E92-48D9-BA88-08031EB6408E}"/>
    <cellStyle name="Normal 35 7 4" xfId="7113" xr:uid="{12B3DEF0-A003-44D9-BD9A-B93122A70082}"/>
    <cellStyle name="Normal 35 7 5" xfId="8627" xr:uid="{A1BA6F7C-86B2-4C2D-B394-53AF06DFBB23}"/>
    <cellStyle name="Normal 35 7 6" xfId="12247" xr:uid="{123AC5A8-F6DE-4A1B-AA37-F99CAFD2AECA}"/>
    <cellStyle name="Normal 35 7 7" xfId="13992" xr:uid="{6030D66E-4713-4B32-AA74-93C3569979FE}"/>
    <cellStyle name="Normal 35 8" xfId="1974" xr:uid="{7ACF6F9E-670D-47E2-B37A-3675AA5C158A}"/>
    <cellStyle name="Normal 35 8 2" xfId="3695" xr:uid="{F5D566DB-5B0A-4452-8519-B4746348F89A}"/>
    <cellStyle name="Normal 35 8 3" xfId="7620" xr:uid="{33725622-8B40-4029-9FEF-C8825C3281A5}"/>
    <cellStyle name="Normal 35 8 4" xfId="9139" xr:uid="{B6280567-482B-4EA2-B6A3-F4171FEEDA35}"/>
    <cellStyle name="Normal 35 8 5" xfId="12753" xr:uid="{4423692F-DB47-494E-8FA5-12A5C2E00C1C}"/>
    <cellStyle name="Normal 35 8 6" xfId="14498" xr:uid="{D0FEBC72-EBCC-4FFB-9BF4-63D0C4AEC14A}"/>
    <cellStyle name="Normal 35 9" xfId="4691" xr:uid="{3DEF6FE3-CA64-43EB-8787-F5D12714E389}"/>
    <cellStyle name="Normal 35 9 2" xfId="10137" xr:uid="{CFE55903-E175-47C8-A885-EAEB468835AD}"/>
    <cellStyle name="Normal 36" xfId="543" xr:uid="{DE7E87CF-AC46-4A63-AC5D-DF9773DA18B8}"/>
    <cellStyle name="Normal 36 2" xfId="4685" xr:uid="{E4B9E33F-48D1-4BA3-9617-C9CED2BBC7C4}"/>
    <cellStyle name="Normal 36 2 2" xfId="10131" xr:uid="{46586980-C5F5-4852-A95F-D628444B19A6}"/>
    <cellStyle name="Normal 36 3" xfId="5163" xr:uid="{514A0246-8554-4868-9C2A-F9DC62E2FBE4}"/>
    <cellStyle name="Normal 36 3 2" xfId="10633" xr:uid="{C8C2A9FC-8BB8-4685-AB21-9F55FCC3295C}"/>
    <cellStyle name="Normal 36 4" xfId="5661" xr:uid="{8E8597C0-5911-4409-908D-1351C0A70685}"/>
    <cellStyle name="Normal 36 4 2" xfId="11135" xr:uid="{0CE4CAB6-E7BB-4EBF-8E59-1B1A0E212919}"/>
    <cellStyle name="Normal 36 5" xfId="6163" xr:uid="{E1751D79-E8EE-4471-8DC4-972A881440E9}"/>
    <cellStyle name="Normal 36 5 2" xfId="11637" xr:uid="{20B2B597-219D-4766-8EA3-FFBC56EAEA3F}"/>
    <cellStyle name="Normal 36 6" xfId="3675" xr:uid="{837F467C-B341-4B32-8712-0FFCB3CB62AF}"/>
    <cellStyle name="Normal 36 7" xfId="6508" xr:uid="{8AAE01A6-113E-43D9-A021-2B3357F9C261}"/>
    <cellStyle name="Normal 36 8" xfId="9123" xr:uid="{0F3C9285-8729-46BC-A11B-EA47DA20206E}"/>
    <cellStyle name="Normal 37" xfId="1959" xr:uid="{C3E7B9C7-1DD5-4851-B29A-7C1E680E93EA}"/>
    <cellStyle name="Normal 37 2" xfId="4686" xr:uid="{60B68977-1BBA-4AE9-BC0C-BC9B120DD1E0}"/>
    <cellStyle name="Normal 37 2 2" xfId="10132" xr:uid="{B71C55D8-D70D-4464-AE00-258DE4EBDD19}"/>
    <cellStyle name="Normal 37 3" xfId="5164" xr:uid="{60FC5905-3045-4BEA-8942-1A2772B4DC7F}"/>
    <cellStyle name="Normal 37 3 2" xfId="10634" xr:uid="{44429783-1214-48D8-96A9-559C4473DD60}"/>
    <cellStyle name="Normal 37 4" xfId="5662" xr:uid="{C5D3E131-0139-445D-A45D-9FD5CF861072}"/>
    <cellStyle name="Normal 37 4 2" xfId="11136" xr:uid="{153FA8A0-BB99-4308-8211-3E3F997D8450}"/>
    <cellStyle name="Normal 37 5" xfId="6164" xr:uid="{F9E385FD-5F74-4900-87EC-0D94940E5E3E}"/>
    <cellStyle name="Normal 37 5 2" xfId="11638" xr:uid="{2A87FE3C-2FC5-4CF4-93CA-08E6B39F6A31}"/>
    <cellStyle name="Normal 37 6" xfId="3676" xr:uid="{62309DE4-C8E9-4F7F-98E5-B0E2AD5D2239}"/>
    <cellStyle name="Normal 37 7" xfId="7605" xr:uid="{2B149867-7695-418F-B7EC-AC3DDCC834E6}"/>
    <cellStyle name="Normal 37 8" xfId="9124" xr:uid="{5A5A1051-F1A9-4026-BC74-D4D175A480B4}"/>
    <cellStyle name="Normal 38" xfId="1976" xr:uid="{3E22A605-1271-47F5-8A99-8C9193AAA300}"/>
    <cellStyle name="Normal 38 2" xfId="6165" xr:uid="{E9D4667B-3286-4D5B-879A-DBE1E140DD4F}"/>
    <cellStyle name="Normal 38 3" xfId="7622" xr:uid="{EA571932-1D55-4FE8-B499-F0CD79FB2E53}"/>
    <cellStyle name="Normal 38 4" xfId="11639" xr:uid="{BF021E7C-0596-426C-9371-5C24309857CA}"/>
    <cellStyle name="Normal 39" xfId="2467" xr:uid="{DC8C4D68-55AB-46E0-84C4-E90242CCCAD1}"/>
    <cellStyle name="Normal 39 2" xfId="8113" xr:uid="{3CB528A7-9481-49E1-B529-B73640AE0B2A}"/>
    <cellStyle name="Normal 4" xfId="98" xr:uid="{00000000-0005-0000-0000-00004D010000}"/>
    <cellStyle name="Normal 4 10" xfId="6278" xr:uid="{5B81BC13-54CE-4CFF-AC76-21A8C921708E}"/>
    <cellStyle name="Normal 4 11" xfId="8117" xr:uid="{90EAA031-0E1C-4604-9602-0A82FE6B655F}"/>
    <cellStyle name="Normal 4 12" xfId="13257" xr:uid="{9F617814-0E90-46D5-87A9-2D78DAABD006}"/>
    <cellStyle name="Normal 4 13" xfId="517" xr:uid="{D1614F22-74C9-48A0-B192-6BCD6347DF6E}"/>
    <cellStyle name="Normal 4 2" xfId="118" xr:uid="{00000000-0005-0000-0000-00004E010000}"/>
    <cellStyle name="Normal 4 2 2" xfId="291" xr:uid="{00000000-0005-0000-0000-00004F010000}"/>
    <cellStyle name="Normal 4 3" xfId="163" xr:uid="{00000000-0005-0000-0000-000050010000}"/>
    <cellStyle name="Normal 4 3 10" xfId="13261" xr:uid="{16869C1A-0EC3-4F42-85D3-535E61602B98}"/>
    <cellStyle name="Normal 4 3 11" xfId="518" xr:uid="{81D7CFB0-A012-4C1A-A397-AD6EB8555096}"/>
    <cellStyle name="Normal 4 3 2" xfId="333" xr:uid="{00000000-0005-0000-0000-000051010000}"/>
    <cellStyle name="Normal 4 3 2 2" xfId="386" xr:uid="{00000000-0005-0000-0000-000052010000}"/>
    <cellStyle name="Normal 4 3 2 2 2" xfId="6361" xr:uid="{88723069-7C86-4CA4-9EB0-D4476ADF84CE}"/>
    <cellStyle name="Normal 4 3 2 2 3" xfId="11692" xr:uid="{419C9A0E-AEB8-49AF-AC39-DF646A662BE9}"/>
    <cellStyle name="Normal 4 3 2 2 4" xfId="13340" xr:uid="{1263FCB6-981B-4CEB-8F6E-44EAAF68EF80}"/>
    <cellStyle name="Normal 4 3 2 2 5" xfId="2594" xr:uid="{FAF3EE4A-775F-405E-B2D0-1568813EACE7}"/>
    <cellStyle name="Normal 4 3 2 3" xfId="437" xr:uid="{00000000-0005-0000-0000-000053010000}"/>
    <cellStyle name="Normal 4 3 2 3 2" xfId="6412" xr:uid="{A4183FBF-F8C0-42EE-AE60-859C17A68D7A}"/>
    <cellStyle name="Normal 4 3 2 3 3" xfId="13391" xr:uid="{941E098D-5AA9-4F4D-8FDD-1E47E1D70141}"/>
    <cellStyle name="Normal 4 3 2 3 4" xfId="2645" xr:uid="{DE4494AD-79C1-482F-ABB6-1B7E3925CCAB}"/>
    <cellStyle name="Normal 4 3 2 4" xfId="494" xr:uid="{00000000-0005-0000-0000-000054010000}"/>
    <cellStyle name="Normal 4 3 2 4 2" xfId="6468" xr:uid="{39030E8A-CB37-45DE-A3FB-6B6B170D555D}"/>
    <cellStyle name="Normal 4 3 2 4 3" xfId="13447" xr:uid="{785AE24C-32A6-4158-A43B-993810BDF5B9}"/>
    <cellStyle name="Normal 4 3 2 4 4" xfId="2701" xr:uid="{412D25D6-78E3-4924-B1EB-1318C31B12BF}"/>
    <cellStyle name="Normal 4 3 2 5" xfId="2542" xr:uid="{133502F8-50A1-47CD-8461-A22A5AB4C639}"/>
    <cellStyle name="Normal 4 3 2 5 2" xfId="6628" xr:uid="{A96DB4F0-F1AE-49C2-9028-03491D4803A1}"/>
    <cellStyle name="Normal 4 3 2 6" xfId="6310" xr:uid="{F9139F35-4A72-4B58-AFB5-AE40B9F31BE1}"/>
    <cellStyle name="Normal 4 3 2 7" xfId="13289" xr:uid="{B0D3B38F-97D7-4012-B759-A7F55AADD0EF}"/>
    <cellStyle name="Normal 4 3 2 8" xfId="980" xr:uid="{84090333-0736-46D2-A40B-226B57BB7C06}"/>
    <cellStyle name="Normal 4 3 3" xfId="345" xr:uid="{00000000-0005-0000-0000-000055010000}"/>
    <cellStyle name="Normal 4 3 3 2" xfId="2553" xr:uid="{F06595F4-88AF-4349-A7C3-24C0AB3D882F}"/>
    <cellStyle name="Normal 4 3 3 2 2" xfId="6513" xr:uid="{15F324B1-37FC-4FE9-8DB7-2DFEDDFE35A9}"/>
    <cellStyle name="Normal 4 3 3 2 3" xfId="13476" xr:uid="{93F288EE-3E68-4A20-AEEE-C10DE4173975}"/>
    <cellStyle name="Normal 4 3 3 3" xfId="6321" xr:uid="{5C3609F3-70C7-4249-A743-68AEC40AE09D}"/>
    <cellStyle name="Normal 4 3 3 4" xfId="9129" xr:uid="{F6C086FA-256C-44E7-9705-1CB74C07762E}"/>
    <cellStyle name="Normal 4 3 3 5" xfId="11731" xr:uid="{8FA5088A-7144-4ABE-9218-A0795E1B09D2}"/>
    <cellStyle name="Normal 4 3 3 6" xfId="13300" xr:uid="{F7452D8E-24E1-4F88-A60D-1A34474D7D99}"/>
    <cellStyle name="Normal 4 3 3 7" xfId="548" xr:uid="{897EB807-58CE-4011-BF24-70437822D649}"/>
    <cellStyle name="Normal 4 3 4" xfId="397" xr:uid="{00000000-0005-0000-0000-000056010000}"/>
    <cellStyle name="Normal 4 3 4 2" xfId="2605" xr:uid="{D60A68D0-0223-4BA8-B906-AC2AA5BC3C33}"/>
    <cellStyle name="Normal 4 3 4 2 2" xfId="7103" xr:uid="{FE99F184-5B73-4F8B-8D41-C904996AAB05}"/>
    <cellStyle name="Normal 4 3 4 2 3" xfId="13982" xr:uid="{CE1C8BA4-6329-43AB-958E-E8C3C03AAA78}"/>
    <cellStyle name="Normal 4 3 4 3" xfId="6372" xr:uid="{1222FE98-5922-4FB1-820E-C7A6C79B86EE}"/>
    <cellStyle name="Normal 4 3 4 4" xfId="11662" xr:uid="{139C5A7E-0D01-4D09-81A5-699681F58634}"/>
    <cellStyle name="Normal 4 3 4 5" xfId="12237" xr:uid="{CA376426-6918-4049-A0A5-5BB7125FC8D2}"/>
    <cellStyle name="Normal 4 3 4 6" xfId="13351" xr:uid="{9CC3E2D1-9E86-4BC3-B423-53BE519CB829}"/>
    <cellStyle name="Normal 4 3 4 7" xfId="1457" xr:uid="{68EF7F29-65F8-42F9-A3ED-E42E47CB3EE1}"/>
    <cellStyle name="Normal 4 3 5" xfId="465" xr:uid="{00000000-0005-0000-0000-000057010000}"/>
    <cellStyle name="Normal 4 3 5 2" xfId="2673" xr:uid="{15E2FB76-177B-4CD8-BC41-40CCA8633738}"/>
    <cellStyle name="Normal 4 3 5 2 2" xfId="7610" xr:uid="{B72FC195-9929-4A41-B4F2-7F47C119E4E9}"/>
    <cellStyle name="Normal 4 3 5 2 3" xfId="14488" xr:uid="{39DAA193-DF19-4324-B51A-BDA0AADE1708}"/>
    <cellStyle name="Normal 4 3 5 3" xfId="6440" xr:uid="{DD137D62-0C07-4E33-84D5-6471B2D00C7B}"/>
    <cellStyle name="Normal 4 3 5 4" xfId="12743" xr:uid="{B6AECDAA-6E58-4542-B5AD-E0497DC59A2B}"/>
    <cellStyle name="Normal 4 3 5 5" xfId="13419" xr:uid="{3538BD67-C58A-4887-8BB9-CD4E15F128B9}"/>
    <cellStyle name="Normal 4 3 5 6" xfId="1964" xr:uid="{38CBA0EC-B01C-4C0D-B193-124AEFFC38C9}"/>
    <cellStyle name="Normal 4 3 6" xfId="2490" xr:uid="{2E2913D6-D612-419C-B981-34D0D579BB88}"/>
    <cellStyle name="Normal 4 3 6 2" xfId="6488" xr:uid="{178BA0E7-8218-4493-9ECE-5604E6E39CCA}"/>
    <cellStyle name="Normal 4 3 6 3" xfId="13461" xr:uid="{C706F1DC-FD39-4A4E-BFE8-CBA3C85B4A04}"/>
    <cellStyle name="Normal 4 3 7" xfId="6282" xr:uid="{C488C3EE-A7D0-487A-8657-45D8B5F195C4}"/>
    <cellStyle name="Normal 4 3 8" xfId="8121" xr:uid="{23484FF5-9675-48EB-8236-7AECB34320F0}"/>
    <cellStyle name="Normal 4 3 9" xfId="11716" xr:uid="{D53D98B5-31AB-4C58-8222-6D17D67C08D1}"/>
    <cellStyle name="Normal 4 4" xfId="283" xr:uid="{00000000-0005-0000-0000-000058010000}"/>
    <cellStyle name="Normal 4 4 2" xfId="382" xr:uid="{00000000-0005-0000-0000-000059010000}"/>
    <cellStyle name="Normal 4 4 2 2" xfId="2590" xr:uid="{5DA659F7-B8C8-4998-9A30-D87B8DE355FF}"/>
    <cellStyle name="Normal 4 4 2 2 2" xfId="6520" xr:uid="{22F2B394-478B-427F-B7E4-2AD594A4F1B7}"/>
    <cellStyle name="Normal 4 4 2 3" xfId="6357" xr:uid="{6F32E9AD-4317-4208-A8DB-343E591DEEAB}"/>
    <cellStyle name="Normal 4 4 2 4" xfId="11688" xr:uid="{444C6622-524C-46EA-946E-462ABD8C0F0F}"/>
    <cellStyle name="Normal 4 4 2 5" xfId="13336" xr:uid="{42AA467D-A29F-4A7C-BAAB-0F3948E90DDB}"/>
    <cellStyle name="Normal 4 4 2 6" xfId="559" xr:uid="{3EB86878-A2E9-4339-872C-8366245895B4}"/>
    <cellStyle name="Normal 4 4 3" xfId="433" xr:uid="{00000000-0005-0000-0000-00005A010000}"/>
    <cellStyle name="Normal 4 4 3 2" xfId="6408" xr:uid="{EFDA0BE6-3184-42BD-A039-2A9D4AEA7FD5}"/>
    <cellStyle name="Normal 4 4 3 3" xfId="13387" xr:uid="{9184F308-1B35-42E6-813B-C9223BE134AB}"/>
    <cellStyle name="Normal 4 4 3 4" xfId="2641" xr:uid="{88C3967D-BED2-48F5-A495-867FFB0F3B2B}"/>
    <cellStyle name="Normal 4 4 4" xfId="490" xr:uid="{00000000-0005-0000-0000-00005B010000}"/>
    <cellStyle name="Normal 4 4 4 2" xfId="6464" xr:uid="{F93C3FAB-4F02-4934-AA3A-55E5A5245A4B}"/>
    <cellStyle name="Normal 4 4 4 3" xfId="13443" xr:uid="{FDC20E65-1FF5-4426-B355-67A5DE879A7E}"/>
    <cellStyle name="Normal 4 4 4 4" xfId="2697" xr:uid="{05D52303-5EB3-43D5-9779-F6A6BC70CABE}"/>
    <cellStyle name="Normal 4 4 5" xfId="2532" xr:uid="{84D51D0A-8876-441D-8D31-FD68852AABFA}"/>
    <cellStyle name="Normal 4 4 5 2" xfId="6489" xr:uid="{1BCFEB81-841A-4CA8-8522-89BBB9188A12}"/>
    <cellStyle name="Normal 4 4 5 3" xfId="13462" xr:uid="{FB32FA81-7A03-4C86-BB89-EFA3099181C3}"/>
    <cellStyle name="Normal 4 4 6" xfId="6306" xr:uid="{1C66CE6E-C5BC-426D-B6F2-32B7FDB36E59}"/>
    <cellStyle name="Normal 4 4 7" xfId="11717" xr:uid="{CC5686B9-8081-45F8-8CE5-94D69BEE067C}"/>
    <cellStyle name="Normal 4 4 8" xfId="13285" xr:uid="{45946463-6948-4CF3-B74E-3673107793DB}"/>
    <cellStyle name="Normal 4 4 9" xfId="519" xr:uid="{974251CD-8374-4482-A59B-6B47DD818255}"/>
    <cellStyle name="Normal 4 5" xfId="341" xr:uid="{00000000-0005-0000-0000-00005C010000}"/>
    <cellStyle name="Normal 4 5 2" xfId="2549" xr:uid="{0708CA35-93D4-41AC-8CBB-DBC3AD9E745F}"/>
    <cellStyle name="Normal 4 5 2 2" xfId="6586" xr:uid="{5EFA34FE-C7CC-4F47-B90B-389582D72A8F}"/>
    <cellStyle name="Normal 4 5 3" xfId="6317" xr:uid="{328BC6B2-E0AF-4406-AE22-15AD659F61E4}"/>
    <cellStyle name="Normal 4 5 4" xfId="13296" xr:uid="{9A71331D-3EEB-490F-89F0-E899ADFC8B05}"/>
    <cellStyle name="Normal 4 5 5" xfId="847" xr:uid="{C73A6DDA-E8D1-455C-B388-4E34ECB507E4}"/>
    <cellStyle name="Normal 4 6" xfId="393" xr:uid="{00000000-0005-0000-0000-00005D010000}"/>
    <cellStyle name="Normal 4 6 2" xfId="2601" xr:uid="{BFE5FDB6-76D3-47C7-A769-097E2D19C1B7}"/>
    <cellStyle name="Normal 4 6 2 2" xfId="6509" xr:uid="{C3612A71-A3C8-45FC-928B-6928779E3AE7}"/>
    <cellStyle name="Normal 4 6 2 3" xfId="13472" xr:uid="{15A3CFEB-9B0B-47EC-AAF3-6F0CC1EA8344}"/>
    <cellStyle name="Normal 4 6 3" xfId="6368" xr:uid="{350E13D0-3DCF-49A2-929B-83E823708C33}"/>
    <cellStyle name="Normal 4 6 4" xfId="9125" xr:uid="{EC190944-9BBA-42C8-889E-C513C9CE2A3D}"/>
    <cellStyle name="Normal 4 6 5" xfId="11727" xr:uid="{E1E2F501-3665-4D3D-8582-F0CDE2435B95}"/>
    <cellStyle name="Normal 4 6 6" xfId="13347" xr:uid="{A7A21B10-F61D-4AD2-84AC-C703C684533E}"/>
    <cellStyle name="Normal 4 6 7" xfId="544" xr:uid="{B5922512-2F2D-45C2-AA1F-F7708582427F}"/>
    <cellStyle name="Normal 4 7" xfId="461" xr:uid="{00000000-0005-0000-0000-00005E010000}"/>
    <cellStyle name="Normal 4 7 2" xfId="2669" xr:uid="{199A10B6-192A-49BB-A790-79502A5AAAE7}"/>
    <cellStyle name="Normal 4 7 2 2" xfId="7099" xr:uid="{2409B432-EAEC-4B8A-8A99-77E094B74166}"/>
    <cellStyle name="Normal 4 7 2 3" xfId="13978" xr:uid="{2CACDA36-2AA7-474A-A013-A93DA3298CA2}"/>
    <cellStyle name="Normal 4 7 3" xfId="6436" xr:uid="{BCB7646E-5EB0-4016-8E53-C4CA22B7E421}"/>
    <cellStyle name="Normal 4 7 4" xfId="11657" xr:uid="{529D0AFC-A916-499B-857D-C0C9E2729BB7}"/>
    <cellStyle name="Normal 4 7 5" xfId="12233" xr:uid="{4ECE6D58-C7F2-4BB5-A1F3-2A8F81C97573}"/>
    <cellStyle name="Normal 4 7 6" xfId="13415" xr:uid="{6368D9ED-4172-4027-A0AB-75E381338A1E}"/>
    <cellStyle name="Normal 4 7 7" xfId="1453" xr:uid="{4C7E185A-716E-4659-A29C-10AC87FEEB95}"/>
    <cellStyle name="Normal 4 8" xfId="1960" xr:uid="{A0D88DFB-77A7-4AB4-B376-3E44130F6783}"/>
    <cellStyle name="Normal 4 8 2" xfId="7606" xr:uid="{36A85CDA-13B1-4B83-B1B2-C0B8E121790C}"/>
    <cellStyle name="Normal 4 8 3" xfId="12739" xr:uid="{65249D58-728B-4489-8820-8C3633132266}"/>
    <cellStyle name="Normal 4 8 4" xfId="14484" xr:uid="{AE17A6D7-AFCC-443A-8CD4-D5E092069B28}"/>
    <cellStyle name="Normal 4 9" xfId="2485" xr:uid="{0415929D-6696-41C1-884D-C9F5BA73A830}"/>
    <cellStyle name="Normal 4 9 2" xfId="6487" xr:uid="{4AB36B00-B12B-4339-AC0C-0F031C04857E}"/>
    <cellStyle name="Normal 40" xfId="2468" xr:uid="{C05EEBC5-28D0-41AE-946A-2A3A641CB714}"/>
    <cellStyle name="Normal 40 2" xfId="8114" xr:uid="{C54AAAA2-C3A6-4B22-85F2-E129E879194A}"/>
    <cellStyle name="Normal 41" xfId="2469" xr:uid="{A5F1EB7C-B44B-4E4C-A1F7-13C900D1B466}"/>
    <cellStyle name="Normal 41 2" xfId="8115" xr:uid="{ABAD4095-69DA-4587-8174-20126D03C91D}"/>
    <cellStyle name="Normal 42" xfId="2483" xr:uid="{5AF45202-5B5A-4C20-B26D-52D218FB4E12}"/>
    <cellStyle name="Normal 42 2" xfId="6475" xr:uid="{7D900BF3-C1CA-434E-9E89-99FD74509549}"/>
    <cellStyle name="Normal 43" xfId="2484" xr:uid="{9247922A-2586-443D-ADAC-7E6D58A55377}"/>
    <cellStyle name="Normal 44" xfId="2495" xr:uid="{02609367-F105-43B8-84A6-AE0A442DA58F}"/>
    <cellStyle name="Normal 45" xfId="502" xr:uid="{00000000-0005-0000-0000-00005F010000}"/>
    <cellStyle name="Normal 46" xfId="8116" xr:uid="{E2C55D67-CE80-48EB-B881-8C38C9A79E10}"/>
    <cellStyle name="Normal 47" xfId="503" xr:uid="{00000000-0005-0000-0000-000060010000}"/>
    <cellStyle name="Normal 48" xfId="14990" xr:uid="{89C4CEF1-2C18-4AD5-ACE4-9629C4D99D6B}"/>
    <cellStyle name="Normal 49" xfId="505" xr:uid="{DC3F452F-1455-437E-9B91-6AE80E0BE464}"/>
    <cellStyle name="Normal 5" xfId="70" xr:uid="{00000000-0005-0000-0000-000061010000}"/>
    <cellStyle name="Normal 5 2" xfId="119" xr:uid="{00000000-0005-0000-0000-000062010000}"/>
    <cellStyle name="Normal 5 2 2" xfId="292" xr:uid="{00000000-0005-0000-0000-000063010000}"/>
    <cellStyle name="Normal 5 3" xfId="521" xr:uid="{F49815BF-9BDE-4D2F-8CA1-F7CABDEC362D}"/>
    <cellStyle name="Normal 5 3 2" xfId="981" xr:uid="{21CC3D7F-D1F2-4DA0-BB89-64DEBEDCE648}"/>
    <cellStyle name="Normal 5 3 3" xfId="560" xr:uid="{41C5B82F-0A0A-4D1F-8846-FE84F4EA6C35}"/>
    <cellStyle name="Normal 5 4" xfId="848" xr:uid="{CCC84BE0-8D90-4B16-8577-35F743FCC88B}"/>
    <cellStyle name="Normal 5 5" xfId="6490" xr:uid="{551178A4-75C3-4FB9-A341-B2EADF2AA92D}"/>
    <cellStyle name="Normal 5 6" xfId="520" xr:uid="{0E78D533-2F6F-4220-948D-24DA5A755F0F}"/>
    <cellStyle name="Normal 6" xfId="71" xr:uid="{00000000-0005-0000-0000-000064010000}"/>
    <cellStyle name="Normal 6 10" xfId="970" xr:uid="{1ADE8D6D-250F-4FAA-B252-295180B0EC03}"/>
    <cellStyle name="Normal 6 10 10" xfId="2726" xr:uid="{ABC8A411-D893-4E0B-8721-4F30EBFD07AB}"/>
    <cellStyle name="Normal 6 10 11" xfId="6621" xr:uid="{9085F812-D641-4D97-B537-816EA82B7FFC}"/>
    <cellStyle name="Normal 6 10 12" xfId="8148" xr:uid="{FEF6CA58-A784-47C9-AC87-15749EE2FBEF}"/>
    <cellStyle name="Normal 6 10 13" xfId="11758" xr:uid="{1AD4CA15-F85E-436F-8C67-C2B5350D6CAC}"/>
    <cellStyle name="Normal 6 10 14" xfId="13503" xr:uid="{56B30A9A-E4C1-4827-945D-E83DE3009E09}"/>
    <cellStyle name="Normal 6 10 2" xfId="1056" xr:uid="{CC052703-B559-44BC-88E4-3B23564E9274}"/>
    <cellStyle name="Normal 6 10 2 10" xfId="6702" xr:uid="{498F2B2D-D7E9-4E40-B214-32FC0555B1D4}"/>
    <cellStyle name="Normal 6 10 2 11" xfId="8226" xr:uid="{932A9D10-D691-43AD-A7A7-75B2CC62F52B}"/>
    <cellStyle name="Normal 6 10 2 12" xfId="11836" xr:uid="{473C167E-1B8C-4373-B021-2A8BF43A95B5}"/>
    <cellStyle name="Normal 6 10 2 13" xfId="13581" xr:uid="{9BCE8474-7C9B-482F-96D8-2489B48D414F}"/>
    <cellStyle name="Normal 6 10 2 2" xfId="1180" xr:uid="{564C1B77-CEAE-461A-B7A5-81684AAF0A15}"/>
    <cellStyle name="Normal 6 10 2 2 10" xfId="8350" xr:uid="{370AC5FD-8AEC-4143-B13E-2A04967F9EA4}"/>
    <cellStyle name="Normal 6 10 2 2 11" xfId="11960" xr:uid="{089C3F97-0C91-4111-890C-ADEE31FC557E}"/>
    <cellStyle name="Normal 6 10 2 2 12" xfId="13705" xr:uid="{2DA6FFC9-F162-4B94-8672-3AC5539AD4A4}"/>
    <cellStyle name="Normal 6 10 2 2 2" xfId="1428" xr:uid="{42656233-6CCF-4864-AAE1-FE1CD3678367}"/>
    <cellStyle name="Normal 6 10 2 2 2 10" xfId="12208" xr:uid="{60B0A186-2BDD-4E3F-9B00-41A596BA5529}"/>
    <cellStyle name="Normal 6 10 2 2 2 11" xfId="13953" xr:uid="{F21A731A-2933-469B-91A5-A9F0A0C6CE95}"/>
    <cellStyle name="Normal 6 10 2 2 2 2" xfId="1934" xr:uid="{51FEE63B-FB5B-4324-A7A1-786BB6A68322}"/>
    <cellStyle name="Normal 6 10 2 2 2 2 2" xfId="4656" xr:uid="{3FA59DF3-4FC5-4452-94BB-BD3DF89990BF}"/>
    <cellStyle name="Normal 6 10 2 2 2 2 2 2" xfId="10102" xr:uid="{09F26145-2EB2-481F-8163-C2FA90F2F9AD}"/>
    <cellStyle name="Normal 6 10 2 2 2 2 3" xfId="3646" xr:uid="{9CCDB71D-2E52-4F1B-B168-6E10DF30A391}"/>
    <cellStyle name="Normal 6 10 2 2 2 2 4" xfId="7580" xr:uid="{F5C71C42-987B-4FC5-9D27-5F4D08107656}"/>
    <cellStyle name="Normal 6 10 2 2 2 2 5" xfId="9094" xr:uid="{E108C592-8010-4BFC-8F61-2A3A7171D228}"/>
    <cellStyle name="Normal 6 10 2 2 2 2 6" xfId="12714" xr:uid="{F8F6039B-CBA4-4296-9EAE-68E3220D788A}"/>
    <cellStyle name="Normal 6 10 2 2 2 2 7" xfId="14459" xr:uid="{4AEF3D42-F8FE-49AF-8A0F-3728388E3AF7}"/>
    <cellStyle name="Normal 6 10 2 2 2 3" xfId="2442" xr:uid="{93078BC4-66CF-4E8F-80FF-C066A7DD8261}"/>
    <cellStyle name="Normal 6 10 2 2 2 3 2" xfId="4162" xr:uid="{3408A36E-97EA-46DC-AC8A-9F9D51A7A3F9}"/>
    <cellStyle name="Normal 6 10 2 2 2 3 3" xfId="8088" xr:uid="{24DABB19-5CBD-4931-8376-FBC32AAC1515}"/>
    <cellStyle name="Normal 6 10 2 2 2 3 4" xfId="9606" xr:uid="{5A69DE4B-DAE5-4175-B3C3-B5F73CA855EB}"/>
    <cellStyle name="Normal 6 10 2 2 2 3 5" xfId="13220" xr:uid="{A47F65E0-E82C-4856-9ADF-470B6A47D55F}"/>
    <cellStyle name="Normal 6 10 2 2 2 3 6" xfId="14965" xr:uid="{4F560D0E-A22F-4F6E-A21E-6EABE18519F4}"/>
    <cellStyle name="Normal 6 10 2 2 2 4" xfId="5134" xr:uid="{8D26DB2C-E2C9-446B-93CA-7834F1F1D8EE}"/>
    <cellStyle name="Normal 6 10 2 2 2 4 2" xfId="10604" xr:uid="{218A5128-8A09-4142-B451-1F100B5D4AAD}"/>
    <cellStyle name="Normal 6 10 2 2 2 5" xfId="5632" xr:uid="{788C516B-EE50-4F2E-BEE3-B301D6E9E394}"/>
    <cellStyle name="Normal 6 10 2 2 2 5 2" xfId="11106" xr:uid="{DD72A516-E492-453E-8435-46355A5A5359}"/>
    <cellStyle name="Normal 6 10 2 2 2 6" xfId="6134" xr:uid="{1E93DB95-0C35-4F69-9492-E097E56C3234}"/>
    <cellStyle name="Normal 6 10 2 2 2 6 2" xfId="11608" xr:uid="{C3AAB6CB-1815-4BAD-B985-BC83D47B52EF}"/>
    <cellStyle name="Normal 6 10 2 2 2 7" xfId="3152" xr:uid="{CC8F7369-331D-47BA-91C6-51E8847DC5C3}"/>
    <cellStyle name="Normal 6 10 2 2 2 8" xfId="7074" xr:uid="{B6427AAA-1051-4BF6-A19E-6482B9BB82B5}"/>
    <cellStyle name="Normal 6 10 2 2 2 9" xfId="8598" xr:uid="{E8652D08-E517-48F3-B6EE-178E086DA0D4}"/>
    <cellStyle name="Normal 6 10 2 2 3" xfId="1686" xr:uid="{53DFACAC-A462-462D-B80B-F548EF257E96}"/>
    <cellStyle name="Normal 6 10 2 2 3 2" xfId="4408" xr:uid="{3A511B04-3D1D-4A26-A93A-1E6B131AC270}"/>
    <cellStyle name="Normal 6 10 2 2 3 2 2" xfId="9854" xr:uid="{E7A9968F-8DD5-4514-9CB1-9DC65DCC1A26}"/>
    <cellStyle name="Normal 6 10 2 2 3 3" xfId="3398" xr:uid="{24216F49-F800-40A9-89B3-68BB79C0EAE0}"/>
    <cellStyle name="Normal 6 10 2 2 3 4" xfId="7332" xr:uid="{DE40C7DB-F475-4555-8118-A42847ED2A6D}"/>
    <cellStyle name="Normal 6 10 2 2 3 5" xfId="8846" xr:uid="{37F902D8-226B-403A-8510-7116569FE726}"/>
    <cellStyle name="Normal 6 10 2 2 3 6" xfId="12466" xr:uid="{3EA844D4-6173-4C1B-BE04-63B44F1372CE}"/>
    <cellStyle name="Normal 6 10 2 2 3 7" xfId="14211" xr:uid="{64C6A3EF-65C3-48C1-9E33-3F2984DC3067}"/>
    <cellStyle name="Normal 6 10 2 2 4" xfId="2194" xr:uid="{410FAB36-036F-41B3-97BE-23B95A47F786}"/>
    <cellStyle name="Normal 6 10 2 2 4 2" xfId="3914" xr:uid="{A1E0BBDD-CC08-4164-B45A-53CFF627B84E}"/>
    <cellStyle name="Normal 6 10 2 2 4 3" xfId="7840" xr:uid="{8034A635-6095-4FF3-8616-2CD749887403}"/>
    <cellStyle name="Normal 6 10 2 2 4 4" xfId="9358" xr:uid="{BAA786F4-35FF-47E9-B8C1-59931100B6F5}"/>
    <cellStyle name="Normal 6 10 2 2 4 5" xfId="12972" xr:uid="{6193E8EC-CD93-42CF-B9D7-AFF7FD412C23}"/>
    <cellStyle name="Normal 6 10 2 2 4 6" xfId="14717" xr:uid="{2F2497B5-D3C6-4C4C-8A3E-4EB8D66EC1CA}"/>
    <cellStyle name="Normal 6 10 2 2 5" xfId="4895" xr:uid="{115ED9EC-30FB-46EF-832D-2E8AA9040331}"/>
    <cellStyle name="Normal 6 10 2 2 5 2" xfId="10356" xr:uid="{5FBE514C-8B63-407E-958B-B5EF72D87EF9}"/>
    <cellStyle name="Normal 6 10 2 2 6" xfId="5384" xr:uid="{180BBC44-7215-40F3-8E31-515F9208497A}"/>
    <cellStyle name="Normal 6 10 2 2 6 2" xfId="10858" xr:uid="{FC3C6434-D54C-456F-A7DF-83188F814F24}"/>
    <cellStyle name="Normal 6 10 2 2 7" xfId="5886" xr:uid="{B253148A-6FCE-4976-91B9-E918AAA0F7D4}"/>
    <cellStyle name="Normal 6 10 2 2 7 2" xfId="11360" xr:uid="{4A7391A3-566D-416F-9CDD-828A371F6580}"/>
    <cellStyle name="Normal 6 10 2 2 8" xfId="2911" xr:uid="{0828789D-C213-4A4A-B7F0-6BEBFD61D21A}"/>
    <cellStyle name="Normal 6 10 2 2 9" xfId="6826" xr:uid="{DC6853AA-B8EF-45EC-83BA-D6D29E03EA37}"/>
    <cellStyle name="Normal 6 10 2 3" xfId="1304" xr:uid="{99B30049-9622-45B5-8FFE-383D274E4F15}"/>
    <cellStyle name="Normal 6 10 2 3 10" xfId="12084" xr:uid="{347D03A8-DCA7-4DDF-AC4E-A73BD2ABE944}"/>
    <cellStyle name="Normal 6 10 2 3 11" xfId="13829" xr:uid="{521F4573-98C2-472E-B5B2-CF601288A390}"/>
    <cellStyle name="Normal 6 10 2 3 2" xfId="1810" xr:uid="{DB44FD18-EB02-49B9-ADEB-518DBED2149E}"/>
    <cellStyle name="Normal 6 10 2 3 2 2" xfId="4532" xr:uid="{84E6470C-DED1-4C38-B90D-8726D99038CA}"/>
    <cellStyle name="Normal 6 10 2 3 2 2 2" xfId="9978" xr:uid="{0E9D7FCA-DFC5-4A4B-ACFE-0339A726F05A}"/>
    <cellStyle name="Normal 6 10 2 3 2 3" xfId="3522" xr:uid="{EC025A61-9319-4552-A339-C95171B0D86B}"/>
    <cellStyle name="Normal 6 10 2 3 2 4" xfId="7456" xr:uid="{1A2A533B-DFAB-41F3-9D37-CFE1035963D3}"/>
    <cellStyle name="Normal 6 10 2 3 2 5" xfId="8970" xr:uid="{6874B0E2-F570-4188-990A-A4FDBCA4DBB7}"/>
    <cellStyle name="Normal 6 10 2 3 2 6" xfId="12590" xr:uid="{EEC24ECB-A1C6-4083-BB96-4828C2C391D1}"/>
    <cellStyle name="Normal 6 10 2 3 2 7" xfId="14335" xr:uid="{4C43BD31-908C-4505-AF39-1954B91604C8}"/>
    <cellStyle name="Normal 6 10 2 3 3" xfId="2318" xr:uid="{461AC3BD-008E-415A-97E3-3FE38C064C49}"/>
    <cellStyle name="Normal 6 10 2 3 3 2" xfId="4038" xr:uid="{7B909C3A-FC67-437D-8133-161B7A2E7941}"/>
    <cellStyle name="Normal 6 10 2 3 3 3" xfId="7964" xr:uid="{8F01326C-2E56-4218-B77E-24C2415F93E5}"/>
    <cellStyle name="Normal 6 10 2 3 3 4" xfId="9482" xr:uid="{1138F88A-54E2-4ABC-A99B-8134B2EF88C7}"/>
    <cellStyle name="Normal 6 10 2 3 3 5" xfId="13096" xr:uid="{DB83E23A-6124-420B-A246-2FC9C2178CFA}"/>
    <cellStyle name="Normal 6 10 2 3 3 6" xfId="14841" xr:uid="{D560D59F-4C9D-40A3-B16F-AE13CB066990}"/>
    <cellStyle name="Normal 6 10 2 3 4" xfId="5011" xr:uid="{1320E501-2322-4E04-8D94-F1413974D557}"/>
    <cellStyle name="Normal 6 10 2 3 4 2" xfId="10480" xr:uid="{7FB03932-0D24-46D0-97C7-C6A93AD996D0}"/>
    <cellStyle name="Normal 6 10 2 3 5" xfId="5508" xr:uid="{6AF8514F-1713-47A4-A275-4E0DF9D84CE3}"/>
    <cellStyle name="Normal 6 10 2 3 5 2" xfId="10982" xr:uid="{CE1F4D3F-A9CB-4261-9938-D01A8D21C40B}"/>
    <cellStyle name="Normal 6 10 2 3 6" xfId="6010" xr:uid="{D8A161C2-C1A4-4B40-99F7-70FA0712F19E}"/>
    <cellStyle name="Normal 6 10 2 3 6 2" xfId="11484" xr:uid="{46D31B5D-7529-4E42-B037-3CF520D2E1BB}"/>
    <cellStyle name="Normal 6 10 2 3 7" xfId="3029" xr:uid="{3E2FB6AB-3B18-4187-81E2-93F74A2473BB}"/>
    <cellStyle name="Normal 6 10 2 3 8" xfId="6950" xr:uid="{9E6B3B87-385C-4965-8287-35198802E6C3}"/>
    <cellStyle name="Normal 6 10 2 3 9" xfId="8474" xr:uid="{0479A23C-2FDE-4F51-B5F6-0C771C575283}"/>
    <cellStyle name="Normal 6 10 2 4" xfId="1562" xr:uid="{5805F5F5-3083-4F2C-99C1-4AF98E2C012C}"/>
    <cellStyle name="Normal 6 10 2 4 2" xfId="4285" xr:uid="{BAF78C7A-69AB-4C47-8405-B7E62ED115E5}"/>
    <cellStyle name="Normal 6 10 2 4 2 2" xfId="9730" xr:uid="{0AA08325-0AFF-4A32-A012-4F86F66B7722}"/>
    <cellStyle name="Normal 6 10 2 4 3" xfId="3275" xr:uid="{9963659D-5A99-4EAF-8B01-254929E990F2}"/>
    <cellStyle name="Normal 6 10 2 4 4" xfId="7208" xr:uid="{C7F7C547-9977-4B8C-84E0-EE4E84359A01}"/>
    <cellStyle name="Normal 6 10 2 4 5" xfId="8722" xr:uid="{A4A7B452-0B47-4C25-9E8A-AABC2639A885}"/>
    <cellStyle name="Normal 6 10 2 4 6" xfId="12342" xr:uid="{608647AE-0806-4715-9C31-8A229D15562E}"/>
    <cellStyle name="Normal 6 10 2 4 7" xfId="14087" xr:uid="{A6FCDF5A-4FE7-4705-8F6D-BCCB7BBDC879}"/>
    <cellStyle name="Normal 6 10 2 5" xfId="2070" xr:uid="{C5D2128E-23DB-4280-A028-4B54765335C6}"/>
    <cellStyle name="Normal 6 10 2 5 2" xfId="3790" xr:uid="{35A42F08-F174-4595-93F6-E8CBFFFB916A}"/>
    <cellStyle name="Normal 6 10 2 5 3" xfId="7716" xr:uid="{B90EABD7-AA8F-4192-8361-A95A7623011C}"/>
    <cellStyle name="Normal 6 10 2 5 4" xfId="9234" xr:uid="{C7CA8ADC-BE25-41C1-A3AA-6E6142450331}"/>
    <cellStyle name="Normal 6 10 2 5 5" xfId="12848" xr:uid="{33EF3CD1-5424-4D12-B9BB-2A3751C20624}"/>
    <cellStyle name="Normal 6 10 2 5 6" xfId="14593" xr:uid="{AE6D8F89-7FFF-4A48-BD7E-2FF84EB020D5}"/>
    <cellStyle name="Normal 6 10 2 6" xfId="4781" xr:uid="{EA877348-63B3-42E9-9564-DE5AEA36B82F}"/>
    <cellStyle name="Normal 6 10 2 6 2" xfId="10232" xr:uid="{84DD7E80-A18D-4169-8AC9-1D8A5678B43B}"/>
    <cellStyle name="Normal 6 10 2 7" xfId="5260" xr:uid="{63048303-0715-45B4-973B-F1D5D41F41B6}"/>
    <cellStyle name="Normal 6 10 2 7 2" xfId="10734" xr:uid="{DAF16862-FBBC-4AFA-AE13-7041A6C1558E}"/>
    <cellStyle name="Normal 6 10 2 8" xfId="5762" xr:uid="{F996F8AE-7028-4003-A9DB-9A836FD8CC58}"/>
    <cellStyle name="Normal 6 10 2 8 2" xfId="11236" xr:uid="{F3592694-60A7-4585-AD49-C49E820584DB}"/>
    <cellStyle name="Normal 6 10 2 9" xfId="2797" xr:uid="{2CF6D944-7031-41AE-AB91-2C8C2515332C}"/>
    <cellStyle name="Normal 6 10 3" xfId="1102" xr:uid="{BD714D07-4F73-4DF8-AEA8-61F0B1653184}"/>
    <cellStyle name="Normal 6 10 3 10" xfId="8272" xr:uid="{BC81FB09-BDDF-4A91-9BF1-F5DB44E03E8C}"/>
    <cellStyle name="Normal 6 10 3 11" xfId="11882" xr:uid="{151AB338-20DD-4344-9D91-32435E489EF0}"/>
    <cellStyle name="Normal 6 10 3 12" xfId="13627" xr:uid="{267AFB4D-68EB-452E-9075-360BBCD4880C}"/>
    <cellStyle name="Normal 6 10 3 2" xfId="1350" xr:uid="{2595CB4F-6FA6-4F18-9CCE-DAD6D26C8CFE}"/>
    <cellStyle name="Normal 6 10 3 2 10" xfId="12130" xr:uid="{9DB1C62A-5AB8-4D8C-A5F6-E20874550761}"/>
    <cellStyle name="Normal 6 10 3 2 11" xfId="13875" xr:uid="{67DB370E-7453-4725-843F-F964740DD086}"/>
    <cellStyle name="Normal 6 10 3 2 2" xfId="1856" xr:uid="{3FDA0BE9-3E89-40C4-914B-121D540BEC96}"/>
    <cellStyle name="Normal 6 10 3 2 2 2" xfId="4578" xr:uid="{8182C1E9-2A9A-43CE-B001-F56AAC36ABB0}"/>
    <cellStyle name="Normal 6 10 3 2 2 2 2" xfId="10024" xr:uid="{C2089519-1290-42F0-AE3F-A71C9BB7EDED}"/>
    <cellStyle name="Normal 6 10 3 2 2 3" xfId="3568" xr:uid="{7F00F52D-D5D1-4593-896C-8B954C8BBD2C}"/>
    <cellStyle name="Normal 6 10 3 2 2 4" xfId="7502" xr:uid="{02DD0664-E8EE-48B6-80AA-F728ABEE5972}"/>
    <cellStyle name="Normal 6 10 3 2 2 5" xfId="9016" xr:uid="{048A6410-BFF6-4406-A4F8-7D58FDBEAC8D}"/>
    <cellStyle name="Normal 6 10 3 2 2 6" xfId="12636" xr:uid="{DA749746-F0D7-4FB1-A139-5F9FFF5B1F4F}"/>
    <cellStyle name="Normal 6 10 3 2 2 7" xfId="14381" xr:uid="{439668CC-5B9B-4A0A-94E2-12EE9E3347F3}"/>
    <cellStyle name="Normal 6 10 3 2 3" xfId="2364" xr:uid="{932821C0-3D05-4F42-B636-FE546B3EC8A4}"/>
    <cellStyle name="Normal 6 10 3 2 3 2" xfId="4084" xr:uid="{7599C8B6-BBCF-49BD-B761-51F2DACE0AE3}"/>
    <cellStyle name="Normal 6 10 3 2 3 3" xfId="8010" xr:uid="{D31428C0-63A1-49A0-B404-E50B78A71B3E}"/>
    <cellStyle name="Normal 6 10 3 2 3 4" xfId="9528" xr:uid="{CB5454F7-C0DB-4816-909A-8A7B13DAE310}"/>
    <cellStyle name="Normal 6 10 3 2 3 5" xfId="13142" xr:uid="{1F3333A2-C432-4955-AF21-C972EF7A9064}"/>
    <cellStyle name="Normal 6 10 3 2 3 6" xfId="14887" xr:uid="{FF7D6468-C019-46A4-AB1A-F9F09F6EF1D2}"/>
    <cellStyle name="Normal 6 10 3 2 4" xfId="5056" xr:uid="{7C674967-95ED-48BD-BB57-A4F8E15005AB}"/>
    <cellStyle name="Normal 6 10 3 2 4 2" xfId="10526" xr:uid="{CAA62212-8E9D-4D17-8841-9C6727ABC699}"/>
    <cellStyle name="Normal 6 10 3 2 5" xfId="5554" xr:uid="{10CE291D-9FBC-41DE-A4AE-1C20BF772166}"/>
    <cellStyle name="Normal 6 10 3 2 5 2" xfId="11028" xr:uid="{58E14B1F-9FDE-4B62-9699-7B59F7221F3C}"/>
    <cellStyle name="Normal 6 10 3 2 6" xfId="6056" xr:uid="{5C9F79CE-711E-4672-88DD-650572D16A21}"/>
    <cellStyle name="Normal 6 10 3 2 6 2" xfId="11530" xr:uid="{2D3B2778-E309-47C5-993A-2F758F10AD36}"/>
    <cellStyle name="Normal 6 10 3 2 7" xfId="3074" xr:uid="{242C4769-4AD3-4EF4-AFA9-95A377CD214C}"/>
    <cellStyle name="Normal 6 10 3 2 8" xfId="6996" xr:uid="{CF84CCD7-233A-4DE7-83F2-D31E8CC8F245}"/>
    <cellStyle name="Normal 6 10 3 2 9" xfId="8520" xr:uid="{863A1668-A3FC-4EEF-B3E2-EBBCC2F8828B}"/>
    <cellStyle name="Normal 6 10 3 3" xfId="1608" xr:uid="{F1770A24-777C-4F2D-B8F4-DD5B88770E87}"/>
    <cellStyle name="Normal 6 10 3 3 2" xfId="4330" xr:uid="{29F71A08-B42B-433A-B0B7-0C952EC785C8}"/>
    <cellStyle name="Normal 6 10 3 3 2 2" xfId="9776" xr:uid="{12886A74-A13A-4F62-AC62-DEBA4F3DA231}"/>
    <cellStyle name="Normal 6 10 3 3 3" xfId="3320" xr:uid="{BBA31438-C429-4287-AB5A-CF2B3CE34C3F}"/>
    <cellStyle name="Normal 6 10 3 3 4" xfId="7254" xr:uid="{1CBF7B9A-F830-4157-8569-4911D97178A1}"/>
    <cellStyle name="Normal 6 10 3 3 5" xfId="8768" xr:uid="{7C8F9626-958A-47F5-B03B-7BA1794FF891}"/>
    <cellStyle name="Normal 6 10 3 3 6" xfId="12388" xr:uid="{8F7AB612-AE9B-40D1-AF26-9C27086ED613}"/>
    <cellStyle name="Normal 6 10 3 3 7" xfId="14133" xr:uid="{C8296E69-1EB9-4761-82B9-D134872695E7}"/>
    <cellStyle name="Normal 6 10 3 4" xfId="2116" xr:uid="{9C7F57E6-B10C-466F-ACBC-19091E0954D7}"/>
    <cellStyle name="Normal 6 10 3 4 2" xfId="3836" xr:uid="{577D9ECA-228B-469C-9AB7-4CB87BB4F95C}"/>
    <cellStyle name="Normal 6 10 3 4 3" xfId="7762" xr:uid="{B6E529DF-6810-48A1-A2E9-0D491EBCF772}"/>
    <cellStyle name="Normal 6 10 3 4 4" xfId="9280" xr:uid="{46C63775-F990-44CA-A2C0-1702A6B771DD}"/>
    <cellStyle name="Normal 6 10 3 4 5" xfId="12894" xr:uid="{6CF1C06C-0103-4FB2-AE13-2608010FF3E7}"/>
    <cellStyle name="Normal 6 10 3 4 6" xfId="14639" xr:uid="{D460B700-5BD6-4547-932A-2007155FA9A9}"/>
    <cellStyle name="Normal 6 10 3 5" xfId="4822" xr:uid="{24C66EC1-A6D1-410F-94B4-EE51D8CAF39C}"/>
    <cellStyle name="Normal 6 10 3 5 2" xfId="10278" xr:uid="{150319E5-A468-4927-8771-3FF20F86F948}"/>
    <cellStyle name="Normal 6 10 3 6" xfId="5306" xr:uid="{A92B8FF7-327D-4781-AB0E-A0A5D93042D6}"/>
    <cellStyle name="Normal 6 10 3 6 2" xfId="10780" xr:uid="{3C19D913-E96A-48B4-81DD-443BAD480C74}"/>
    <cellStyle name="Normal 6 10 3 7" xfId="5808" xr:uid="{8E1510F2-90E0-4829-846D-32BD75E546E1}"/>
    <cellStyle name="Normal 6 10 3 7 2" xfId="11282" xr:uid="{DEDBCA7D-A08E-4C6F-9E0F-51316B686B99}"/>
    <cellStyle name="Normal 6 10 3 8" xfId="2838" xr:uid="{104DEF0E-3FC7-496E-8E69-D493134D00A8}"/>
    <cellStyle name="Normal 6 10 3 9" xfId="6748" xr:uid="{D5DBC8F3-ACC5-47E6-BDBF-A42999DDD125}"/>
    <cellStyle name="Normal 6 10 4" xfId="1226" xr:uid="{F2EF55AC-3037-488F-BDA6-CC4F78BB661D}"/>
    <cellStyle name="Normal 6 10 4 10" xfId="12006" xr:uid="{D288EBF0-4ED9-4571-BCC3-BD15A12D8ED4}"/>
    <cellStyle name="Normal 6 10 4 11" xfId="13751" xr:uid="{6EE5FE10-2C81-4911-A9FE-5E44211AA58D}"/>
    <cellStyle name="Normal 6 10 4 2" xfId="1732" xr:uid="{714178F9-0CC6-44C0-8054-8483C68ED760}"/>
    <cellStyle name="Normal 6 10 4 2 2" xfId="4454" xr:uid="{BA54D601-540F-4C49-9136-4C7CB511A3CB}"/>
    <cellStyle name="Normal 6 10 4 2 2 2" xfId="9900" xr:uid="{39E33BC1-570E-4CF5-8B5B-5F78610C5701}"/>
    <cellStyle name="Normal 6 10 4 2 3" xfId="3444" xr:uid="{E91431E6-9A95-4A20-87E0-E8CB2610D0F2}"/>
    <cellStyle name="Normal 6 10 4 2 4" xfId="7378" xr:uid="{6AB2D729-DFE2-441F-8AF1-83F94E0E900B}"/>
    <cellStyle name="Normal 6 10 4 2 5" xfId="8892" xr:uid="{20328D78-947A-4F7A-84AF-FE80B295998C}"/>
    <cellStyle name="Normal 6 10 4 2 6" xfId="12512" xr:uid="{31B1CE49-065D-484E-8D61-B41A98AE60B7}"/>
    <cellStyle name="Normal 6 10 4 2 7" xfId="14257" xr:uid="{495C2324-AEBB-4999-9616-6E4FB2ECA66B}"/>
    <cellStyle name="Normal 6 10 4 3" xfId="2240" xr:uid="{9AF164A1-630D-40F4-8EB3-D09F9C5D45F3}"/>
    <cellStyle name="Normal 6 10 4 3 2" xfId="3960" xr:uid="{18B183E2-B69B-4D5C-9249-E4FBF5175EA8}"/>
    <cellStyle name="Normal 6 10 4 3 3" xfId="7886" xr:uid="{19966B63-A61F-4154-98D3-36969A71D104}"/>
    <cellStyle name="Normal 6 10 4 3 4" xfId="9404" xr:uid="{28CD48BA-DFB9-412D-9F97-97C9A585E2D8}"/>
    <cellStyle name="Normal 6 10 4 3 5" xfId="13018" xr:uid="{3B517B62-3D2C-47A5-850E-E8655D7E84EC}"/>
    <cellStyle name="Normal 6 10 4 3 6" xfId="14763" xr:uid="{65D69F60-148E-444F-95C1-1A0B5411BEE6}"/>
    <cellStyle name="Normal 6 10 4 4" xfId="4938" xr:uid="{7BE01CDF-F068-4EBA-A49A-02CD62201F1D}"/>
    <cellStyle name="Normal 6 10 4 4 2" xfId="10402" xr:uid="{3C9B4715-8B08-4D8D-8909-FABA9AB5937C}"/>
    <cellStyle name="Normal 6 10 4 5" xfId="5430" xr:uid="{5D0A2D61-E3B7-48C9-B35B-7D47A285C089}"/>
    <cellStyle name="Normal 6 10 4 5 2" xfId="10904" xr:uid="{40D69EA9-3BC5-4E9D-A22E-62B51A6175D6}"/>
    <cellStyle name="Normal 6 10 4 6" xfId="5932" xr:uid="{723802DA-034C-48E8-ABDB-2685446C362E}"/>
    <cellStyle name="Normal 6 10 4 6 2" xfId="11406" xr:uid="{35887166-0D48-49BD-AD54-4C4A609DDF78}"/>
    <cellStyle name="Normal 6 10 4 7" xfId="2956" xr:uid="{54773A5D-6E6D-4277-A3CC-8B813E980F50}"/>
    <cellStyle name="Normal 6 10 4 8" xfId="6872" xr:uid="{B5F62E29-713F-44ED-8C63-A5F65389D7EE}"/>
    <cellStyle name="Normal 6 10 4 9" xfId="8396" xr:uid="{071525CB-5776-44B4-BF32-FA9802D45EEA}"/>
    <cellStyle name="Normal 6 10 5" xfId="1484" xr:uid="{02BE8497-E360-471C-BD44-211466405716}"/>
    <cellStyle name="Normal 6 10 5 2" xfId="4208" xr:uid="{11E9C5D5-34AF-4728-8322-99C36A083A7A}"/>
    <cellStyle name="Normal 6 10 5 2 2" xfId="9652" xr:uid="{5C50689C-1317-423E-9662-56F5096E8034}"/>
    <cellStyle name="Normal 6 10 5 3" xfId="3198" xr:uid="{B04182E7-7415-480E-9F7A-5D1F7F51C447}"/>
    <cellStyle name="Normal 6 10 5 4" xfId="7130" xr:uid="{EC73B3F8-3EEC-465D-8E98-65A2E976360F}"/>
    <cellStyle name="Normal 6 10 5 5" xfId="8644" xr:uid="{3AEEC82E-B095-4C59-946B-18AB1D266113}"/>
    <cellStyle name="Normal 6 10 5 6" xfId="12264" xr:uid="{47AEA0A7-BA00-46A1-90A6-F59946554838}"/>
    <cellStyle name="Normal 6 10 5 7" xfId="14009" xr:uid="{202017CC-B45E-4A5C-9B68-BF28819E5A3F}"/>
    <cellStyle name="Normal 6 10 6" xfId="1992" xr:uid="{330986A2-E147-4AA0-BAFF-99BD65890C02}"/>
    <cellStyle name="Normal 6 10 6 2" xfId="3712" xr:uid="{5C5C24A6-DEB5-4598-99A0-8C77DAD0CF52}"/>
    <cellStyle name="Normal 6 10 6 3" xfId="7638" xr:uid="{1B69655B-34BA-4F49-8507-DA958C24AC16}"/>
    <cellStyle name="Normal 6 10 6 4" xfId="9156" xr:uid="{929417AB-0FC9-4635-A55D-81BB5E6D0B8D}"/>
    <cellStyle name="Normal 6 10 6 5" xfId="12770" xr:uid="{5F2E0E20-BD49-466C-BBE0-36F6E7542EB0}"/>
    <cellStyle name="Normal 6 10 6 6" xfId="14515" xr:uid="{35F88EA9-9E0B-41F4-932B-81D9C68C9E31}"/>
    <cellStyle name="Normal 6 10 7" xfId="4708" xr:uid="{7688936C-7CA6-4AE3-97D1-27132A33EC0D}"/>
    <cellStyle name="Normal 6 10 7 2" xfId="10154" xr:uid="{EDF25D70-0314-44A1-B5FC-8E6B329D33B2}"/>
    <cellStyle name="Normal 6 10 8" xfId="5184" xr:uid="{A7AAE939-F3BD-4F48-A566-0CC70D385047}"/>
    <cellStyle name="Normal 6 10 8 2" xfId="10656" xr:uid="{2461B1F2-7855-48A0-90C1-F1A99B3541B9}"/>
    <cellStyle name="Normal 6 10 9" xfId="5684" xr:uid="{FDE1D39F-3A04-45C5-AD7B-72CB85412110}"/>
    <cellStyle name="Normal 6 10 9 2" xfId="11158" xr:uid="{9A239D68-9A23-41C7-A5D9-5CEFBABFEB5A}"/>
    <cellStyle name="Normal 6 11" xfId="849" xr:uid="{D7CF170B-315E-475D-85D7-2659C2D94C3A}"/>
    <cellStyle name="Normal 6 11 2" xfId="3672" xr:uid="{72F33ECF-72E9-42D1-87B4-B9E93A1A8470}"/>
    <cellStyle name="Normal 6 11 2 2" xfId="4682" xr:uid="{C8062BB2-2476-49D3-9B85-EE338F4FE2B7}"/>
    <cellStyle name="Normal 6 11 2 2 2" xfId="10128" xr:uid="{8662EA84-FF34-4663-AF25-22E16CD4C106}"/>
    <cellStyle name="Normal 6 11 2 3" xfId="9120" xr:uid="{0CA42215-5BF8-4507-8AA0-F7DBFE43B58E}"/>
    <cellStyle name="Normal 6 11 3" xfId="5160" xr:uid="{3E4CFB0C-672E-4AA9-BC41-C5FCC3AFDBE3}"/>
    <cellStyle name="Normal 6 11 3 2" xfId="10630" xr:uid="{79C98B1C-2CBA-4E0E-B46C-3ED9549DC49A}"/>
    <cellStyle name="Normal 6 11 4" xfId="5658" xr:uid="{353360E9-A9F2-4AC3-B98B-3893F6493E90}"/>
    <cellStyle name="Normal 6 11 4 2" xfId="11132" xr:uid="{711A2D75-CC27-4233-9BEA-13DAEC0F276C}"/>
    <cellStyle name="Normal 6 11 5" xfId="6160" xr:uid="{612F8A11-E0D0-4D4C-B751-CB4B8870E175}"/>
    <cellStyle name="Normal 6 11 5 2" xfId="11634" xr:uid="{FEB85ECA-127A-4A0C-8E48-0B6D882C317A}"/>
    <cellStyle name="Normal 6 12" xfId="6491" xr:uid="{75E628E5-0C5B-4851-8537-606B673C8C9C}"/>
    <cellStyle name="Normal 6 13" xfId="522" xr:uid="{C23CC098-BE6B-4061-B6D0-7C27876C1850}"/>
    <cellStyle name="Normal 6 2" xfId="126" xr:uid="{00000000-0005-0000-0000-000065010000}"/>
    <cellStyle name="Normal 6 2 10" xfId="1963" xr:uid="{6D93043D-47F5-4CAB-A5A4-F4D83EC0FD74}"/>
    <cellStyle name="Normal 6 2 10 2" xfId="4694" xr:uid="{7DB99533-5DDB-415C-B5D9-2B71588B779A}"/>
    <cellStyle name="Normal 6 2 10 3" xfId="7609" xr:uid="{7C227651-3E44-4FE0-97E9-85B447B92E33}"/>
    <cellStyle name="Normal 6 2 10 4" xfId="10140" xr:uid="{DB42E0BA-1D87-44D6-B5CC-255DE0CC5AC7}"/>
    <cellStyle name="Normal 6 2 10 5" xfId="12742" xr:uid="{E4651473-8244-472C-AE9B-EF3F207B389E}"/>
    <cellStyle name="Normal 6 2 10 6" xfId="14487" xr:uid="{686C6B7C-9F19-4E21-9821-D156B33B4BEC}"/>
    <cellStyle name="Normal 6 2 11" xfId="2489" xr:uid="{67353F14-DD1B-4042-B114-6D744313816B}"/>
    <cellStyle name="Normal 6 2 11 2" xfId="6492" xr:uid="{CAC3AAC1-73CF-4960-AE26-56CE87EC7438}"/>
    <cellStyle name="Normal 6 2 11 3" xfId="10642" xr:uid="{5ECFE6C0-FDF4-487A-BFBC-12BCD55306A3}"/>
    <cellStyle name="Normal 6 2 11 4" xfId="13463" xr:uid="{F429E3C3-4CAE-4BD1-AC66-ECC11C0B177C}"/>
    <cellStyle name="Normal 6 2 12" xfId="5670" xr:uid="{047EFB9B-98C5-4E98-8D5A-E7C238324BBC}"/>
    <cellStyle name="Normal 6 2 12 2" xfId="11144" xr:uid="{E5CF4EB9-76E5-4CF1-B64C-67C44A795514}"/>
    <cellStyle name="Normal 6 2 13" xfId="6238" xr:uid="{ED638076-3D60-4C0A-9BDF-D02797C1A577}"/>
    <cellStyle name="Normal 6 2 13 2" xfId="11660" xr:uid="{2BFAF72D-183E-4F54-A4F8-E79BBAB28498}"/>
    <cellStyle name="Normal 6 2 14" xfId="6281" xr:uid="{BE030509-E16A-4646-8237-1C101E393338}"/>
    <cellStyle name="Normal 6 2 15" xfId="8120" xr:uid="{3E3A7269-E307-4883-A106-E79721C6A460}"/>
    <cellStyle name="Normal 6 2 16" xfId="11718" xr:uid="{2E943852-5667-4E56-9BAF-09C91FB8E389}"/>
    <cellStyle name="Normal 6 2 17" xfId="13260" xr:uid="{AA757567-8A64-4281-A73E-A1039C6D9F7F}"/>
    <cellStyle name="Normal 6 2 18" xfId="523" xr:uid="{C8304A9D-01AC-49F3-A92A-32C402BD9DCC}"/>
    <cellStyle name="Normal 6 2 2" xfId="166" xr:uid="{00000000-0005-0000-0000-000066010000}"/>
    <cellStyle name="Normal 6 2 2 10" xfId="5692" xr:uid="{F76B65BB-0C3E-4562-8146-BE298EE7E79E}"/>
    <cellStyle name="Normal 6 2 2 10 2" xfId="11166" xr:uid="{70C816D8-1CFA-4B01-B32D-FA5C7190BBD5}"/>
    <cellStyle name="Normal 6 2 2 11" xfId="6241" xr:uid="{55E1DA85-B5F0-4AE6-AB67-7EDDDCC5588F}"/>
    <cellStyle name="Normal 6 2 2 11 2" xfId="11665" xr:uid="{D90B0BE7-8A2B-41C5-8E25-A85577253356}"/>
    <cellStyle name="Normal 6 2 2 12" xfId="6285" xr:uid="{9CFA2098-FDE3-45CD-83DA-3C5EEAF6FC60}"/>
    <cellStyle name="Normal 6 2 2 13" xfId="8124" xr:uid="{6B2C9264-2E70-4D76-9768-4C623C09510B}"/>
    <cellStyle name="Normal 6 2 2 14" xfId="11719" xr:uid="{B962212C-36C9-4B26-BD6F-4E1C2BCD6072}"/>
    <cellStyle name="Normal 6 2 2 15" xfId="13264" xr:uid="{1983520E-AE2F-4149-ABB4-2E2102A699C4}"/>
    <cellStyle name="Normal 6 2 2 16" xfId="524" xr:uid="{C2EB9BB9-1FDF-4142-8959-D2E3E51899B7}"/>
    <cellStyle name="Normal 6 2 2 2" xfId="336" xr:uid="{00000000-0005-0000-0000-000067010000}"/>
    <cellStyle name="Normal 6 2 2 2 10" xfId="6313" xr:uid="{48886D4E-85E9-4F1D-AB31-3B34844F0BE5}"/>
    <cellStyle name="Normal 6 2 2 2 11" xfId="8228" xr:uid="{B5B73F3C-DEA8-4122-9ED5-1B061D53633F}"/>
    <cellStyle name="Normal 6 2 2 2 12" xfId="11838" xr:uid="{76912826-444E-401F-AB3E-D73727AC7619}"/>
    <cellStyle name="Normal 6 2 2 2 13" xfId="13292" xr:uid="{DEDA4BB8-5227-42D7-8CA2-8DD0EF043E49}"/>
    <cellStyle name="Normal 6 2 2 2 14" xfId="1058" xr:uid="{8023165C-E92D-4798-AB1F-00F2A4CD447E}"/>
    <cellStyle name="Normal 6 2 2 2 2" xfId="389" xr:uid="{00000000-0005-0000-0000-000068010000}"/>
    <cellStyle name="Normal 6 2 2 2 2 10" xfId="11962" xr:uid="{39AB54BD-9853-46AD-BB91-89EDBDC372E0}"/>
    <cellStyle name="Normal 6 2 2 2 2 11" xfId="13343" xr:uid="{705B8FF8-0BB4-4DDB-902D-482B0704C7B3}"/>
    <cellStyle name="Normal 6 2 2 2 2 12" xfId="1182" xr:uid="{6D692263-2B5D-4910-A8C5-7300D5C3B38E}"/>
    <cellStyle name="Normal 6 2 2 2 2 2" xfId="1430" xr:uid="{9AEC4DAB-EA70-429A-8AF3-824AB1D1C909}"/>
    <cellStyle name="Normal 6 2 2 2 2 2 10" xfId="12210" xr:uid="{6610FAFB-E2BC-4557-8AD8-7944BD977165}"/>
    <cellStyle name="Normal 6 2 2 2 2 2 11" xfId="13955" xr:uid="{4E1CA243-24D6-4414-9EBA-B34A9C751B1D}"/>
    <cellStyle name="Normal 6 2 2 2 2 2 2" xfId="1936" xr:uid="{060E8ECB-75BB-43FD-AD74-35133574AB41}"/>
    <cellStyle name="Normal 6 2 2 2 2 2 2 2" xfId="4658" xr:uid="{9C768863-4207-414F-B2DF-3591BCB6CBB5}"/>
    <cellStyle name="Normal 6 2 2 2 2 2 2 2 2" xfId="10104" xr:uid="{88F08F0D-2CDF-442E-ADB5-E84FEED950F8}"/>
    <cellStyle name="Normal 6 2 2 2 2 2 2 3" xfId="3648" xr:uid="{F6694559-517E-4082-B413-C9917CDF8181}"/>
    <cellStyle name="Normal 6 2 2 2 2 2 2 4" xfId="7582" xr:uid="{09BBC23B-43C2-4C69-A5D8-1102011C446A}"/>
    <cellStyle name="Normal 6 2 2 2 2 2 2 5" xfId="9096" xr:uid="{3046F52D-0493-414D-8463-A3FAE41B8F0C}"/>
    <cellStyle name="Normal 6 2 2 2 2 2 2 6" xfId="12716" xr:uid="{6A89559C-7C7C-4109-A435-B91D21C3A047}"/>
    <cellStyle name="Normal 6 2 2 2 2 2 2 7" xfId="14461" xr:uid="{22202E06-4BC4-4D3D-9952-ACDC2FB371DA}"/>
    <cellStyle name="Normal 6 2 2 2 2 2 3" xfId="2444" xr:uid="{66433121-2B31-45D2-8029-93DF56BA2E00}"/>
    <cellStyle name="Normal 6 2 2 2 2 2 3 2" xfId="4164" xr:uid="{6D3C8A77-724E-4ED2-BDF3-FA4FD53BAEA9}"/>
    <cellStyle name="Normal 6 2 2 2 2 2 3 3" xfId="8090" xr:uid="{5E2A9F64-9CFC-49C7-BE17-B7A712E19654}"/>
    <cellStyle name="Normal 6 2 2 2 2 2 3 4" xfId="9608" xr:uid="{BBF5B354-C3AF-466E-8DD4-893FB113085B}"/>
    <cellStyle name="Normal 6 2 2 2 2 2 3 5" xfId="13222" xr:uid="{CD9E378D-8034-46EB-9795-AE439050CD2A}"/>
    <cellStyle name="Normal 6 2 2 2 2 2 3 6" xfId="14967" xr:uid="{84877476-33D9-408F-8E5A-BDCE7413A3F5}"/>
    <cellStyle name="Normal 6 2 2 2 2 2 4" xfId="5136" xr:uid="{A9D4D079-E812-42A7-B2C3-DCF301275731}"/>
    <cellStyle name="Normal 6 2 2 2 2 2 4 2" xfId="10606" xr:uid="{AE4E3A9A-0F68-4AAA-A1F9-AC765C8F88E2}"/>
    <cellStyle name="Normal 6 2 2 2 2 2 5" xfId="5634" xr:uid="{1DF350FC-1B12-4C49-BDCB-5ABF5D2E8673}"/>
    <cellStyle name="Normal 6 2 2 2 2 2 5 2" xfId="11108" xr:uid="{256F113A-3156-4678-8BB0-86314721ED86}"/>
    <cellStyle name="Normal 6 2 2 2 2 2 6" xfId="6136" xr:uid="{C643ED81-E483-4408-89BA-68D5F81D585A}"/>
    <cellStyle name="Normal 6 2 2 2 2 2 6 2" xfId="11610" xr:uid="{8FC1ACF8-0ECB-47AF-ABA2-92324F2A5692}"/>
    <cellStyle name="Normal 6 2 2 2 2 2 7" xfId="3154" xr:uid="{E8696A8B-560C-4980-BEC6-5F24F6A63F44}"/>
    <cellStyle name="Normal 6 2 2 2 2 2 8" xfId="7076" xr:uid="{7728FC2D-44B1-45A7-B9D5-410BF66A44AB}"/>
    <cellStyle name="Normal 6 2 2 2 2 2 9" xfId="8600" xr:uid="{91FE98FA-EEAD-4ECD-A1A6-A8527B882BCE}"/>
    <cellStyle name="Normal 6 2 2 2 2 3" xfId="1688" xr:uid="{7A896D30-C6A5-4346-BE18-7B54741EF377}"/>
    <cellStyle name="Normal 6 2 2 2 2 3 2" xfId="4410" xr:uid="{DCEE46E4-7DD4-4D94-A932-D2C24CED23FD}"/>
    <cellStyle name="Normal 6 2 2 2 2 3 2 2" xfId="9856" xr:uid="{BF16FF09-2083-470E-B37B-0CFC03F505B9}"/>
    <cellStyle name="Normal 6 2 2 2 2 3 3" xfId="3400" xr:uid="{DD30103E-BD7E-4139-A7DB-076C39330068}"/>
    <cellStyle name="Normal 6 2 2 2 2 3 4" xfId="7334" xr:uid="{A5F6CF48-E77B-4C15-9C62-0F2C914757B6}"/>
    <cellStyle name="Normal 6 2 2 2 2 3 5" xfId="8848" xr:uid="{D908E81D-F306-410C-9CC4-72B7A9AF545B}"/>
    <cellStyle name="Normal 6 2 2 2 2 3 6" xfId="12468" xr:uid="{953C4BD6-0260-4639-809D-F66C664C86FD}"/>
    <cellStyle name="Normal 6 2 2 2 2 3 7" xfId="14213" xr:uid="{1CD93950-A6EC-4361-BFC3-A6AB37BD8A35}"/>
    <cellStyle name="Normal 6 2 2 2 2 4" xfId="2196" xr:uid="{0BF4C92D-84BB-4CFA-96EB-75F39216BF02}"/>
    <cellStyle name="Normal 6 2 2 2 2 4 2" xfId="3916" xr:uid="{BD499203-FDDF-411E-85B6-77378531EE76}"/>
    <cellStyle name="Normal 6 2 2 2 2 4 3" xfId="7842" xr:uid="{151B9741-008A-48AC-8F94-1E08B2C0A1F2}"/>
    <cellStyle name="Normal 6 2 2 2 2 4 4" xfId="9360" xr:uid="{40BEABF3-1504-4709-8705-36EED45D3F46}"/>
    <cellStyle name="Normal 6 2 2 2 2 4 5" xfId="12974" xr:uid="{D6CE197A-BF42-4E4E-82A8-BFED4F21C514}"/>
    <cellStyle name="Normal 6 2 2 2 2 4 6" xfId="14719" xr:uid="{7D84A999-058F-4EA1-B197-9574442ADB18}"/>
    <cellStyle name="Normal 6 2 2 2 2 5" xfId="2597" xr:uid="{786950D4-0584-42D8-BAE0-F976CD3FBE43}"/>
    <cellStyle name="Normal 6 2 2 2 2 5 2" xfId="6828" xr:uid="{70CD191A-BF53-4CD5-ABAE-D34500FCACBC}"/>
    <cellStyle name="Normal 6 2 2 2 2 5 3" xfId="10358" xr:uid="{63A5CF72-7B7F-40ED-AD7E-2B3FE9404995}"/>
    <cellStyle name="Normal 6 2 2 2 2 5 4" xfId="13707" xr:uid="{3B3B42BD-1F52-4B2A-A3E5-66938020FB1A}"/>
    <cellStyle name="Normal 6 2 2 2 2 6" xfId="5386" xr:uid="{2A9EF346-BD81-408D-A213-C18F2B871EE4}"/>
    <cellStyle name="Normal 6 2 2 2 2 6 2" xfId="10860" xr:uid="{32C7A5F7-EE96-4174-B582-C88F7704F99C}"/>
    <cellStyle name="Normal 6 2 2 2 2 7" xfId="5888" xr:uid="{96894AC0-2947-4825-A1CA-7DDDE5E8826E}"/>
    <cellStyle name="Normal 6 2 2 2 2 7 2" xfId="11362" xr:uid="{AA8036E0-2719-405E-B40F-DF52EDD365FB}"/>
    <cellStyle name="Normal 6 2 2 2 2 8" xfId="6364" xr:uid="{027EF6CD-E8F2-4A81-B808-1678C07EA83B}"/>
    <cellStyle name="Normal 6 2 2 2 2 9" xfId="8352" xr:uid="{F3F61921-383E-4611-9945-934D22473C53}"/>
    <cellStyle name="Normal 6 2 2 2 3" xfId="440" xr:uid="{00000000-0005-0000-0000-000069010000}"/>
    <cellStyle name="Normal 6 2 2 2 3 10" xfId="13394" xr:uid="{687F6693-E0D9-45AD-8BD9-BDADFC2DFBBD}"/>
    <cellStyle name="Normal 6 2 2 2 3 11" xfId="1306" xr:uid="{A7F1748A-D2D0-4C86-9A40-8707D2FFCF27}"/>
    <cellStyle name="Normal 6 2 2 2 3 2" xfId="1812" xr:uid="{9F7FABA1-AFA6-45A5-AD4C-952201A93367}"/>
    <cellStyle name="Normal 6 2 2 2 3 2 2" xfId="4534" xr:uid="{57BBB0B0-D8BC-4F4D-96DC-CBA85BC8EC52}"/>
    <cellStyle name="Normal 6 2 2 2 3 2 2 2" xfId="9980" xr:uid="{54E8B5EB-5FD5-4315-8686-7F1403B8CCF4}"/>
    <cellStyle name="Normal 6 2 2 2 3 2 3" xfId="3524" xr:uid="{86EBAD39-F93F-4D93-BFA2-CCEEF77D80AC}"/>
    <cellStyle name="Normal 6 2 2 2 3 2 4" xfId="7458" xr:uid="{47ADBBD3-9A12-4586-B093-D91A9B58018B}"/>
    <cellStyle name="Normal 6 2 2 2 3 2 5" xfId="8972" xr:uid="{9C217627-A3DE-4FAE-9DB1-47B0E9752DF9}"/>
    <cellStyle name="Normal 6 2 2 2 3 2 6" xfId="12592" xr:uid="{363FC1A3-BA6F-4532-ACBA-A6E86E6121D5}"/>
    <cellStyle name="Normal 6 2 2 2 3 2 7" xfId="14337" xr:uid="{6D23282E-D473-4F68-B5D4-55C5965A9236}"/>
    <cellStyle name="Normal 6 2 2 2 3 3" xfId="2320" xr:uid="{4970DE60-43F7-4B4E-8F08-6FE525FACCEF}"/>
    <cellStyle name="Normal 6 2 2 2 3 3 2" xfId="4040" xr:uid="{E09DF66A-32AB-430A-B84D-A501243CC0B8}"/>
    <cellStyle name="Normal 6 2 2 2 3 3 3" xfId="7966" xr:uid="{AFD315D8-9B32-44F6-B5DB-19FA9F7E5415}"/>
    <cellStyle name="Normal 6 2 2 2 3 3 4" xfId="9484" xr:uid="{33681294-2B55-4410-9180-8FD776043294}"/>
    <cellStyle name="Normal 6 2 2 2 3 3 5" xfId="13098" xr:uid="{2D05CC48-861A-40D0-BD2F-6A65B506578F}"/>
    <cellStyle name="Normal 6 2 2 2 3 3 6" xfId="14843" xr:uid="{A42E5C74-7965-4217-8D08-CD0544D81E37}"/>
    <cellStyle name="Normal 6 2 2 2 3 4" xfId="2648" xr:uid="{E4C4D412-B509-4BD6-BFA3-1951A0BEB8F4}"/>
    <cellStyle name="Normal 6 2 2 2 3 4 2" xfId="6952" xr:uid="{CCD25F07-2615-4987-8CA7-5E37565F9F23}"/>
    <cellStyle name="Normal 6 2 2 2 3 4 3" xfId="10482" xr:uid="{4D8015EB-75D9-4399-934F-56EA33D04287}"/>
    <cellStyle name="Normal 6 2 2 2 3 4 4" xfId="13831" xr:uid="{535F5162-0F07-4ED3-869A-DB0A02B9F490}"/>
    <cellStyle name="Normal 6 2 2 2 3 5" xfId="5510" xr:uid="{7DF92A1F-E94F-4B55-A341-4E8EC8C1F416}"/>
    <cellStyle name="Normal 6 2 2 2 3 5 2" xfId="10984" xr:uid="{7EC3F289-1E6B-4C27-B438-027FF3E9FA14}"/>
    <cellStyle name="Normal 6 2 2 2 3 6" xfId="6012" xr:uid="{CDC9DE8E-858E-4074-8DD9-37D354EDD930}"/>
    <cellStyle name="Normal 6 2 2 2 3 6 2" xfId="11486" xr:uid="{A461A124-99DF-4E19-9ABA-3C4754D7C390}"/>
    <cellStyle name="Normal 6 2 2 2 3 7" xfId="6415" xr:uid="{FC4B33CD-5F2D-48A7-B0EB-56B1039E4A27}"/>
    <cellStyle name="Normal 6 2 2 2 3 8" xfId="8476" xr:uid="{E6094CB1-C499-4D6D-BE9F-2C722AC3688E}"/>
    <cellStyle name="Normal 6 2 2 2 3 9" xfId="12086" xr:uid="{BB064D68-6B4A-4B34-9B3C-3E30766175AD}"/>
    <cellStyle name="Normal 6 2 2 2 4" xfId="497" xr:uid="{00000000-0005-0000-0000-00006A010000}"/>
    <cellStyle name="Normal 6 2 2 2 4 2" xfId="2704" xr:uid="{36E218F3-29AD-43B4-B12F-48274062359A}"/>
    <cellStyle name="Normal 6 2 2 2 4 2 2" xfId="7210" xr:uid="{79F8B09A-70B6-4001-99D9-F1305391E702}"/>
    <cellStyle name="Normal 6 2 2 2 4 2 3" xfId="9732" xr:uid="{E826CD80-FF40-4AF1-9A95-9898F4CCB064}"/>
    <cellStyle name="Normal 6 2 2 2 4 2 4" xfId="14089" xr:uid="{92DA332A-3776-4669-8D8B-E18891CA8681}"/>
    <cellStyle name="Normal 6 2 2 2 4 3" xfId="6471" xr:uid="{4EAC542E-E59B-462F-964A-809114ECB1A4}"/>
    <cellStyle name="Normal 6 2 2 2 4 4" xfId="8724" xr:uid="{C8550DF8-4956-4687-B0F5-457EF041D181}"/>
    <cellStyle name="Normal 6 2 2 2 4 5" xfId="12344" xr:uid="{B4BD6161-CF64-4EEE-AB71-2050527A4868}"/>
    <cellStyle name="Normal 6 2 2 2 4 6" xfId="13450" xr:uid="{C498FFAF-7BB7-46EF-AA0B-5BF5F7EAB55F}"/>
    <cellStyle name="Normal 6 2 2 2 4 7" xfId="1564" xr:uid="{1F13C5C8-913D-4ED6-AB2C-22CF09AD13B9}"/>
    <cellStyle name="Normal 6 2 2 2 5" xfId="2072" xr:uid="{B043FDDE-2516-4689-A4BC-B69270B7A8BF}"/>
    <cellStyle name="Normal 6 2 2 2 5 2" xfId="3792" xr:uid="{C04AB9D3-E7B0-4FE3-8BA0-66C7E6F5D5A0}"/>
    <cellStyle name="Normal 6 2 2 2 5 3" xfId="7718" xr:uid="{F5F14102-F84A-463C-A333-E7CAA83D4C5C}"/>
    <cellStyle name="Normal 6 2 2 2 5 4" xfId="9236" xr:uid="{E7D96380-4940-44AB-B874-0DAF99B059CF}"/>
    <cellStyle name="Normal 6 2 2 2 5 5" xfId="12850" xr:uid="{48A06510-B742-4CA1-A8B7-54A8C54310B5}"/>
    <cellStyle name="Normal 6 2 2 2 5 6" xfId="14595" xr:uid="{C0F1C6C6-9E9B-4C58-BE3D-AFEFBFC9BA5F}"/>
    <cellStyle name="Normal 6 2 2 2 6" xfId="2545" xr:uid="{F20D76A3-C886-4A25-BD9C-7387FC6BFA17}"/>
    <cellStyle name="Normal 6 2 2 2 6 2" xfId="6704" xr:uid="{592ECAB0-A516-4D2B-ADFD-AE24EBFD67B5}"/>
    <cellStyle name="Normal 6 2 2 2 6 3" xfId="10234" xr:uid="{57A8DC2D-F9C3-4255-975F-B355C886CBA9}"/>
    <cellStyle name="Normal 6 2 2 2 6 4" xfId="13583" xr:uid="{9A0AB3D2-06D6-4494-A70E-092CBD68ED7D}"/>
    <cellStyle name="Normal 6 2 2 2 7" xfId="5262" xr:uid="{46B6D8D0-5453-4BB0-AB85-0F6AB9AD94DB}"/>
    <cellStyle name="Normal 6 2 2 2 7 2" xfId="10736" xr:uid="{72F24DCD-5135-4892-86DF-65E29C50924C}"/>
    <cellStyle name="Normal 6 2 2 2 8" xfId="5764" xr:uid="{35967C2E-B99B-418F-9D16-ED8DB8B5E6B7}"/>
    <cellStyle name="Normal 6 2 2 2 8 2" xfId="11238" xr:uid="{3472CE3C-8F8C-4516-B445-B98915444966}"/>
    <cellStyle name="Normal 6 2 2 2 9" xfId="6253" xr:uid="{0C8A3031-A643-4E13-9175-98327C631CAC}"/>
    <cellStyle name="Normal 6 2 2 2 9 2" xfId="11695" xr:uid="{395A1D6D-E56F-4120-B7B5-59BAFEAE6E17}"/>
    <cellStyle name="Normal 6 2 2 3" xfId="348" xr:uid="{00000000-0005-0000-0000-00006B010000}"/>
    <cellStyle name="Normal 6 2 2 3 10" xfId="11890" xr:uid="{3A0D0A92-C683-49A0-887A-50EC98EBB562}"/>
    <cellStyle name="Normal 6 2 2 3 11" xfId="13303" xr:uid="{63A1701A-0696-484C-84DA-7A767132331B}"/>
    <cellStyle name="Normal 6 2 2 3 12" xfId="1110" xr:uid="{1D597F7C-B67A-4942-B7C6-F1AFB7165193}"/>
    <cellStyle name="Normal 6 2 2 3 2" xfId="1358" xr:uid="{DE1DD0DA-0FAC-4D3B-A4A9-EF9EAA020CA8}"/>
    <cellStyle name="Normal 6 2 2 3 2 10" xfId="12138" xr:uid="{CEE2A82B-E750-4E79-99C9-C707EECC4AD5}"/>
    <cellStyle name="Normal 6 2 2 3 2 11" xfId="13883" xr:uid="{C39EB901-20EA-4D1D-ACED-413399CD6174}"/>
    <cellStyle name="Normal 6 2 2 3 2 2" xfId="1864" xr:uid="{DF8DB2F4-8929-4D9D-89FA-3DF006249C14}"/>
    <cellStyle name="Normal 6 2 2 3 2 2 2" xfId="4586" xr:uid="{0FB05842-8BE0-4817-9067-BDB0CECD3EED}"/>
    <cellStyle name="Normal 6 2 2 3 2 2 2 2" xfId="10032" xr:uid="{1DB635C1-FFE1-4422-99A7-77B43475B5F7}"/>
    <cellStyle name="Normal 6 2 2 3 2 2 3" xfId="3576" xr:uid="{5605D97A-223B-49FC-86AD-C86EBE20A9BB}"/>
    <cellStyle name="Normal 6 2 2 3 2 2 4" xfId="7510" xr:uid="{4F99C1E8-5044-4BD9-8F45-7FF06DE004A9}"/>
    <cellStyle name="Normal 6 2 2 3 2 2 5" xfId="9024" xr:uid="{2BF6063E-7552-4288-B759-695A806027E0}"/>
    <cellStyle name="Normal 6 2 2 3 2 2 6" xfId="12644" xr:uid="{4B06A4D0-6775-4223-9C72-61BA341E4851}"/>
    <cellStyle name="Normal 6 2 2 3 2 2 7" xfId="14389" xr:uid="{D6078C48-46AF-4AB8-B055-A21CB352B7DB}"/>
    <cellStyle name="Normal 6 2 2 3 2 3" xfId="2372" xr:uid="{FE42C740-5480-444C-8BB4-A1B00DF57059}"/>
    <cellStyle name="Normal 6 2 2 3 2 3 2" xfId="4092" xr:uid="{EEEB8A8E-8B39-43AB-94B7-7573D3E3E51C}"/>
    <cellStyle name="Normal 6 2 2 3 2 3 3" xfId="8018" xr:uid="{1015065D-A8B8-493A-8EA7-47F40D3528AE}"/>
    <cellStyle name="Normal 6 2 2 3 2 3 4" xfId="9536" xr:uid="{90E174B1-3E9D-4654-9B70-F5A7A8D17A23}"/>
    <cellStyle name="Normal 6 2 2 3 2 3 5" xfId="13150" xr:uid="{C263628B-A0B5-45E0-AABC-820CB3ECB093}"/>
    <cellStyle name="Normal 6 2 2 3 2 3 6" xfId="14895" xr:uid="{5B0930C7-FDE5-4EB9-B355-66F217334944}"/>
    <cellStyle name="Normal 6 2 2 3 2 4" xfId="5064" xr:uid="{4FCF4556-0FCD-4C8F-A82D-C9DD9C66032C}"/>
    <cellStyle name="Normal 6 2 2 3 2 4 2" xfId="10534" xr:uid="{0D083129-AFCB-4BF0-8B6C-67606B321859}"/>
    <cellStyle name="Normal 6 2 2 3 2 5" xfId="5562" xr:uid="{BB78E75C-C79D-4879-AC01-F886880D8867}"/>
    <cellStyle name="Normal 6 2 2 3 2 5 2" xfId="11036" xr:uid="{FDAFCE42-14A0-49C4-B60E-20188D95588A}"/>
    <cellStyle name="Normal 6 2 2 3 2 6" xfId="6064" xr:uid="{573185E8-AEA8-4A66-9BCD-B06B95673B58}"/>
    <cellStyle name="Normal 6 2 2 3 2 6 2" xfId="11538" xr:uid="{D298C11D-2E30-4685-8539-0A88BD1AEC11}"/>
    <cellStyle name="Normal 6 2 2 3 2 7" xfId="3082" xr:uid="{12E86650-DDB5-4318-A3D6-7B45B29EDC09}"/>
    <cellStyle name="Normal 6 2 2 3 2 8" xfId="7004" xr:uid="{AA251CC6-ECCD-4B3D-93C6-7A2E11867D26}"/>
    <cellStyle name="Normal 6 2 2 3 2 9" xfId="8528" xr:uid="{86D74F16-4A77-4AF4-8F58-50A1E8F78BD0}"/>
    <cellStyle name="Normal 6 2 2 3 3" xfId="1616" xr:uid="{DAAF8658-EB10-472C-80F6-9530FE2F334E}"/>
    <cellStyle name="Normal 6 2 2 3 3 2" xfId="4338" xr:uid="{51D18211-0406-45DF-AADB-68550C28A247}"/>
    <cellStyle name="Normal 6 2 2 3 3 2 2" xfId="9784" xr:uid="{9B512D39-5EE2-46DE-9798-7291932AEBD2}"/>
    <cellStyle name="Normal 6 2 2 3 3 3" xfId="3328" xr:uid="{7E2E1E2D-EB47-42E8-8A50-A7CB788A105F}"/>
    <cellStyle name="Normal 6 2 2 3 3 4" xfId="7262" xr:uid="{D5FD92B6-FA1B-48D9-989F-B15CF843DFAC}"/>
    <cellStyle name="Normal 6 2 2 3 3 5" xfId="8776" xr:uid="{4D38E2EB-247F-413E-9C72-B8E858029B2C}"/>
    <cellStyle name="Normal 6 2 2 3 3 6" xfId="12396" xr:uid="{0D4AE251-4DCC-4D61-B142-E0AB799CE4E5}"/>
    <cellStyle name="Normal 6 2 2 3 3 7" xfId="14141" xr:uid="{2A175438-4630-470A-8240-259FE8CB5EF7}"/>
    <cellStyle name="Normal 6 2 2 3 4" xfId="2124" xr:uid="{2FB24D9E-5E9D-4F1D-B458-5659D282BE02}"/>
    <cellStyle name="Normal 6 2 2 3 4 2" xfId="3844" xr:uid="{F4D30C97-48F4-4A80-8226-6851D3F972F1}"/>
    <cellStyle name="Normal 6 2 2 3 4 3" xfId="7770" xr:uid="{329259AB-1D83-401C-8BC0-7CCEDA8AEDD5}"/>
    <cellStyle name="Normal 6 2 2 3 4 4" xfId="9288" xr:uid="{57AFD5AE-A490-4283-9235-BF37945F0E1C}"/>
    <cellStyle name="Normal 6 2 2 3 4 5" xfId="12902" xr:uid="{B10238CA-5CA7-4908-8F4A-E0CA87E79657}"/>
    <cellStyle name="Normal 6 2 2 3 4 6" xfId="14647" xr:uid="{C94AA3D8-C1A9-4D26-B785-50EACE7A5DDB}"/>
    <cellStyle name="Normal 6 2 2 3 5" xfId="2556" xr:uid="{8AE4E3F4-8ACF-4D6E-AAD1-89532E4EC5B2}"/>
    <cellStyle name="Normal 6 2 2 3 5 2" xfId="6756" xr:uid="{107F1982-5960-4845-B314-34FB2B065DE0}"/>
    <cellStyle name="Normal 6 2 2 3 5 3" xfId="10286" xr:uid="{ABEB8798-877C-40C2-A69A-7D1856D5D147}"/>
    <cellStyle name="Normal 6 2 2 3 5 4" xfId="13635" xr:uid="{5A260138-61A4-4EC7-ABDD-156F3F3CACB2}"/>
    <cellStyle name="Normal 6 2 2 3 6" xfId="5314" xr:uid="{094DB848-89B7-44B2-85D0-EB2D3717A42A}"/>
    <cellStyle name="Normal 6 2 2 3 6 2" xfId="10788" xr:uid="{8A5BEF3F-7175-4617-8D95-5AE48723D052}"/>
    <cellStyle name="Normal 6 2 2 3 7" xfId="5816" xr:uid="{B03A2EDF-71EC-4BAE-9FC5-AED14F8FD72C}"/>
    <cellStyle name="Normal 6 2 2 3 7 2" xfId="11290" xr:uid="{1179FE9E-A3DC-40D0-A91A-9E7B8C703971}"/>
    <cellStyle name="Normal 6 2 2 3 8" xfId="6324" xr:uid="{817D2E4E-8BAA-4817-A3AD-5FBF628D1715}"/>
    <cellStyle name="Normal 6 2 2 3 9" xfId="8280" xr:uid="{CF855223-DEFA-4C6E-A104-617D7D1E920D}"/>
    <cellStyle name="Normal 6 2 2 4" xfId="400" xr:uid="{00000000-0005-0000-0000-00006C010000}"/>
    <cellStyle name="Normal 6 2 2 4 10" xfId="13354" xr:uid="{9C961D8A-989A-4A1F-869B-141A0323CE27}"/>
    <cellStyle name="Normal 6 2 2 4 11" xfId="986" xr:uid="{D1D60071-0130-4772-B999-CD3CF143376C}"/>
    <cellStyle name="Normal 6 2 2 4 2" xfId="1492" xr:uid="{FB2EF584-1D58-4515-8DA2-978497A41FDE}"/>
    <cellStyle name="Normal 6 2 2 4 2 2" xfId="4462" xr:uid="{EB4D7649-B5B4-4D2F-B92B-B25FDA6324F0}"/>
    <cellStyle name="Normal 6 2 2 4 2 2 2" xfId="9908" xr:uid="{812F9D44-3E5E-41D7-A6D5-28DEC5873E81}"/>
    <cellStyle name="Normal 6 2 2 4 2 3" xfId="3452" xr:uid="{7C5FE01F-EF6D-40F3-AADE-ABAF2F9B45B1}"/>
    <cellStyle name="Normal 6 2 2 4 2 4" xfId="7138" xr:uid="{5EDE7AF5-785D-4EB8-9174-948675B68B44}"/>
    <cellStyle name="Normal 6 2 2 4 2 5" xfId="8900" xr:uid="{02F7D7E8-A128-4FC8-9A33-70D923F3D49F}"/>
    <cellStyle name="Normal 6 2 2 4 2 6" xfId="12272" xr:uid="{5205E7EB-8743-47D9-8304-D49792F78CA9}"/>
    <cellStyle name="Normal 6 2 2 4 2 7" xfId="14017" xr:uid="{659B2E26-CA4F-48B9-950C-414D9CAC67B4}"/>
    <cellStyle name="Normal 6 2 2 4 3" xfId="2000" xr:uid="{BFDD9CC9-5B48-4BD3-9776-B814364E2DDA}"/>
    <cellStyle name="Normal 6 2 2 4 3 2" xfId="3720" xr:uid="{52C40058-8F2E-4BED-A251-6B18A89BD7D7}"/>
    <cellStyle name="Normal 6 2 2 4 3 3" xfId="7646" xr:uid="{563794CA-2FAD-4920-A77B-4D6597C50E4D}"/>
    <cellStyle name="Normal 6 2 2 4 3 4" xfId="9164" xr:uid="{D85B39CB-56FB-4F6C-A72E-5394F5ACA81F}"/>
    <cellStyle name="Normal 6 2 2 4 3 5" xfId="12778" xr:uid="{044E2E1D-85E7-4CA2-B543-BBC903EC92DA}"/>
    <cellStyle name="Normal 6 2 2 4 3 6" xfId="14523" xr:uid="{C393BB7A-4746-4012-8920-9B868AA165E9}"/>
    <cellStyle name="Normal 6 2 2 4 4" xfId="2608" xr:uid="{51C6519D-CD8E-4914-9B41-044651D802E2}"/>
    <cellStyle name="Normal 6 2 2 4 4 2" xfId="6632" xr:uid="{D07328A1-0C30-441D-822F-B9D455766824}"/>
    <cellStyle name="Normal 6 2 2 4 4 3" xfId="10410" xr:uid="{5FC66763-E419-4746-BC1F-F89C268C1FD4}"/>
    <cellStyle name="Normal 6 2 2 4 4 4" xfId="13511" xr:uid="{EE3CBB79-7ACC-4742-A676-B1C0C8B7265A}"/>
    <cellStyle name="Normal 6 2 2 4 5" xfId="5438" xr:uid="{F480CBDB-F0BC-4CD3-96D3-22DA95CF0C68}"/>
    <cellStyle name="Normal 6 2 2 4 5 2" xfId="10912" xr:uid="{0293CBA3-0F7C-4EE5-845E-26D298ABF39A}"/>
    <cellStyle name="Normal 6 2 2 4 6" xfId="5940" xr:uid="{57F18842-FC1F-46C5-8907-6472BE461442}"/>
    <cellStyle name="Normal 6 2 2 4 6 2" xfId="11414" xr:uid="{F711D6DC-7873-40C4-BD88-317181EC5C79}"/>
    <cellStyle name="Normal 6 2 2 4 7" xfId="6375" xr:uid="{9FDD7C67-F304-421F-A511-8490AE8EC59A}"/>
    <cellStyle name="Normal 6 2 2 4 8" xfId="8156" xr:uid="{B6AA2FA8-6199-43B8-AA4E-976801D48540}"/>
    <cellStyle name="Normal 6 2 2 4 9" xfId="11766" xr:uid="{C1B7CAD7-AECA-4E90-A685-BF4C07B8B031}"/>
    <cellStyle name="Normal 6 2 2 5" xfId="468" xr:uid="{00000000-0005-0000-0000-00006D010000}"/>
    <cellStyle name="Normal 6 2 2 5 2" xfId="1740" xr:uid="{2D9D4DD3-A4A2-405C-95A4-4A0EC5687163}"/>
    <cellStyle name="Normal 6 2 2 5 2 2" xfId="3968" xr:uid="{7D8CD305-9A40-4B0D-A5D2-3D9C1EC5EC77}"/>
    <cellStyle name="Normal 6 2 2 5 2 3" xfId="7386" xr:uid="{FD633AEF-A37D-475C-998E-F9B8112025C2}"/>
    <cellStyle name="Normal 6 2 2 5 2 4" xfId="9412" xr:uid="{AAEC48A6-1006-4DEF-9F4F-589A50AA545E}"/>
    <cellStyle name="Normal 6 2 2 5 2 5" xfId="12520" xr:uid="{384C9671-924A-4445-8C96-159247DF1426}"/>
    <cellStyle name="Normal 6 2 2 5 2 6" xfId="14265" xr:uid="{3E59CC07-A80E-4176-8D93-DD7DC2C9B56F}"/>
    <cellStyle name="Normal 6 2 2 5 3" xfId="2248" xr:uid="{81CB7708-D42E-4585-BBFE-4FE4ED451756}"/>
    <cellStyle name="Normal 6 2 2 5 3 2" xfId="7894" xr:uid="{8D4F96FB-2EDA-49C7-A1AB-9EDC755A37F1}"/>
    <cellStyle name="Normal 6 2 2 5 3 3" xfId="13026" xr:uid="{0802C052-B81C-476A-8F65-0029D0A37C95}"/>
    <cellStyle name="Normal 6 2 2 5 3 4" xfId="14771" xr:uid="{3C1DB807-F27A-48CE-9ECB-EEC6A6DB3712}"/>
    <cellStyle name="Normal 6 2 2 5 4" xfId="2676" xr:uid="{ED053A32-C44E-46D7-8C71-60AD85540923}"/>
    <cellStyle name="Normal 6 2 2 5 4 2" xfId="6880" xr:uid="{25E5547D-784F-4F5C-B73C-B244809B9F8E}"/>
    <cellStyle name="Normal 6 2 2 5 4 3" xfId="13759" xr:uid="{EEDFDA38-C948-4124-B57D-8FDACEAC148D}"/>
    <cellStyle name="Normal 6 2 2 5 5" xfId="6443" xr:uid="{164FA11E-EE53-4014-8CE5-F3CE6FBB17FB}"/>
    <cellStyle name="Normal 6 2 2 5 6" xfId="8404" xr:uid="{B572E893-90B5-480B-8ED4-F2356512F58A}"/>
    <cellStyle name="Normal 6 2 2 5 7" xfId="12014" xr:uid="{F673FD6F-CEAF-408E-AE65-6E49F80B881F}"/>
    <cellStyle name="Normal 6 2 2 5 8" xfId="13422" xr:uid="{79C23CCD-0D6B-4D89-9A82-836D19CDAA4F}"/>
    <cellStyle name="Normal 6 2 2 5 9" xfId="1234" xr:uid="{2BF0A33D-457D-48A2-ADE1-5A208669919E}"/>
    <cellStyle name="Normal 6 2 2 6" xfId="551" xr:uid="{1ADD2894-4AB8-48BE-BBB1-893694FEE7ED}"/>
    <cellStyle name="Normal 6 2 2 6 2" xfId="4216" xr:uid="{5AE85687-5455-433B-8A63-9F129B7E1B95}"/>
    <cellStyle name="Normal 6 2 2 6 2 2" xfId="9660" xr:uid="{36D2D107-2E64-4FCA-98AB-AA2A1CEAE4DE}"/>
    <cellStyle name="Normal 6 2 2 6 3" xfId="3206" xr:uid="{E18B693B-86EE-4A5D-95B3-C98E6CC8D069}"/>
    <cellStyle name="Normal 6 2 2 6 4" xfId="6516" xr:uid="{F377FE86-B234-49EB-9228-235379263D9B}"/>
    <cellStyle name="Normal 6 2 2 6 5" xfId="8652" xr:uid="{FD3EDE7A-8DFB-48F7-938B-6FC153A15E0C}"/>
    <cellStyle name="Normal 6 2 2 6 6" xfId="11734" xr:uid="{8E6A6893-5A45-409F-A71B-4EC8011CBAEC}"/>
    <cellStyle name="Normal 6 2 2 6 7" xfId="13479" xr:uid="{A76FC574-2B3F-42CC-9731-D547AAAF56D4}"/>
    <cellStyle name="Normal 6 2 2 7" xfId="1460" xr:uid="{076EC109-9134-4B84-983E-EFD35F5CD316}"/>
    <cellStyle name="Normal 6 2 2 7 2" xfId="3688" xr:uid="{5293410F-0871-41B7-A68A-777FB5BB1970}"/>
    <cellStyle name="Normal 6 2 2 7 3" xfId="7106" xr:uid="{56219647-82DC-40D2-8A9A-F8B28E5EC46A}"/>
    <cellStyle name="Normal 6 2 2 7 4" xfId="9132" xr:uid="{436F877D-E0F5-4EEA-9C53-2599EBDAB0B9}"/>
    <cellStyle name="Normal 6 2 2 7 5" xfId="12240" xr:uid="{32FC16A0-28AE-4F5B-AA89-5B3529977783}"/>
    <cellStyle name="Normal 6 2 2 7 6" xfId="13985" xr:uid="{870D0EE0-D390-4BD7-A7E8-9DEABB9B8764}"/>
    <cellStyle name="Normal 6 2 2 8" xfId="1967" xr:uid="{FDC90F94-4E79-4270-83B9-A4FC6B2449F4}"/>
    <cellStyle name="Normal 6 2 2 8 2" xfId="4716" xr:uid="{74530E4F-5D3F-4E76-B5DB-E53FFB713972}"/>
    <cellStyle name="Normal 6 2 2 8 3" xfId="7613" xr:uid="{39A29891-2D06-438B-B48D-3D75F0258A27}"/>
    <cellStyle name="Normal 6 2 2 8 4" xfId="10162" xr:uid="{0BAC5AC3-4CE6-4347-B4F9-596319D94817}"/>
    <cellStyle name="Normal 6 2 2 8 5" xfId="12746" xr:uid="{3906708C-B53D-41D7-8110-565008167E06}"/>
    <cellStyle name="Normal 6 2 2 8 6" xfId="14491" xr:uid="{8436D092-5E32-4DB4-BB8E-7584B03D0549}"/>
    <cellStyle name="Normal 6 2 2 9" xfId="2493" xr:uid="{ABD9A0B5-3FF6-488A-869F-A2F7DA054C13}"/>
    <cellStyle name="Normal 6 2 2 9 2" xfId="6493" xr:uid="{C447D78D-464D-4100-8E7B-200BA7B992AB}"/>
    <cellStyle name="Normal 6 2 2 9 3" xfId="10664" xr:uid="{2739E99B-44B8-4CF3-BDA9-C24458A3C904}"/>
    <cellStyle name="Normal 6 2 2 9 4" xfId="13464" xr:uid="{C108386C-AA3F-4FAE-9C8F-6C03286733E3}"/>
    <cellStyle name="Normal 6 2 3" xfId="296" xr:uid="{00000000-0005-0000-0000-00006E010000}"/>
    <cellStyle name="Normal 6 2 3 10" xfId="6250" xr:uid="{A63906F7-7B81-42F7-97B4-BA585534ACD7}"/>
    <cellStyle name="Normal 6 2 3 10 2" xfId="11691" xr:uid="{3C986E8D-68C4-4372-B664-76B78B46FF81}"/>
    <cellStyle name="Normal 6 2 3 11" xfId="6309" xr:uid="{66C9A098-BA7F-4DC9-A7D1-C0E80A069ECB}"/>
    <cellStyle name="Normal 6 2 3 12" xfId="8176" xr:uid="{A6B434A1-D110-4C90-B6CC-7E844FD14AA5}"/>
    <cellStyle name="Normal 6 2 3 13" xfId="11786" xr:uid="{CD50E27C-B526-4EA7-A45B-CAD9D51E19A1}"/>
    <cellStyle name="Normal 6 2 3 14" xfId="13288" xr:uid="{B0619723-DFF3-44FF-A8F9-0F86020934BD}"/>
    <cellStyle name="Normal 6 2 3 15" xfId="1006" xr:uid="{A5A3EB69-694C-48F0-ADD1-E56669822B43}"/>
    <cellStyle name="Normal 6 2 3 2" xfId="385" xr:uid="{00000000-0005-0000-0000-00006F010000}"/>
    <cellStyle name="Normal 6 2 3 2 10" xfId="8229" xr:uid="{1F7BC4B4-07E5-4F9E-9C0B-2B4C76EBB2F7}"/>
    <cellStyle name="Normal 6 2 3 2 11" xfId="11839" xr:uid="{C933867B-92A8-4FA7-9C81-9162862CEC10}"/>
    <cellStyle name="Normal 6 2 3 2 12" xfId="13339" xr:uid="{E9A619B1-F8DD-4A81-909B-81DF81607ED8}"/>
    <cellStyle name="Normal 6 2 3 2 13" xfId="1059" xr:uid="{879DF833-4BD6-4E83-995F-152E5CFAD4B8}"/>
    <cellStyle name="Normal 6 2 3 2 2" xfId="1183" xr:uid="{164A5998-0478-412A-85C0-E6957A091F45}"/>
    <cellStyle name="Normal 6 2 3 2 2 10" xfId="8353" xr:uid="{DAC1C1EB-9095-474D-8CFE-DCE544578CF3}"/>
    <cellStyle name="Normal 6 2 3 2 2 11" xfId="11963" xr:uid="{B7350565-AC75-4384-99A3-054075F9756A}"/>
    <cellStyle name="Normal 6 2 3 2 2 12" xfId="13708" xr:uid="{45D141A0-D01F-4375-B2C2-D01D5B78599C}"/>
    <cellStyle name="Normal 6 2 3 2 2 2" xfId="1431" xr:uid="{8D9890F2-CD56-411E-A7A3-426EDE832542}"/>
    <cellStyle name="Normal 6 2 3 2 2 2 10" xfId="12211" xr:uid="{F188B1CB-DBAF-4E4B-AC36-B95B4B260F70}"/>
    <cellStyle name="Normal 6 2 3 2 2 2 11" xfId="13956" xr:uid="{8C509E0E-9509-4893-9DB9-A1AA2E0E0881}"/>
    <cellStyle name="Normal 6 2 3 2 2 2 2" xfId="1937" xr:uid="{975AA78C-8BAD-405B-8EE4-3DF251E0FFE3}"/>
    <cellStyle name="Normal 6 2 3 2 2 2 2 2" xfId="4659" xr:uid="{AC195861-E3BE-4A80-AC9B-044483FCA678}"/>
    <cellStyle name="Normal 6 2 3 2 2 2 2 2 2" xfId="10105" xr:uid="{AA8F0747-D581-4689-8AF6-29C737C53D33}"/>
    <cellStyle name="Normal 6 2 3 2 2 2 2 3" xfId="3649" xr:uid="{1951998F-F39F-48D5-90AE-53637441A319}"/>
    <cellStyle name="Normal 6 2 3 2 2 2 2 4" xfId="7583" xr:uid="{3C844FEE-12E8-45C2-8BDF-D066B0470C72}"/>
    <cellStyle name="Normal 6 2 3 2 2 2 2 5" xfId="9097" xr:uid="{F99812FB-AC29-412E-912F-C9F2C79A5E7D}"/>
    <cellStyle name="Normal 6 2 3 2 2 2 2 6" xfId="12717" xr:uid="{1D935AD5-C25F-473C-8C97-8C1D9502FAF6}"/>
    <cellStyle name="Normal 6 2 3 2 2 2 2 7" xfId="14462" xr:uid="{74A7AB1A-BE59-4198-9F65-F0EFF69125FF}"/>
    <cellStyle name="Normal 6 2 3 2 2 2 3" xfId="2445" xr:uid="{6934ADF1-AC09-431B-8B97-DA4FE39E338D}"/>
    <cellStyle name="Normal 6 2 3 2 2 2 3 2" xfId="4165" xr:uid="{A5C9A84C-CC49-4FB2-B853-F5B268353BEB}"/>
    <cellStyle name="Normal 6 2 3 2 2 2 3 3" xfId="8091" xr:uid="{E53335CF-304B-401C-96A9-A98D82B984EE}"/>
    <cellStyle name="Normal 6 2 3 2 2 2 3 4" xfId="9609" xr:uid="{ADA76696-E6D9-4A6F-8D2B-EB3108F26778}"/>
    <cellStyle name="Normal 6 2 3 2 2 2 3 5" xfId="13223" xr:uid="{980D7EFF-D151-4E4B-A155-A669E4C06FF1}"/>
    <cellStyle name="Normal 6 2 3 2 2 2 3 6" xfId="14968" xr:uid="{A171F7AC-C7F8-46C5-9A8A-F9782A04B2E3}"/>
    <cellStyle name="Normal 6 2 3 2 2 2 4" xfId="5137" xr:uid="{F3B1C73E-0AE2-46FE-A04D-45EA7C56B899}"/>
    <cellStyle name="Normal 6 2 3 2 2 2 4 2" xfId="10607" xr:uid="{B26A33C7-9081-483C-B348-83E4DE58FFF6}"/>
    <cellStyle name="Normal 6 2 3 2 2 2 5" xfId="5635" xr:uid="{BCC8D28A-5DE2-4442-9A51-317D912EFB3C}"/>
    <cellStyle name="Normal 6 2 3 2 2 2 5 2" xfId="11109" xr:uid="{0687E35A-2780-4775-A551-EDB9AC5EB3D1}"/>
    <cellStyle name="Normal 6 2 3 2 2 2 6" xfId="6137" xr:uid="{9C419773-1CE8-45D2-8C67-C620C69890A5}"/>
    <cellStyle name="Normal 6 2 3 2 2 2 6 2" xfId="11611" xr:uid="{BDB03886-E788-4FAD-8BDC-1925CF6BC73B}"/>
    <cellStyle name="Normal 6 2 3 2 2 2 7" xfId="3155" xr:uid="{29D9A248-DEEB-4467-981E-1BC9CB96D301}"/>
    <cellStyle name="Normal 6 2 3 2 2 2 8" xfId="7077" xr:uid="{72D1FA89-6BEF-4C69-B81D-45BF468A0859}"/>
    <cellStyle name="Normal 6 2 3 2 2 2 9" xfId="8601" xr:uid="{008E4A91-91C4-4C04-92D1-04B8F89DEDC4}"/>
    <cellStyle name="Normal 6 2 3 2 2 3" xfId="1689" xr:uid="{E324D954-DDD6-472A-9D6F-B972CF27CCBF}"/>
    <cellStyle name="Normal 6 2 3 2 2 3 2" xfId="4411" xr:uid="{18681126-8D5E-4463-8329-4439CBE5D996}"/>
    <cellStyle name="Normal 6 2 3 2 2 3 2 2" xfId="9857" xr:uid="{304B93A7-8935-4D2C-AA2C-3A8A57F74447}"/>
    <cellStyle name="Normal 6 2 3 2 2 3 3" xfId="3401" xr:uid="{4D49E49E-4B25-4863-8557-022844F34A82}"/>
    <cellStyle name="Normal 6 2 3 2 2 3 4" xfId="7335" xr:uid="{E15CDFA2-34C9-4E36-95E2-D9F5C024274C}"/>
    <cellStyle name="Normal 6 2 3 2 2 3 5" xfId="8849" xr:uid="{9DC9118C-CAA9-4CD2-B8B2-300FC0F260CE}"/>
    <cellStyle name="Normal 6 2 3 2 2 3 6" xfId="12469" xr:uid="{13F4FBF5-0505-4150-9FF7-B703CCE5ADB3}"/>
    <cellStyle name="Normal 6 2 3 2 2 3 7" xfId="14214" xr:uid="{BFD7D828-6B7D-48A0-BF33-455D3E18A102}"/>
    <cellStyle name="Normal 6 2 3 2 2 4" xfId="2197" xr:uid="{528C391F-4C34-485E-B65B-3C4F145BDA7A}"/>
    <cellStyle name="Normal 6 2 3 2 2 4 2" xfId="3917" xr:uid="{0B579FD4-DBDD-4DA8-AB4C-34FD4820FD00}"/>
    <cellStyle name="Normal 6 2 3 2 2 4 3" xfId="7843" xr:uid="{18DD1C3C-E8DD-4000-BFA9-4A24006DC97D}"/>
    <cellStyle name="Normal 6 2 3 2 2 4 4" xfId="9361" xr:uid="{95CBF13C-A8CD-4316-9C7A-CB28027BBDCF}"/>
    <cellStyle name="Normal 6 2 3 2 2 4 5" xfId="12975" xr:uid="{8B3DEDA0-BFC4-4732-AD90-BC7A2DBFA174}"/>
    <cellStyle name="Normal 6 2 3 2 2 4 6" xfId="14720" xr:uid="{548EE8EF-6A09-46D3-9AB3-C63D4CDDD520}"/>
    <cellStyle name="Normal 6 2 3 2 2 5" xfId="4897" xr:uid="{A55F70B8-D2F5-4826-9CAE-8DA802AFF681}"/>
    <cellStyle name="Normal 6 2 3 2 2 5 2" xfId="10359" xr:uid="{0884AB34-D7F2-4ADC-9CA8-754282EED593}"/>
    <cellStyle name="Normal 6 2 3 2 2 6" xfId="5387" xr:uid="{23791752-0176-46C1-A0C8-CC833A5499AE}"/>
    <cellStyle name="Normal 6 2 3 2 2 6 2" xfId="10861" xr:uid="{6E3470E4-F3C0-48E0-8343-16BF680DCF37}"/>
    <cellStyle name="Normal 6 2 3 2 2 7" xfId="5889" xr:uid="{DC362476-51C3-42E3-A865-FF54A50187A4}"/>
    <cellStyle name="Normal 6 2 3 2 2 7 2" xfId="11363" xr:uid="{2268CD1C-ED8C-4B7A-A378-6F4204B250E7}"/>
    <cellStyle name="Normal 6 2 3 2 2 8" xfId="2913" xr:uid="{D3DCBBEB-08AB-47A3-9190-1A5DEBCCAA66}"/>
    <cellStyle name="Normal 6 2 3 2 2 9" xfId="6829" xr:uid="{4E73E11A-392F-446C-A5B1-64ADEACBEE42}"/>
    <cellStyle name="Normal 6 2 3 2 3" xfId="1307" xr:uid="{4386E078-CB54-4B53-B35B-D4965D65D027}"/>
    <cellStyle name="Normal 6 2 3 2 3 10" xfId="12087" xr:uid="{F077B802-1D60-47FE-9827-6287F14CCE87}"/>
    <cellStyle name="Normal 6 2 3 2 3 11" xfId="13832" xr:uid="{E477A749-32EE-4165-9C65-26024EAD0E78}"/>
    <cellStyle name="Normal 6 2 3 2 3 2" xfId="1813" xr:uid="{AED6135A-9C16-4B68-9C8E-0B4DBE6CB4F1}"/>
    <cellStyle name="Normal 6 2 3 2 3 2 2" xfId="4535" xr:uid="{91FE1069-305A-46ED-8E41-15B7BFED2ED3}"/>
    <cellStyle name="Normal 6 2 3 2 3 2 2 2" xfId="9981" xr:uid="{1B62AD2E-241B-4C75-8ED4-4DCC6DC5BA67}"/>
    <cellStyle name="Normal 6 2 3 2 3 2 3" xfId="3525" xr:uid="{A44456A3-1547-4990-93F5-DA40ECC488D7}"/>
    <cellStyle name="Normal 6 2 3 2 3 2 4" xfId="7459" xr:uid="{B4D92ACE-0364-4963-8CE1-128B1F835B77}"/>
    <cellStyle name="Normal 6 2 3 2 3 2 5" xfId="8973" xr:uid="{3F84923D-06F6-4570-9DCC-CCCC4D9E8146}"/>
    <cellStyle name="Normal 6 2 3 2 3 2 6" xfId="12593" xr:uid="{CF231352-4EB3-4BC3-9CE6-043BA57C3F4B}"/>
    <cellStyle name="Normal 6 2 3 2 3 2 7" xfId="14338" xr:uid="{9479DCA2-6F11-4D7B-A988-81D48D4D5557}"/>
    <cellStyle name="Normal 6 2 3 2 3 3" xfId="2321" xr:uid="{795509AF-F81B-4705-8242-9F7592282B6A}"/>
    <cellStyle name="Normal 6 2 3 2 3 3 2" xfId="4041" xr:uid="{7B27AD07-14D0-4C64-8298-BAED4EAB99CD}"/>
    <cellStyle name="Normal 6 2 3 2 3 3 3" xfId="7967" xr:uid="{60317AFF-B2EF-4D41-AE82-0A7DC01B3B83}"/>
    <cellStyle name="Normal 6 2 3 2 3 3 4" xfId="9485" xr:uid="{7A3C8240-57E5-484F-9346-C1526D45E9BD}"/>
    <cellStyle name="Normal 6 2 3 2 3 3 5" xfId="13099" xr:uid="{8D78D340-1085-42FD-ADB6-7462D3BA310A}"/>
    <cellStyle name="Normal 6 2 3 2 3 3 6" xfId="14844" xr:uid="{38EB0C20-56F0-4882-88B7-37165246FD43}"/>
    <cellStyle name="Normal 6 2 3 2 3 4" xfId="5013" xr:uid="{8658E79D-CDF7-4397-9DFA-E6B5B1E134D1}"/>
    <cellStyle name="Normal 6 2 3 2 3 4 2" xfId="10483" xr:uid="{77BAF12E-4B73-4043-AA8D-E44FAE1F4F05}"/>
    <cellStyle name="Normal 6 2 3 2 3 5" xfId="5511" xr:uid="{B2785F71-0695-4CD5-8159-802731270433}"/>
    <cellStyle name="Normal 6 2 3 2 3 5 2" xfId="10985" xr:uid="{10E19E2A-8829-4B2F-BB77-1ECC9B4AAFA1}"/>
    <cellStyle name="Normal 6 2 3 2 3 6" xfId="6013" xr:uid="{97D6A29D-8736-4D21-9966-D23EF7D7A86F}"/>
    <cellStyle name="Normal 6 2 3 2 3 6 2" xfId="11487" xr:uid="{D2E22307-3027-40FF-A04B-58E1DA0D93D2}"/>
    <cellStyle name="Normal 6 2 3 2 3 7" xfId="3031" xr:uid="{170EB818-1E84-4BF6-8A49-6B53FEC3B630}"/>
    <cellStyle name="Normal 6 2 3 2 3 8" xfId="6953" xr:uid="{6B60C2EA-9287-46F6-AB9D-2399916F8BAA}"/>
    <cellStyle name="Normal 6 2 3 2 3 9" xfId="8477" xr:uid="{D96C5F5B-1F0C-4384-AD43-4476BE4F87F9}"/>
    <cellStyle name="Normal 6 2 3 2 4" xfId="1565" xr:uid="{8C4A9BCF-5C77-435A-A170-098F08AFDDF3}"/>
    <cellStyle name="Normal 6 2 3 2 4 2" xfId="4287" xr:uid="{804BD7BF-41F3-4B60-A078-0D50AC152A8D}"/>
    <cellStyle name="Normal 6 2 3 2 4 2 2" xfId="9733" xr:uid="{BA1A503D-4B5B-479E-9D73-B78FB4E391ED}"/>
    <cellStyle name="Normal 6 2 3 2 4 3" xfId="3277" xr:uid="{DE172D16-1398-4B0D-8911-4F812084EA70}"/>
    <cellStyle name="Normal 6 2 3 2 4 4" xfId="7211" xr:uid="{ADA63DAD-E1B7-4F3B-8647-51D70D68B911}"/>
    <cellStyle name="Normal 6 2 3 2 4 5" xfId="8725" xr:uid="{9E3BA310-58F8-4A40-8856-6B342B96F12C}"/>
    <cellStyle name="Normal 6 2 3 2 4 6" xfId="12345" xr:uid="{ADF8B7AC-C282-438D-A982-07150C711ECF}"/>
    <cellStyle name="Normal 6 2 3 2 4 7" xfId="14090" xr:uid="{D0A5EC73-F653-46DA-930D-BD3433BD2535}"/>
    <cellStyle name="Normal 6 2 3 2 5" xfId="2073" xr:uid="{C2A2346D-2A1D-4552-84F6-FB3990BED362}"/>
    <cellStyle name="Normal 6 2 3 2 5 2" xfId="3793" xr:uid="{AFDF186A-71E7-4FBE-A38A-68C8917DE539}"/>
    <cellStyle name="Normal 6 2 3 2 5 3" xfId="7719" xr:uid="{51787768-4124-4DAA-A6A5-00BF33364A57}"/>
    <cellStyle name="Normal 6 2 3 2 5 4" xfId="9237" xr:uid="{1E64A5DC-9DE2-4664-94D5-D817BDCEC5D3}"/>
    <cellStyle name="Normal 6 2 3 2 5 5" xfId="12851" xr:uid="{A148B2A7-EE8F-4210-9478-3881FB10C68F}"/>
    <cellStyle name="Normal 6 2 3 2 5 6" xfId="14596" xr:uid="{A3CD6925-D3DA-4661-A708-ACBBD51D1698}"/>
    <cellStyle name="Normal 6 2 3 2 6" xfId="2593" xr:uid="{23175F4E-DA9E-4D3B-AD67-512F4FA8DD4E}"/>
    <cellStyle name="Normal 6 2 3 2 6 2" xfId="6705" xr:uid="{C8AAA25A-180F-4EBC-AE11-A69B0AD4C776}"/>
    <cellStyle name="Normal 6 2 3 2 6 3" xfId="10235" xr:uid="{D28F44C3-B466-4853-BB3A-F02E56A21BD5}"/>
    <cellStyle name="Normal 6 2 3 2 6 4" xfId="13584" xr:uid="{BA9655F3-36D0-4663-9EB3-091E5D4D363F}"/>
    <cellStyle name="Normal 6 2 3 2 7" xfId="5263" xr:uid="{E4AEA4AC-8BB2-4725-8BAD-0537404A1B72}"/>
    <cellStyle name="Normal 6 2 3 2 7 2" xfId="10737" xr:uid="{959D92F8-1330-47E5-8DCF-2DAD7806AD62}"/>
    <cellStyle name="Normal 6 2 3 2 8" xfId="5765" xr:uid="{B8152719-7502-4510-A013-46F5ACEFD4CC}"/>
    <cellStyle name="Normal 6 2 3 2 8 2" xfId="11239" xr:uid="{128011FB-B592-40A7-BD9E-34D682D452B2}"/>
    <cellStyle name="Normal 6 2 3 2 9" xfId="6360" xr:uid="{E9F02732-18BC-4030-BE23-C3510A043879}"/>
    <cellStyle name="Normal 6 2 3 3" xfId="436" xr:uid="{00000000-0005-0000-0000-000070010000}"/>
    <cellStyle name="Normal 6 2 3 3 10" xfId="11910" xr:uid="{68747681-11FB-41BF-9BD8-B634977B7517}"/>
    <cellStyle name="Normal 6 2 3 3 11" xfId="13390" xr:uid="{A2C062EA-0293-428B-B2D9-445F98B262F3}"/>
    <cellStyle name="Normal 6 2 3 3 12" xfId="1130" xr:uid="{FB474622-ADDC-4E1E-86CB-81A7B21CFFFA}"/>
    <cellStyle name="Normal 6 2 3 3 2" xfId="1378" xr:uid="{7802C1DA-321E-4FCA-AA7C-15319C593A32}"/>
    <cellStyle name="Normal 6 2 3 3 2 10" xfId="12158" xr:uid="{B12A3B19-C11C-4ED0-BED4-C2E7D5A725AE}"/>
    <cellStyle name="Normal 6 2 3 3 2 11" xfId="13903" xr:uid="{B10AF625-04D1-4D09-AD74-FCEF41ABF6A6}"/>
    <cellStyle name="Normal 6 2 3 3 2 2" xfId="1884" xr:uid="{45B281E6-F5AF-442E-8069-6894FEFFBA1B}"/>
    <cellStyle name="Normal 6 2 3 3 2 2 2" xfId="4606" xr:uid="{97EE9AAD-6B00-4963-8232-5A3A63F88BD3}"/>
    <cellStyle name="Normal 6 2 3 3 2 2 2 2" xfId="10052" xr:uid="{8FE48460-851A-4C43-B10F-5BD01F82B2A4}"/>
    <cellStyle name="Normal 6 2 3 3 2 2 3" xfId="3596" xr:uid="{5C1FB85A-774C-446A-8A1B-6C92EDE58A4D}"/>
    <cellStyle name="Normal 6 2 3 3 2 2 4" xfId="7530" xr:uid="{AA5F33AE-6E62-4F05-8730-99F5CF0807D8}"/>
    <cellStyle name="Normal 6 2 3 3 2 2 5" xfId="9044" xr:uid="{87A7B46A-98CA-40DA-B0A1-3E71695F676B}"/>
    <cellStyle name="Normal 6 2 3 3 2 2 6" xfId="12664" xr:uid="{76986AD3-09A1-49DA-A191-803000D8322A}"/>
    <cellStyle name="Normal 6 2 3 3 2 2 7" xfId="14409" xr:uid="{5A0C5594-FBC9-46A0-810C-2DFEDE9EECCF}"/>
    <cellStyle name="Normal 6 2 3 3 2 3" xfId="2392" xr:uid="{FB5427CD-16C9-4FD0-A532-66E4E11B10F6}"/>
    <cellStyle name="Normal 6 2 3 3 2 3 2" xfId="4112" xr:uid="{AD9B51E7-2A4D-43BA-8157-8C1AB07B08D2}"/>
    <cellStyle name="Normal 6 2 3 3 2 3 3" xfId="8038" xr:uid="{AA962371-23E2-4063-90EC-BD426D18284D}"/>
    <cellStyle name="Normal 6 2 3 3 2 3 4" xfId="9556" xr:uid="{B6501A78-43C0-4D28-8241-50DB44AD825C}"/>
    <cellStyle name="Normal 6 2 3 3 2 3 5" xfId="13170" xr:uid="{1A6B5869-55AF-469A-BD70-B15070A142AE}"/>
    <cellStyle name="Normal 6 2 3 3 2 3 6" xfId="14915" xr:uid="{97678F90-7F7D-46BA-816D-CC913A1A5724}"/>
    <cellStyle name="Normal 6 2 3 3 2 4" xfId="5084" xr:uid="{A8992EF1-909E-485D-BF46-2116D498B1FD}"/>
    <cellStyle name="Normal 6 2 3 3 2 4 2" xfId="10554" xr:uid="{71351FB1-2967-4357-90E2-AAA85A539256}"/>
    <cellStyle name="Normal 6 2 3 3 2 5" xfId="5582" xr:uid="{15AC376C-639A-4ED8-8CE2-58D93DB8FE4A}"/>
    <cellStyle name="Normal 6 2 3 3 2 5 2" xfId="11056" xr:uid="{CCC8BBD2-7630-4891-98B7-BA20957729B7}"/>
    <cellStyle name="Normal 6 2 3 3 2 6" xfId="6084" xr:uid="{6E9F5ED2-43A7-495B-9539-0603A5BE8C27}"/>
    <cellStyle name="Normal 6 2 3 3 2 6 2" xfId="11558" xr:uid="{247C6A17-1722-4EA0-B288-42D342456BFA}"/>
    <cellStyle name="Normal 6 2 3 3 2 7" xfId="3102" xr:uid="{3A6CF75A-4138-49D5-BF1E-573E466A5448}"/>
    <cellStyle name="Normal 6 2 3 3 2 8" xfId="7024" xr:uid="{A2524EBA-8B27-4A65-A17F-942C5506A321}"/>
    <cellStyle name="Normal 6 2 3 3 2 9" xfId="8548" xr:uid="{34DAC29D-4B13-45B6-B4E4-B8E096FDB599}"/>
    <cellStyle name="Normal 6 2 3 3 3" xfId="1636" xr:uid="{4F8BC627-E034-4492-AD3D-B05470C6FCF2}"/>
    <cellStyle name="Normal 6 2 3 3 3 2" xfId="4358" xr:uid="{DDBE4E4F-CB7D-420B-A85A-EA9EF06EB571}"/>
    <cellStyle name="Normal 6 2 3 3 3 2 2" xfId="9804" xr:uid="{530C2C89-86B5-456C-A019-FC2042AE2C3D}"/>
    <cellStyle name="Normal 6 2 3 3 3 3" xfId="3348" xr:uid="{BA03A9A5-3452-482C-B6BC-0A3E3D16B49A}"/>
    <cellStyle name="Normal 6 2 3 3 3 4" xfId="7282" xr:uid="{A625DBB8-E28B-476D-BF82-0BEE06180F1D}"/>
    <cellStyle name="Normal 6 2 3 3 3 5" xfId="8796" xr:uid="{4863226B-34E1-471A-9D3C-32032FCC5437}"/>
    <cellStyle name="Normal 6 2 3 3 3 6" xfId="12416" xr:uid="{8EDA9AFD-F291-4C93-B83D-E050525DC6F2}"/>
    <cellStyle name="Normal 6 2 3 3 3 7" xfId="14161" xr:uid="{C2BD6DD6-C8DD-4277-A686-151606B36846}"/>
    <cellStyle name="Normal 6 2 3 3 4" xfId="2144" xr:uid="{D7F75022-68A8-46C0-A089-D9FAE1D73794}"/>
    <cellStyle name="Normal 6 2 3 3 4 2" xfId="3864" xr:uid="{7BDA425F-1ABC-45F7-BDAF-263B5D3A8608}"/>
    <cellStyle name="Normal 6 2 3 3 4 3" xfId="7790" xr:uid="{E8F93941-7743-4FB9-A805-B97B9CEBA209}"/>
    <cellStyle name="Normal 6 2 3 3 4 4" xfId="9308" xr:uid="{E8014A9B-3171-4FE4-AFEC-4299EB8BCA3D}"/>
    <cellStyle name="Normal 6 2 3 3 4 5" xfId="12922" xr:uid="{8693A24C-2550-453C-AE7B-344086060EBD}"/>
    <cellStyle name="Normal 6 2 3 3 4 6" xfId="14667" xr:uid="{0B7B597C-29FB-4F82-B9D6-AF491805898A}"/>
    <cellStyle name="Normal 6 2 3 3 5" xfId="2644" xr:uid="{311D1C39-9EC2-4E24-9730-4B40618358A5}"/>
    <cellStyle name="Normal 6 2 3 3 5 2" xfId="6776" xr:uid="{B14747B0-57F3-481D-B44A-DB89CBA96074}"/>
    <cellStyle name="Normal 6 2 3 3 5 3" xfId="10306" xr:uid="{F017D3B3-58A3-4E85-8F63-F00FC9648C4A}"/>
    <cellStyle name="Normal 6 2 3 3 5 4" xfId="13655" xr:uid="{4B713BD2-81B1-482C-B6A6-3195B48BCC1C}"/>
    <cellStyle name="Normal 6 2 3 3 6" xfId="5334" xr:uid="{6540034D-2E38-422C-BB35-BB93DC5E045C}"/>
    <cellStyle name="Normal 6 2 3 3 6 2" xfId="10808" xr:uid="{E42735D2-174F-4381-8C33-1158CCD1B63D}"/>
    <cellStyle name="Normal 6 2 3 3 7" xfId="5836" xr:uid="{1591155E-9B58-4F91-80F9-C5B939AAF317}"/>
    <cellStyle name="Normal 6 2 3 3 7 2" xfId="11310" xr:uid="{135B2805-823D-400D-A48C-6550B060BFEB}"/>
    <cellStyle name="Normal 6 2 3 3 8" xfId="6411" xr:uid="{6558F691-CE18-43B5-BDAD-A7DFB3878E3C}"/>
    <cellStyle name="Normal 6 2 3 3 9" xfId="8300" xr:uid="{DACA7C7F-20FD-47FD-908B-64495407E4E0}"/>
    <cellStyle name="Normal 6 2 3 4" xfId="493" xr:uid="{00000000-0005-0000-0000-000071010000}"/>
    <cellStyle name="Normal 6 2 3 4 10" xfId="13446" xr:uid="{88603153-5C4E-4AF0-8537-9999C2EB5404}"/>
    <cellStyle name="Normal 6 2 3 4 11" xfId="1254" xr:uid="{93BB5CE0-06D3-499C-B8C3-2E8D3240384F}"/>
    <cellStyle name="Normal 6 2 3 4 2" xfId="1760" xr:uid="{66202A6B-C16E-456D-8CAE-11A9F6E4903C}"/>
    <cellStyle name="Normal 6 2 3 4 2 2" xfId="4482" xr:uid="{4CECC77F-E687-43DC-A005-5F5C634E51C4}"/>
    <cellStyle name="Normal 6 2 3 4 2 2 2" xfId="9928" xr:uid="{FE6DC568-64A0-4BA8-B0C9-DE6EF04FAF85}"/>
    <cellStyle name="Normal 6 2 3 4 2 3" xfId="3472" xr:uid="{489A0E25-6B99-4A21-9063-909B963C6707}"/>
    <cellStyle name="Normal 6 2 3 4 2 4" xfId="7406" xr:uid="{967BB462-0F7F-4147-9D59-533DD205830D}"/>
    <cellStyle name="Normal 6 2 3 4 2 5" xfId="8920" xr:uid="{5977C7CA-665F-4E83-A2D3-ED3BCEF467FA}"/>
    <cellStyle name="Normal 6 2 3 4 2 6" xfId="12540" xr:uid="{6FAE4230-9AC6-4C4C-9392-5BA89A4095E6}"/>
    <cellStyle name="Normal 6 2 3 4 2 7" xfId="14285" xr:uid="{0E2D5F11-1DC8-42FD-BDB5-6FA41C1E954A}"/>
    <cellStyle name="Normal 6 2 3 4 3" xfId="2268" xr:uid="{D548D094-EC8E-43BA-B682-993C30E017DC}"/>
    <cellStyle name="Normal 6 2 3 4 3 2" xfId="3988" xr:uid="{208A0670-BC85-4FB6-98B2-E79F9DCD8ACC}"/>
    <cellStyle name="Normal 6 2 3 4 3 3" xfId="7914" xr:uid="{00B4640E-5635-4BEC-8096-0A6D1E5D3368}"/>
    <cellStyle name="Normal 6 2 3 4 3 4" xfId="9432" xr:uid="{D002196C-4914-4801-8D2F-ECD945890D36}"/>
    <cellStyle name="Normal 6 2 3 4 3 5" xfId="13046" xr:uid="{32B6CE0D-92C5-4416-A1D0-93200EFBCD59}"/>
    <cellStyle name="Normal 6 2 3 4 3 6" xfId="14791" xr:uid="{BF75DCEC-F03D-4159-830D-4DB7EA8448F0}"/>
    <cellStyle name="Normal 6 2 3 4 4" xfId="2700" xr:uid="{6D3492E9-F6B6-4A8E-8B0A-1887977A347B}"/>
    <cellStyle name="Normal 6 2 3 4 4 2" xfId="6900" xr:uid="{8EBD42AA-BFA4-4230-951F-360C877C5581}"/>
    <cellStyle name="Normal 6 2 3 4 4 3" xfId="10430" xr:uid="{2FAF6E38-A385-4A32-A504-64447BA15E68}"/>
    <cellStyle name="Normal 6 2 3 4 4 4" xfId="13779" xr:uid="{170DFFAC-14DD-4A8A-911D-3C8580401776}"/>
    <cellStyle name="Normal 6 2 3 4 5" xfId="5458" xr:uid="{644E47E3-8D01-4361-B3F7-AA35731EF5BF}"/>
    <cellStyle name="Normal 6 2 3 4 5 2" xfId="10932" xr:uid="{474F8B3C-A1BA-41BF-8E7B-E59938471B4E}"/>
    <cellStyle name="Normal 6 2 3 4 6" xfId="5960" xr:uid="{E6D68756-DFEC-4180-8BEF-F8686D097E55}"/>
    <cellStyle name="Normal 6 2 3 4 6 2" xfId="11434" xr:uid="{A3825439-4C8E-47E1-B556-901D304BBB72}"/>
    <cellStyle name="Normal 6 2 3 4 7" xfId="6467" xr:uid="{09194118-7CED-4C61-8C30-F2184551E04C}"/>
    <cellStyle name="Normal 6 2 3 4 8" xfId="8424" xr:uid="{BDA368D8-029C-474B-8A23-D3179D58A428}"/>
    <cellStyle name="Normal 6 2 3 4 9" xfId="12034" xr:uid="{C9F2DDD0-15DC-4ABC-81CF-F68E9042EE94}"/>
    <cellStyle name="Normal 6 2 3 5" xfId="1512" xr:uid="{A687EBC9-3C61-4554-B7FB-23BE585E9230}"/>
    <cellStyle name="Normal 6 2 3 5 2" xfId="4236" xr:uid="{AFBDE713-F9B9-4134-BEB9-4D66545C8EA7}"/>
    <cellStyle name="Normal 6 2 3 5 2 2" xfId="9680" xr:uid="{C4EA36B4-0C73-42DC-824E-F7C0F53C3752}"/>
    <cellStyle name="Normal 6 2 3 5 3" xfId="3226" xr:uid="{8242E270-FD95-4731-A4DF-24187044C9D6}"/>
    <cellStyle name="Normal 6 2 3 5 4" xfId="7158" xr:uid="{0F713D52-4173-4405-BEE2-8FB0AC7D791E}"/>
    <cellStyle name="Normal 6 2 3 5 5" xfId="8672" xr:uid="{8AF00422-11BC-44DF-B62C-88332F4208D5}"/>
    <cellStyle name="Normal 6 2 3 5 6" xfId="12292" xr:uid="{60289F69-37BB-4AB1-B206-15C73835E902}"/>
    <cellStyle name="Normal 6 2 3 5 7" xfId="14037" xr:uid="{77D4E690-5BB9-4800-9745-3C5969C36B02}"/>
    <cellStyle name="Normal 6 2 3 6" xfId="2020" xr:uid="{8A39EF9F-5455-4911-9AC9-BD34AC11FA8F}"/>
    <cellStyle name="Normal 6 2 3 6 2" xfId="3740" xr:uid="{61692F41-982B-4ED2-9349-4A9B619BA251}"/>
    <cellStyle name="Normal 6 2 3 6 3" xfId="7666" xr:uid="{F70EFA85-C31C-4D07-9CBA-C7494AAE63E9}"/>
    <cellStyle name="Normal 6 2 3 6 4" xfId="9184" xr:uid="{B468016D-6339-4302-BEEE-E5A54B9DF478}"/>
    <cellStyle name="Normal 6 2 3 6 5" xfId="12798" xr:uid="{8B7E0DF4-04A6-409B-A45B-842ADDDB5AB7}"/>
    <cellStyle name="Normal 6 2 3 6 6" xfId="14543" xr:uid="{95C41721-9112-44E7-AFD7-657CBA802AD8}"/>
    <cellStyle name="Normal 6 2 3 7" xfId="2537" xr:uid="{D1908694-CD7D-471F-AADC-51C5431DCA2D}"/>
    <cellStyle name="Normal 6 2 3 7 2" xfId="6652" xr:uid="{EA94661A-C92D-454E-85D6-B23FB0C52216}"/>
    <cellStyle name="Normal 6 2 3 7 3" xfId="10182" xr:uid="{3299A46B-9890-4A33-8355-5410F8ED88A4}"/>
    <cellStyle name="Normal 6 2 3 7 4" xfId="13531" xr:uid="{BCA259D2-38E4-43C6-A349-54BF861317FD}"/>
    <cellStyle name="Normal 6 2 3 8" xfId="5210" xr:uid="{0EDA225B-9FA1-4046-B802-B2328E90243B}"/>
    <cellStyle name="Normal 6 2 3 8 2" xfId="10684" xr:uid="{CF1DB174-3C76-43F7-A0E8-59A69F4C16D1}"/>
    <cellStyle name="Normal 6 2 3 9" xfId="5712" xr:uid="{80875C8D-A103-433F-B515-0B713C130F42}"/>
    <cellStyle name="Normal 6 2 3 9 2" xfId="11186" xr:uid="{A9BC13B2-D2DF-44A2-A204-15FCD9B428BC}"/>
    <cellStyle name="Normal 6 2 4" xfId="344" xr:uid="{00000000-0005-0000-0000-000072010000}"/>
    <cellStyle name="Normal 6 2 4 10" xfId="8227" xr:uid="{FBCD8706-8D92-4DD3-ADA4-EBA78247BD09}"/>
    <cellStyle name="Normal 6 2 4 11" xfId="11837" xr:uid="{A13284BB-1285-4AC2-9B7D-D430C8D493F7}"/>
    <cellStyle name="Normal 6 2 4 12" xfId="13299" xr:uid="{58D84A64-C496-4834-8307-6269298FB419}"/>
    <cellStyle name="Normal 6 2 4 13" xfId="1057" xr:uid="{967E8F3A-F874-4206-ADC3-679D574DB7BE}"/>
    <cellStyle name="Normal 6 2 4 2" xfId="1181" xr:uid="{EABBAEC6-8461-473F-8A2E-8AA40B714C05}"/>
    <cellStyle name="Normal 6 2 4 2 10" xfId="8351" xr:uid="{ECED33EE-8426-4F34-A1FF-092D467B1F0B}"/>
    <cellStyle name="Normal 6 2 4 2 11" xfId="11961" xr:uid="{FB0286DD-9930-4D7E-A109-50576883FBA2}"/>
    <cellStyle name="Normal 6 2 4 2 12" xfId="13706" xr:uid="{3415F0C2-B56B-47A4-8061-6DD455F1A9BB}"/>
    <cellStyle name="Normal 6 2 4 2 2" xfId="1429" xr:uid="{455A49B3-7015-4385-926D-BCDB553D0ACC}"/>
    <cellStyle name="Normal 6 2 4 2 2 10" xfId="12209" xr:uid="{0E783DF3-9A10-4834-B6B5-A599E1C8E792}"/>
    <cellStyle name="Normal 6 2 4 2 2 11" xfId="13954" xr:uid="{37E38FFF-0D8E-42A1-8BCF-20CFF49C8CEE}"/>
    <cellStyle name="Normal 6 2 4 2 2 2" xfId="1935" xr:uid="{735C366D-32E7-45A4-A9AC-66E6AEC2F129}"/>
    <cellStyle name="Normal 6 2 4 2 2 2 2" xfId="4657" xr:uid="{B88E930E-DC97-4FA8-A35E-06E6C62A08FD}"/>
    <cellStyle name="Normal 6 2 4 2 2 2 2 2" xfId="10103" xr:uid="{D30E428C-409F-4482-BF78-E05FA814E37E}"/>
    <cellStyle name="Normal 6 2 4 2 2 2 3" xfId="3647" xr:uid="{0F9A904F-FCA2-4AF5-B20D-9451555F3242}"/>
    <cellStyle name="Normal 6 2 4 2 2 2 4" xfId="7581" xr:uid="{63F765C0-3CDC-425A-AAE0-AEB6EE727EBA}"/>
    <cellStyle name="Normal 6 2 4 2 2 2 5" xfId="9095" xr:uid="{3AF516C7-796E-45D0-85AA-CBE8529E70C2}"/>
    <cellStyle name="Normal 6 2 4 2 2 2 6" xfId="12715" xr:uid="{6366BCDF-AA81-4E0F-A2EA-D44641FADD0E}"/>
    <cellStyle name="Normal 6 2 4 2 2 2 7" xfId="14460" xr:uid="{AB683106-BE68-4B6C-A537-F50D2A0E8BCF}"/>
    <cellStyle name="Normal 6 2 4 2 2 3" xfId="2443" xr:uid="{B20C0C2C-5998-4BE6-A061-6A197B799D10}"/>
    <cellStyle name="Normal 6 2 4 2 2 3 2" xfId="4163" xr:uid="{9FA38216-454A-4B4E-8A5B-FDC978789159}"/>
    <cellStyle name="Normal 6 2 4 2 2 3 3" xfId="8089" xr:uid="{3D6A5FC1-3335-4119-96F0-3710577F790C}"/>
    <cellStyle name="Normal 6 2 4 2 2 3 4" xfId="9607" xr:uid="{6C12B363-9662-4D2A-8290-3FB9C92CFD9A}"/>
    <cellStyle name="Normal 6 2 4 2 2 3 5" xfId="13221" xr:uid="{AEC38C9C-E399-4308-B292-30458003E31F}"/>
    <cellStyle name="Normal 6 2 4 2 2 3 6" xfId="14966" xr:uid="{3E614657-AC3D-46AF-899C-D2D902ECDAE5}"/>
    <cellStyle name="Normal 6 2 4 2 2 4" xfId="5135" xr:uid="{1AF84701-95F8-49B6-8041-3B882324B138}"/>
    <cellStyle name="Normal 6 2 4 2 2 4 2" xfId="10605" xr:uid="{955C66B6-82A7-43DC-BF48-A15F973CDCDC}"/>
    <cellStyle name="Normal 6 2 4 2 2 5" xfId="5633" xr:uid="{3613B540-AB33-492C-901B-6F349F6A188F}"/>
    <cellStyle name="Normal 6 2 4 2 2 5 2" xfId="11107" xr:uid="{21A26ED9-16AF-4322-A344-877713843EF6}"/>
    <cellStyle name="Normal 6 2 4 2 2 6" xfId="6135" xr:uid="{B643E86E-3CC3-4EC0-9C90-47609E63DE8F}"/>
    <cellStyle name="Normal 6 2 4 2 2 6 2" xfId="11609" xr:uid="{274D9A42-2CA1-43E5-AA76-8BC5C0ABD855}"/>
    <cellStyle name="Normal 6 2 4 2 2 7" xfId="3153" xr:uid="{5E86134E-1B05-4706-B434-F802F991CB58}"/>
    <cellStyle name="Normal 6 2 4 2 2 8" xfId="7075" xr:uid="{6DF65DD2-B6C8-4448-96FD-3A97BE5280B3}"/>
    <cellStyle name="Normal 6 2 4 2 2 9" xfId="8599" xr:uid="{6C1C7E59-8E8F-4926-A6D2-39C8E95EB13B}"/>
    <cellStyle name="Normal 6 2 4 2 3" xfId="1687" xr:uid="{7953D154-0713-4C04-A1CF-840198E546DB}"/>
    <cellStyle name="Normal 6 2 4 2 3 2" xfId="4409" xr:uid="{C8A71131-D12B-4E5C-8E59-B4BFE943B35D}"/>
    <cellStyle name="Normal 6 2 4 2 3 2 2" xfId="9855" xr:uid="{C6885A84-EA3C-478D-9918-5B3EEAD9CE27}"/>
    <cellStyle name="Normal 6 2 4 2 3 3" xfId="3399" xr:uid="{562B55B1-1E18-4405-944D-48ADDF6199FD}"/>
    <cellStyle name="Normal 6 2 4 2 3 4" xfId="7333" xr:uid="{06756D4A-D91B-459F-B317-415344E15084}"/>
    <cellStyle name="Normal 6 2 4 2 3 5" xfId="8847" xr:uid="{B67D1168-48EE-443F-83A0-A534DAB1D445}"/>
    <cellStyle name="Normal 6 2 4 2 3 6" xfId="12467" xr:uid="{377C17C5-3F00-411A-8460-7EDCB74DB89C}"/>
    <cellStyle name="Normal 6 2 4 2 3 7" xfId="14212" xr:uid="{F5B3B705-A6FE-4607-80FC-954DC0B284C9}"/>
    <cellStyle name="Normal 6 2 4 2 4" xfId="2195" xr:uid="{5727F378-ABEC-4AC2-BC91-440967EB034C}"/>
    <cellStyle name="Normal 6 2 4 2 4 2" xfId="3915" xr:uid="{ABD92054-2679-4EA8-9710-861E6D16E2E0}"/>
    <cellStyle name="Normal 6 2 4 2 4 3" xfId="7841" xr:uid="{1CB736F0-0BB2-4F92-BEF6-E5EF8636F350}"/>
    <cellStyle name="Normal 6 2 4 2 4 4" xfId="9359" xr:uid="{AC67D301-5874-4720-A25C-484CD898A6F3}"/>
    <cellStyle name="Normal 6 2 4 2 4 5" xfId="12973" xr:uid="{440B8275-52C2-4464-8A45-26083A5ADA3D}"/>
    <cellStyle name="Normal 6 2 4 2 4 6" xfId="14718" xr:uid="{B5857756-97A0-4990-B210-3A00A8BC2C14}"/>
    <cellStyle name="Normal 6 2 4 2 5" xfId="4896" xr:uid="{9A40F458-4B99-41BE-8A60-8A9AFEC93D59}"/>
    <cellStyle name="Normal 6 2 4 2 5 2" xfId="10357" xr:uid="{643195DB-1E37-4F57-A33A-3F3AE4729374}"/>
    <cellStyle name="Normal 6 2 4 2 6" xfId="5385" xr:uid="{5AD51FBC-64AA-4430-88DA-802C527A89C6}"/>
    <cellStyle name="Normal 6 2 4 2 6 2" xfId="10859" xr:uid="{D1110DE0-9D5D-4947-B52B-9119C06EAA95}"/>
    <cellStyle name="Normal 6 2 4 2 7" xfId="5887" xr:uid="{7C1D4E5F-668E-4DD0-AEFB-35829A88BC5D}"/>
    <cellStyle name="Normal 6 2 4 2 7 2" xfId="11361" xr:uid="{4260712A-5AA9-4C7B-A4A7-DB25C2FC223B}"/>
    <cellStyle name="Normal 6 2 4 2 8" xfId="2912" xr:uid="{4C065611-753A-4FDA-B7BA-D73EBB1B8B33}"/>
    <cellStyle name="Normal 6 2 4 2 9" xfId="6827" xr:uid="{9E64ACBE-03EA-40E9-9306-F5DAF7145927}"/>
    <cellStyle name="Normal 6 2 4 3" xfId="1305" xr:uid="{96174132-C0A2-47B6-B6F6-CF88A4480C78}"/>
    <cellStyle name="Normal 6 2 4 3 10" xfId="12085" xr:uid="{EA9D3F69-3277-4591-ABA1-68370135243B}"/>
    <cellStyle name="Normal 6 2 4 3 11" xfId="13830" xr:uid="{9ECDCCC1-F3F9-4330-AA1D-6677C9140C1A}"/>
    <cellStyle name="Normal 6 2 4 3 2" xfId="1811" xr:uid="{F1C5B508-1D8E-4B48-9568-432801551FC8}"/>
    <cellStyle name="Normal 6 2 4 3 2 2" xfId="4533" xr:uid="{73D9D755-E0D4-418B-9497-E1F7F5305D12}"/>
    <cellStyle name="Normal 6 2 4 3 2 2 2" xfId="9979" xr:uid="{DEC5D097-1238-467C-BD5B-A023D8B3BCCD}"/>
    <cellStyle name="Normal 6 2 4 3 2 3" xfId="3523" xr:uid="{FA9DA96C-FA9E-4AC0-ADDC-C0BCA104B223}"/>
    <cellStyle name="Normal 6 2 4 3 2 4" xfId="7457" xr:uid="{A31575BC-8FBC-48BD-BFA2-38A71B5A49EC}"/>
    <cellStyle name="Normal 6 2 4 3 2 5" xfId="8971" xr:uid="{3FEBA979-EC57-4D5C-87BE-1C6372F97A82}"/>
    <cellStyle name="Normal 6 2 4 3 2 6" xfId="12591" xr:uid="{90F04A93-F6C2-487E-BA6C-87271F3AF42D}"/>
    <cellStyle name="Normal 6 2 4 3 2 7" xfId="14336" xr:uid="{38D71E9D-BD2F-49B3-B94A-4C36D5A13F59}"/>
    <cellStyle name="Normal 6 2 4 3 3" xfId="2319" xr:uid="{89D4665E-4823-413F-8051-FBFB78768566}"/>
    <cellStyle name="Normal 6 2 4 3 3 2" xfId="4039" xr:uid="{3D597044-AFD4-44A9-977D-828E6FB612FE}"/>
    <cellStyle name="Normal 6 2 4 3 3 3" xfId="7965" xr:uid="{37280934-2005-4142-8EBA-FBA9CB17F082}"/>
    <cellStyle name="Normal 6 2 4 3 3 4" xfId="9483" xr:uid="{BD1AD9B1-2537-4454-AB17-AAE0D9D303EA}"/>
    <cellStyle name="Normal 6 2 4 3 3 5" xfId="13097" xr:uid="{F01ACD2A-0399-44D0-973E-032CAB79117E}"/>
    <cellStyle name="Normal 6 2 4 3 3 6" xfId="14842" xr:uid="{2B25481A-F31E-4F95-A6A3-E4BACD11B806}"/>
    <cellStyle name="Normal 6 2 4 3 4" xfId="5012" xr:uid="{4ACE8621-2013-44F1-BCAF-798D2572B26F}"/>
    <cellStyle name="Normal 6 2 4 3 4 2" xfId="10481" xr:uid="{46ECB606-5BAD-4451-A646-28ADD0AE5CD5}"/>
    <cellStyle name="Normal 6 2 4 3 5" xfId="5509" xr:uid="{18A82C72-F458-4F4E-9B09-73682DA85332}"/>
    <cellStyle name="Normal 6 2 4 3 5 2" xfId="10983" xr:uid="{D8640D35-FD9A-4808-9B52-6C721F4D2CBE}"/>
    <cellStyle name="Normal 6 2 4 3 6" xfId="6011" xr:uid="{677FD47D-CABC-4A4D-B22A-E03F5B23C419}"/>
    <cellStyle name="Normal 6 2 4 3 6 2" xfId="11485" xr:uid="{CB42F0EF-3D7C-4688-9C7D-7DD81828000E}"/>
    <cellStyle name="Normal 6 2 4 3 7" xfId="3030" xr:uid="{CB0952CE-C79A-46F8-B01D-62EE2E09C975}"/>
    <cellStyle name="Normal 6 2 4 3 8" xfId="6951" xr:uid="{F7BD72B4-2A5F-4E63-8E8F-0A73C9B1028B}"/>
    <cellStyle name="Normal 6 2 4 3 9" xfId="8475" xr:uid="{BFB533F9-CDB4-4B4B-A260-BC3B8B488109}"/>
    <cellStyle name="Normal 6 2 4 4" xfId="1563" xr:uid="{38E51906-80E1-4A9D-8EEA-2C35E478D90E}"/>
    <cellStyle name="Normal 6 2 4 4 2" xfId="4286" xr:uid="{692A4004-2716-488B-925B-F5BC190575F4}"/>
    <cellStyle name="Normal 6 2 4 4 2 2" xfId="9731" xr:uid="{1D12FFD5-FA3C-46C9-96D8-4010016CD6AB}"/>
    <cellStyle name="Normal 6 2 4 4 3" xfId="3276" xr:uid="{163ED0CB-D846-4439-B5F4-E4353A4938E4}"/>
    <cellStyle name="Normal 6 2 4 4 4" xfId="7209" xr:uid="{F0367631-59B5-4519-AF91-48681C96C6AE}"/>
    <cellStyle name="Normal 6 2 4 4 5" xfId="8723" xr:uid="{BB681DA6-4ADE-4F74-9787-2A79144A10C3}"/>
    <cellStyle name="Normal 6 2 4 4 6" xfId="12343" xr:uid="{B6C5D57E-618F-4B2E-83CA-6055FC9FD276}"/>
    <cellStyle name="Normal 6 2 4 4 7" xfId="14088" xr:uid="{9F20AA4F-40E6-4BEA-9078-8F9414FB2811}"/>
    <cellStyle name="Normal 6 2 4 5" xfId="2071" xr:uid="{BD728632-D4EC-4875-B630-7FEE9B394D80}"/>
    <cellStyle name="Normal 6 2 4 5 2" xfId="3791" xr:uid="{F814F717-0B0F-4BC6-895A-45BA96CD0902}"/>
    <cellStyle name="Normal 6 2 4 5 3" xfId="7717" xr:uid="{DC4BAD76-00D7-4788-B707-85B6180D4301}"/>
    <cellStyle name="Normal 6 2 4 5 4" xfId="9235" xr:uid="{A16F207A-E5B3-4140-AE2C-244ABB793ACA}"/>
    <cellStyle name="Normal 6 2 4 5 5" xfId="12849" xr:uid="{96E371AC-6388-4C83-A244-FD5A8D89F8C3}"/>
    <cellStyle name="Normal 6 2 4 5 6" xfId="14594" xr:uid="{8D364D3D-08BF-4577-9DE7-B133BBBE8698}"/>
    <cellStyle name="Normal 6 2 4 6" xfId="2552" xr:uid="{0AC2792A-3705-4465-98E1-ECDD900E18C1}"/>
    <cellStyle name="Normal 6 2 4 6 2" xfId="6703" xr:uid="{2FDFA9C5-FA05-4923-AB88-C449E76096C6}"/>
    <cellStyle name="Normal 6 2 4 6 3" xfId="10233" xr:uid="{2B1E153F-0711-44FC-A6AA-C9742D7B8510}"/>
    <cellStyle name="Normal 6 2 4 6 4" xfId="13582" xr:uid="{DF46E66E-29DC-4F98-A402-E5E0AAFE91EE}"/>
    <cellStyle name="Normal 6 2 4 7" xfId="5261" xr:uid="{F34D5682-B262-46BF-B755-7AEF6C62FF7A}"/>
    <cellStyle name="Normal 6 2 4 7 2" xfId="10735" xr:uid="{74ED85BF-0AB8-4ADB-8637-D2DE221DBCDA}"/>
    <cellStyle name="Normal 6 2 4 8" xfId="5763" xr:uid="{0BE53296-2FFF-4B36-A602-1C2D314B5C0C}"/>
    <cellStyle name="Normal 6 2 4 8 2" xfId="11237" xr:uid="{3EB3013B-FF66-4A55-B553-07AC60FBA214}"/>
    <cellStyle name="Normal 6 2 4 9" xfId="6320" xr:uid="{EA61ACC0-FECF-4B14-AFFE-CA6B8196450B}"/>
    <cellStyle name="Normal 6 2 5" xfId="396" xr:uid="{00000000-0005-0000-0000-000073010000}"/>
    <cellStyle name="Normal 6 2 5 10" xfId="11868" xr:uid="{EEEB1D4A-F2D9-4959-8BD3-09714DC42B95}"/>
    <cellStyle name="Normal 6 2 5 11" xfId="13350" xr:uid="{655407EC-E870-4E4A-B8FB-9F698D22D033}"/>
    <cellStyle name="Normal 6 2 5 12" xfId="1088" xr:uid="{89533BCD-D13C-4932-94C5-83DDA7D3365F}"/>
    <cellStyle name="Normal 6 2 5 2" xfId="1336" xr:uid="{B8F7D170-0E77-4270-BE2E-C7803174ED8B}"/>
    <cellStyle name="Normal 6 2 5 2 10" xfId="12116" xr:uid="{CB900AAA-636F-4F9D-A83B-31646630A605}"/>
    <cellStyle name="Normal 6 2 5 2 11" xfId="13861" xr:uid="{E86C5100-20AD-4DE1-BEBF-9392C99D3CBF}"/>
    <cellStyle name="Normal 6 2 5 2 2" xfId="1842" xr:uid="{A1C0F840-FE8D-4FF9-81AF-E0EF204DF876}"/>
    <cellStyle name="Normal 6 2 5 2 2 2" xfId="4564" xr:uid="{34D7049B-0A5B-478A-AE20-3597FC1FAF4D}"/>
    <cellStyle name="Normal 6 2 5 2 2 2 2" xfId="10010" xr:uid="{C4FD7D14-5A90-4C08-BA30-27C9866E88C6}"/>
    <cellStyle name="Normal 6 2 5 2 2 3" xfId="3554" xr:uid="{5D4B0D91-1EB1-49D6-A47F-57B703683FD5}"/>
    <cellStyle name="Normal 6 2 5 2 2 4" xfId="7488" xr:uid="{6CC40BB7-30E0-4AD8-B4EC-2B4370296D48}"/>
    <cellStyle name="Normal 6 2 5 2 2 5" xfId="9002" xr:uid="{B8243ACF-D7C4-49E0-991B-BF9CF1D0F19E}"/>
    <cellStyle name="Normal 6 2 5 2 2 6" xfId="12622" xr:uid="{478CCD70-D434-4BC5-B3C7-8766B99C975D}"/>
    <cellStyle name="Normal 6 2 5 2 2 7" xfId="14367" xr:uid="{8BA06C85-8F46-4B8F-9683-C910147C0C39}"/>
    <cellStyle name="Normal 6 2 5 2 3" xfId="2350" xr:uid="{4132512C-795D-4836-A7DF-7AADB68EE7EA}"/>
    <cellStyle name="Normal 6 2 5 2 3 2" xfId="4070" xr:uid="{D4509A88-43B8-4E49-B509-A9418A7515FE}"/>
    <cellStyle name="Normal 6 2 5 2 3 3" xfId="7996" xr:uid="{979100D5-12EE-49F4-AD6C-A6B3EAE7990A}"/>
    <cellStyle name="Normal 6 2 5 2 3 4" xfId="9514" xr:uid="{B35F98C5-2C40-4689-84B0-C1853D8333A7}"/>
    <cellStyle name="Normal 6 2 5 2 3 5" xfId="13128" xr:uid="{1D3DCC1B-336B-4ABF-9703-41C7D7F1CC2B}"/>
    <cellStyle name="Normal 6 2 5 2 3 6" xfId="14873" xr:uid="{FCB7A338-2909-4289-A402-A8E98FD25102}"/>
    <cellStyle name="Normal 6 2 5 2 4" xfId="5042" xr:uid="{56E23334-8BED-4113-9E09-62CFD206B052}"/>
    <cellStyle name="Normal 6 2 5 2 4 2" xfId="10512" xr:uid="{62533B26-C713-46EB-A54F-1F7A545FB683}"/>
    <cellStyle name="Normal 6 2 5 2 5" xfId="5540" xr:uid="{FA151E22-683A-4272-902F-CC1CB9797FAC}"/>
    <cellStyle name="Normal 6 2 5 2 5 2" xfId="11014" xr:uid="{AEE40EC9-E0C8-48FC-94AD-1C68F42C075A}"/>
    <cellStyle name="Normal 6 2 5 2 6" xfId="6042" xr:uid="{9DFF36E5-F260-4B40-BA76-23F77152AD0D}"/>
    <cellStyle name="Normal 6 2 5 2 6 2" xfId="11516" xr:uid="{F539647C-4942-43C2-935B-B2B4FFAA1BC2}"/>
    <cellStyle name="Normal 6 2 5 2 7" xfId="3060" xr:uid="{5F1A671B-6368-428B-82B6-D1D86D8BE525}"/>
    <cellStyle name="Normal 6 2 5 2 8" xfId="6982" xr:uid="{A1A70121-DC03-49FE-95F6-01071FBDAE04}"/>
    <cellStyle name="Normal 6 2 5 2 9" xfId="8506" xr:uid="{78287802-900A-4D56-80B8-DEBB58EB1541}"/>
    <cellStyle name="Normal 6 2 5 3" xfId="1594" xr:uid="{65216C56-D558-484E-883E-B701151CD25F}"/>
    <cellStyle name="Normal 6 2 5 3 2" xfId="4316" xr:uid="{8A0D17C6-6A51-4781-B414-258BEFE0E2DB}"/>
    <cellStyle name="Normal 6 2 5 3 2 2" xfId="9762" xr:uid="{5AFA28DF-30C5-4C7E-902B-8ADDA6285CB6}"/>
    <cellStyle name="Normal 6 2 5 3 3" xfId="3306" xr:uid="{FCDAB877-17C0-47BF-A8AE-419B41ED078C}"/>
    <cellStyle name="Normal 6 2 5 3 4" xfId="7240" xr:uid="{2D3AB9A8-35C5-4EF6-AE10-163DA8E83F47}"/>
    <cellStyle name="Normal 6 2 5 3 5" xfId="8754" xr:uid="{D278DFB4-2B31-4D22-87A3-D9CA15D87BDC}"/>
    <cellStyle name="Normal 6 2 5 3 6" xfId="12374" xr:uid="{B5BD188E-B812-472E-90BC-358BD7EA40D6}"/>
    <cellStyle name="Normal 6 2 5 3 7" xfId="14119" xr:uid="{839890F3-5F18-4F3D-991A-1EA3E9E4AC2C}"/>
    <cellStyle name="Normal 6 2 5 4" xfId="2102" xr:uid="{27B64CF1-D364-416A-B0B6-F008A7A2CE17}"/>
    <cellStyle name="Normal 6 2 5 4 2" xfId="3822" xr:uid="{134D968C-3032-4B5D-ABA4-8FE55BFE983A}"/>
    <cellStyle name="Normal 6 2 5 4 3" xfId="7748" xr:uid="{5E74ABA0-9592-4654-9C91-C39726290825}"/>
    <cellStyle name="Normal 6 2 5 4 4" xfId="9266" xr:uid="{0E46EA39-C54F-4E76-BA79-11EC438B93B5}"/>
    <cellStyle name="Normal 6 2 5 4 5" xfId="12880" xr:uid="{F74C15F4-3A82-4B9B-8F66-8E0A59AEAA35}"/>
    <cellStyle name="Normal 6 2 5 4 6" xfId="14625" xr:uid="{32278B22-11C5-4A2D-8CE5-2E02A5C64E89}"/>
    <cellStyle name="Normal 6 2 5 5" xfId="2604" xr:uid="{92690EDC-C988-47DC-88A6-2219DEED2F7C}"/>
    <cellStyle name="Normal 6 2 5 5 2" xfId="6734" xr:uid="{CF581F44-D906-4204-A772-19D81F996ABA}"/>
    <cellStyle name="Normal 6 2 5 5 3" xfId="10264" xr:uid="{4767A062-8BE9-41A5-8EED-99B1C7B0823A}"/>
    <cellStyle name="Normal 6 2 5 5 4" xfId="13613" xr:uid="{0533217C-7211-49E4-A533-FB25274E175B}"/>
    <cellStyle name="Normal 6 2 5 6" xfId="5292" xr:uid="{45846A70-23CF-44E0-8405-ABE2D6C8FB7B}"/>
    <cellStyle name="Normal 6 2 5 6 2" xfId="10766" xr:uid="{038B77E9-88E4-4869-990B-DAA01D381C96}"/>
    <cellStyle name="Normal 6 2 5 7" xfId="5794" xr:uid="{D77BCCFA-DC76-4E07-8F6C-521063B8EFAC}"/>
    <cellStyle name="Normal 6 2 5 7 2" xfId="11268" xr:uid="{521BE807-2810-4459-B4C0-A007C466439B}"/>
    <cellStyle name="Normal 6 2 5 8" xfId="6371" xr:uid="{17FCE2D9-1BFA-4EF4-A809-340FBCC17627}"/>
    <cellStyle name="Normal 6 2 5 9" xfId="8258" xr:uid="{008495EB-2481-4951-AC56-338C87FD5665}"/>
    <cellStyle name="Normal 6 2 6" xfId="464" xr:uid="{00000000-0005-0000-0000-000074010000}"/>
    <cellStyle name="Normal 6 2 6 10" xfId="13418" xr:uid="{314E780A-70FD-43CC-ADFB-E515D1E50D91}"/>
    <cellStyle name="Normal 6 2 6 11" xfId="956" xr:uid="{3D03BB23-901F-4283-8134-B60CA0D9EC89}"/>
    <cellStyle name="Normal 6 2 6 2" xfId="1470" xr:uid="{16910051-0E9A-4399-8507-E69E84F010CE}"/>
    <cellStyle name="Normal 6 2 6 2 2" xfId="4440" xr:uid="{69B66636-88E7-492A-8B58-0888423E357B}"/>
    <cellStyle name="Normal 6 2 6 2 2 2" xfId="9886" xr:uid="{3CEAFD04-688D-43F3-80B8-31E8B261CA27}"/>
    <cellStyle name="Normal 6 2 6 2 3" xfId="3430" xr:uid="{36AFAD19-86B1-494F-9282-4CAF54875613}"/>
    <cellStyle name="Normal 6 2 6 2 4" xfId="7116" xr:uid="{7438DA95-D655-4261-A102-8CDF88BB81F4}"/>
    <cellStyle name="Normal 6 2 6 2 5" xfId="8878" xr:uid="{5E32CE3E-04C6-44E3-9B0F-9ABC73A72D16}"/>
    <cellStyle name="Normal 6 2 6 2 6" xfId="12250" xr:uid="{61B481FD-CE93-420F-B103-A2B45B40A71E}"/>
    <cellStyle name="Normal 6 2 6 2 7" xfId="13995" xr:uid="{0DC0F960-E8BA-4C35-871A-96F52E402372}"/>
    <cellStyle name="Normal 6 2 6 3" xfId="1978" xr:uid="{264B2101-DEBB-421B-9626-7FA1977FC176}"/>
    <cellStyle name="Normal 6 2 6 3 2" xfId="3698" xr:uid="{910CBF95-49F7-4588-84D5-6B5CC34E27AC}"/>
    <cellStyle name="Normal 6 2 6 3 3" xfId="7624" xr:uid="{32FA366D-496E-4C3F-9472-1C20E498F0CE}"/>
    <cellStyle name="Normal 6 2 6 3 4" xfId="9142" xr:uid="{11D40742-B7DC-4AE9-B2FF-D263D7784643}"/>
    <cellStyle name="Normal 6 2 6 3 5" xfId="12756" xr:uid="{D0F168C7-1485-4BC5-B009-3B9C77DD6998}"/>
    <cellStyle name="Normal 6 2 6 3 6" xfId="14501" xr:uid="{654959DB-3CAF-4DEA-812E-2849B792858A}"/>
    <cellStyle name="Normal 6 2 6 4" xfId="2672" xr:uid="{7870FDA4-0231-491C-8A01-87E750AACC36}"/>
    <cellStyle name="Normal 6 2 6 4 2" xfId="6607" xr:uid="{D032D04D-0D61-4766-A726-868EC426B4B4}"/>
    <cellStyle name="Normal 6 2 6 4 3" xfId="10388" xr:uid="{1861CA3A-868E-4F11-95E4-B75C0D4A8090}"/>
    <cellStyle name="Normal 6 2 6 4 4" xfId="13489" xr:uid="{A9D49EAE-2613-451F-B96A-FB4A0BAB4954}"/>
    <cellStyle name="Normal 6 2 6 5" xfId="5416" xr:uid="{6C60ECB6-50E5-4191-B2B7-76BF21FBD0B4}"/>
    <cellStyle name="Normal 6 2 6 5 2" xfId="10890" xr:uid="{1FA546B9-247B-4E18-8F92-D292931E2E87}"/>
    <cellStyle name="Normal 6 2 6 6" xfId="5918" xr:uid="{B1912486-1A87-4E87-BAD1-B47DF75C5E2C}"/>
    <cellStyle name="Normal 6 2 6 6 2" xfId="11392" xr:uid="{CDDC46AF-FF7C-4181-9E07-97C926034F91}"/>
    <cellStyle name="Normal 6 2 6 7" xfId="6439" xr:uid="{1DEB1470-6C18-493E-84EE-6E0659157A53}"/>
    <cellStyle name="Normal 6 2 6 8" xfId="8134" xr:uid="{697CD437-033C-4BBA-A2DF-6937E9AA4714}"/>
    <cellStyle name="Normal 6 2 6 9" xfId="11744" xr:uid="{74720578-391C-4554-941C-418812FA0133}"/>
    <cellStyle name="Normal 6 2 7" xfId="1212" xr:uid="{D90570AC-DD18-4D96-A3D3-5A19F0B48F69}"/>
    <cellStyle name="Normal 6 2 7 2" xfId="1718" xr:uid="{21EC1AEC-8E4C-4D82-8843-79D32E47B830}"/>
    <cellStyle name="Normal 6 2 7 2 2" xfId="3946" xr:uid="{E8FF8C8A-2205-44C2-B788-8ECD85772888}"/>
    <cellStyle name="Normal 6 2 7 2 3" xfId="7364" xr:uid="{0D5F9373-CFEC-442C-8F1E-72C0DFAC2A2B}"/>
    <cellStyle name="Normal 6 2 7 2 4" xfId="9390" xr:uid="{180C11F0-63AC-44C2-8C34-FD379431E1E9}"/>
    <cellStyle name="Normal 6 2 7 2 5" xfId="12498" xr:uid="{5718A64D-7B31-40FA-9334-EFF937958A96}"/>
    <cellStyle name="Normal 6 2 7 2 6" xfId="14243" xr:uid="{BAF8A134-6CB5-4963-BFE3-188A13A584C1}"/>
    <cellStyle name="Normal 6 2 7 3" xfId="2226" xr:uid="{8C0C788A-892B-4424-BA2F-94766C171D4A}"/>
    <cellStyle name="Normal 6 2 7 3 2" xfId="7872" xr:uid="{3EDFCB3C-5F6B-4CC4-8AB2-3F88748BD532}"/>
    <cellStyle name="Normal 6 2 7 3 3" xfId="13004" xr:uid="{103AEE91-ADCE-4942-AA92-315304E80D18}"/>
    <cellStyle name="Normal 6 2 7 3 4" xfId="14749" xr:uid="{7B9AFB39-A7CD-4083-B84B-25C3AA4584D3}"/>
    <cellStyle name="Normal 6 2 7 4" xfId="2942" xr:uid="{264086EB-EA0C-4F53-ACA3-586445262D2C}"/>
    <cellStyle name="Normal 6 2 7 5" xfId="6858" xr:uid="{2FAE7F04-7B58-4359-9AC2-98323E723978}"/>
    <cellStyle name="Normal 6 2 7 6" xfId="8382" xr:uid="{EBD56C8C-4F0C-4571-B470-E270CFA3E90F}"/>
    <cellStyle name="Normal 6 2 7 7" xfId="11992" xr:uid="{0B356349-E170-432F-B0B0-C1C59F754B20}"/>
    <cellStyle name="Normal 6 2 7 8" xfId="13737" xr:uid="{9BEF208F-524F-4EBB-A120-9329EEF8B411}"/>
    <cellStyle name="Normal 6 2 8" xfId="547" xr:uid="{1A45D1CD-6C19-4711-80E3-0E71AF92095E}"/>
    <cellStyle name="Normal 6 2 8 2" xfId="4194" xr:uid="{3A57FAD7-CF9E-4157-9800-0651C8455FFA}"/>
    <cellStyle name="Normal 6 2 8 2 2" xfId="9638" xr:uid="{516F3066-EB46-4840-989B-1730A060E509}"/>
    <cellStyle name="Normal 6 2 8 3" xfId="3184" xr:uid="{5DE9A3D5-5F44-4F56-8570-1C16A3090ED5}"/>
    <cellStyle name="Normal 6 2 8 4" xfId="6512" xr:uid="{3B6E2DE2-6D58-482B-B4AB-205C78F6C370}"/>
    <cellStyle name="Normal 6 2 8 5" xfId="8630" xr:uid="{E38153A2-A628-468B-9EFB-4D452C1B726A}"/>
    <cellStyle name="Normal 6 2 8 6" xfId="11730" xr:uid="{BC875A29-7655-47F7-A143-4F6FE6D6B79A}"/>
    <cellStyle name="Normal 6 2 8 7" xfId="13475" xr:uid="{27E79D33-9911-4295-BB6F-E6B7A7F461DE}"/>
    <cellStyle name="Normal 6 2 9" xfId="1456" xr:uid="{70CAE68D-B26B-4C28-B3C5-1F4FF24941CA}"/>
    <cellStyle name="Normal 6 2 9 2" xfId="3686" xr:uid="{87CB7F6F-8DCA-4224-86BE-8F5DB4664A9B}"/>
    <cellStyle name="Normal 6 2 9 3" xfId="7102" xr:uid="{63302D11-0FE9-472B-9960-FE82C325E297}"/>
    <cellStyle name="Normal 6 2 9 4" xfId="9128" xr:uid="{DFABBE74-A492-4E54-A472-75BAD429E3F3}"/>
    <cellStyle name="Normal 6 2 9 5" xfId="12236" xr:uid="{788F64A7-200C-4109-B1D2-FD1CCE0E1764}"/>
    <cellStyle name="Normal 6 2 9 6" xfId="13981" xr:uid="{8A1414DB-8992-4F8B-ABAC-05BCE4660750}"/>
    <cellStyle name="Normal 6 3" xfId="525" xr:uid="{93E5E96B-C2FD-4B12-8780-8AFB6ABE54D3}"/>
    <cellStyle name="Normal 6 3 10" xfId="1969" xr:uid="{ECB63441-6D6F-4876-9999-D21666867DB5}"/>
    <cellStyle name="Normal 6 3 10 2" xfId="4696" xr:uid="{95F5FE9E-1471-4FD3-A7E9-17BB445E1E97}"/>
    <cellStyle name="Normal 6 3 10 3" xfId="7615" xr:uid="{FBF2A316-F47D-4EC4-BC94-3AEEBC10E0E4}"/>
    <cellStyle name="Normal 6 3 10 4" xfId="10142" xr:uid="{B3AEB3BA-13AD-49AC-B190-63823CFC62B7}"/>
    <cellStyle name="Normal 6 3 10 5" xfId="12748" xr:uid="{3A68C37F-CED4-41A6-BEA7-803FE8FC8DFE}"/>
    <cellStyle name="Normal 6 3 10 6" xfId="14493" xr:uid="{62FC5520-0AF4-403E-904D-F7442C1E1B3C}"/>
    <cellStyle name="Normal 6 3 11" xfId="5172" xr:uid="{ECA4D0DA-F179-4D74-8BD3-E7DEA0656E45}"/>
    <cellStyle name="Normal 6 3 11 2" xfId="10644" xr:uid="{3A841D4B-1F10-463D-9D21-3AC486ED7FB9}"/>
    <cellStyle name="Normal 6 3 12" xfId="5672" xr:uid="{011D3932-06F4-49A4-9D86-377EF3AC81BA}"/>
    <cellStyle name="Normal 6 3 12 2" xfId="11146" xr:uid="{AB934CDB-13CE-467D-B72C-42A7D2475FC4}"/>
    <cellStyle name="Normal 6 3 13" xfId="2708" xr:uid="{BD3DE61D-748A-456A-B04A-AD4280CDC71B}"/>
    <cellStyle name="Normal 6 3 14" xfId="8126" xr:uid="{4C4D63B1-D32E-431B-9391-064346B66297}"/>
    <cellStyle name="Normal 6 3 2" xfId="988" xr:uid="{B87816EB-F146-4286-BE31-D1225D705DBA}"/>
    <cellStyle name="Normal 6 3 2 10" xfId="2734" xr:uid="{A5E6E457-C9C7-4E39-919E-2138E7DF7DC6}"/>
    <cellStyle name="Normal 6 3 2 11" xfId="6634" xr:uid="{07989F20-0CE1-4461-9894-D160862B79E1}"/>
    <cellStyle name="Normal 6 3 2 12" xfId="8158" xr:uid="{FA544EE5-689B-4358-9184-35FEB719BC12}"/>
    <cellStyle name="Normal 6 3 2 13" xfId="11768" xr:uid="{BF6214C5-072B-4A76-8A79-6CC5BC69CF9C}"/>
    <cellStyle name="Normal 6 3 2 14" xfId="13513" xr:uid="{1777476C-1E4E-4F08-B615-A8CA5C72006B}"/>
    <cellStyle name="Normal 6 3 2 2" xfId="1061" xr:uid="{0B217140-5D48-47F4-990F-56E3C9FD0B25}"/>
    <cellStyle name="Normal 6 3 2 2 10" xfId="6707" xr:uid="{EEFFA783-23BE-4D89-B722-316D20E43AA2}"/>
    <cellStyle name="Normal 6 3 2 2 11" xfId="8231" xr:uid="{913FC668-153B-4E5A-BED0-9D9B6CC296B5}"/>
    <cellStyle name="Normal 6 3 2 2 12" xfId="11841" xr:uid="{C37BB004-2977-434A-BDC7-5FC86800D801}"/>
    <cellStyle name="Normal 6 3 2 2 13" xfId="13586" xr:uid="{C2BED31B-A21F-40E2-98B7-1A9AA7BC5774}"/>
    <cellStyle name="Normal 6 3 2 2 2" xfId="1185" xr:uid="{3D9B7E77-9051-4415-BE63-F343CC8114A4}"/>
    <cellStyle name="Normal 6 3 2 2 2 10" xfId="8355" xr:uid="{29792C26-492C-4A77-81C0-6B44748146F8}"/>
    <cellStyle name="Normal 6 3 2 2 2 11" xfId="11965" xr:uid="{CB22CDFA-0A10-4473-B0CA-9ACAC6E90DDC}"/>
    <cellStyle name="Normal 6 3 2 2 2 12" xfId="13710" xr:uid="{535C0191-151F-4670-83D1-8139703B8E60}"/>
    <cellStyle name="Normal 6 3 2 2 2 2" xfId="1433" xr:uid="{5B6BA73A-2D64-46DA-8CDD-A7CE93D6C951}"/>
    <cellStyle name="Normal 6 3 2 2 2 2 10" xfId="12213" xr:uid="{05A3ACA4-F07F-4D2F-BA39-8754EEBAD288}"/>
    <cellStyle name="Normal 6 3 2 2 2 2 11" xfId="13958" xr:uid="{E926CA74-D3FD-4604-894D-65ECFC54AF38}"/>
    <cellStyle name="Normal 6 3 2 2 2 2 2" xfId="1939" xr:uid="{E62E3B03-0FDD-4D6F-923F-69ED6C80207D}"/>
    <cellStyle name="Normal 6 3 2 2 2 2 2 2" xfId="4661" xr:uid="{82E4DF5F-0BBB-456E-A4AD-02CC99FFE381}"/>
    <cellStyle name="Normal 6 3 2 2 2 2 2 2 2" xfId="10107" xr:uid="{A8DE9555-833B-41CC-BE28-749AE952965F}"/>
    <cellStyle name="Normal 6 3 2 2 2 2 2 3" xfId="3651" xr:uid="{7B35E5A4-D40D-4D04-BD0A-DC5928DE598D}"/>
    <cellStyle name="Normal 6 3 2 2 2 2 2 4" xfId="7585" xr:uid="{E91DFF3E-FF49-4F94-BFE0-FB12B599366C}"/>
    <cellStyle name="Normal 6 3 2 2 2 2 2 5" xfId="9099" xr:uid="{021AD8C2-FE25-43CB-8D89-A8A90F12B3AA}"/>
    <cellStyle name="Normal 6 3 2 2 2 2 2 6" xfId="12719" xr:uid="{918EED2E-7CA4-4EEA-A8CA-AC87A6824459}"/>
    <cellStyle name="Normal 6 3 2 2 2 2 2 7" xfId="14464" xr:uid="{1F102CC5-4757-40C0-9F31-110F570063EF}"/>
    <cellStyle name="Normal 6 3 2 2 2 2 3" xfId="2447" xr:uid="{D084EB3F-B85C-48A2-8FF4-301DD2A9B8BF}"/>
    <cellStyle name="Normal 6 3 2 2 2 2 3 2" xfId="4167" xr:uid="{1520F417-00D3-4B2E-925C-C9EFAF670B50}"/>
    <cellStyle name="Normal 6 3 2 2 2 2 3 3" xfId="8093" xr:uid="{D00951C9-99C4-4DEC-A6D2-6E15958C6B12}"/>
    <cellStyle name="Normal 6 3 2 2 2 2 3 4" xfId="9611" xr:uid="{6FF52FF7-48C4-4233-868F-F93A4487F969}"/>
    <cellStyle name="Normal 6 3 2 2 2 2 3 5" xfId="13225" xr:uid="{16665161-98E3-469E-AC03-6BE3B2ADB70F}"/>
    <cellStyle name="Normal 6 3 2 2 2 2 3 6" xfId="14970" xr:uid="{44EB02AA-89BA-4906-A053-3C065005DF81}"/>
    <cellStyle name="Normal 6 3 2 2 2 2 4" xfId="5139" xr:uid="{797C81BB-F5EB-43FD-B80D-CF01D67E0508}"/>
    <cellStyle name="Normal 6 3 2 2 2 2 4 2" xfId="10609" xr:uid="{3FD587FB-0A0B-43BD-BBF3-926C2098086A}"/>
    <cellStyle name="Normal 6 3 2 2 2 2 5" xfId="5637" xr:uid="{E0BB9AE7-1F0A-4DE4-B1D9-334C8B139811}"/>
    <cellStyle name="Normal 6 3 2 2 2 2 5 2" xfId="11111" xr:uid="{2A0D4C95-E7B3-4781-83C3-828DD428766C}"/>
    <cellStyle name="Normal 6 3 2 2 2 2 6" xfId="6139" xr:uid="{6EB5ACFD-103C-4865-BD6E-7F120EB0C4AE}"/>
    <cellStyle name="Normal 6 3 2 2 2 2 6 2" xfId="11613" xr:uid="{DBE4FB44-19CA-4110-87A0-D89EB0E8C22F}"/>
    <cellStyle name="Normal 6 3 2 2 2 2 7" xfId="3157" xr:uid="{183E8290-ADDD-4605-97A6-B6E082CAD559}"/>
    <cellStyle name="Normal 6 3 2 2 2 2 8" xfId="7079" xr:uid="{1A5D3C4B-1FC3-42CD-95A1-E099A5A90476}"/>
    <cellStyle name="Normal 6 3 2 2 2 2 9" xfId="8603" xr:uid="{CAF96B1F-B282-45B6-A019-E0C7D77071D9}"/>
    <cellStyle name="Normal 6 3 2 2 2 3" xfId="1691" xr:uid="{662C6A1C-C863-4FDC-8527-23EB577CA930}"/>
    <cellStyle name="Normal 6 3 2 2 2 3 2" xfId="4413" xr:uid="{8593E32E-6DED-4913-8794-A87F8E77FF5B}"/>
    <cellStyle name="Normal 6 3 2 2 2 3 2 2" xfId="9859" xr:uid="{17689EDD-9462-4CD5-B928-6C75983F77E1}"/>
    <cellStyle name="Normal 6 3 2 2 2 3 3" xfId="3403" xr:uid="{BDDCB9F0-AC3E-43B9-8980-A9ECEFE6C279}"/>
    <cellStyle name="Normal 6 3 2 2 2 3 4" xfId="7337" xr:uid="{35AC0097-9D8D-4567-9B89-D6E09E32941A}"/>
    <cellStyle name="Normal 6 3 2 2 2 3 5" xfId="8851" xr:uid="{A030BC75-409D-4667-B45F-4CF1378FE816}"/>
    <cellStyle name="Normal 6 3 2 2 2 3 6" xfId="12471" xr:uid="{C2440E40-A371-4496-8299-8AF64ED2ABC6}"/>
    <cellStyle name="Normal 6 3 2 2 2 3 7" xfId="14216" xr:uid="{025516B6-C4CE-474C-8212-D69B805F6752}"/>
    <cellStyle name="Normal 6 3 2 2 2 4" xfId="2199" xr:uid="{70359279-A582-4AD5-9FAF-BA86CC4F1274}"/>
    <cellStyle name="Normal 6 3 2 2 2 4 2" xfId="3919" xr:uid="{8B1E965B-EDF0-4305-8470-DBA5F596E036}"/>
    <cellStyle name="Normal 6 3 2 2 2 4 3" xfId="7845" xr:uid="{5C11C160-6E07-4BCC-8100-BD40542E82A7}"/>
    <cellStyle name="Normal 6 3 2 2 2 4 4" xfId="9363" xr:uid="{F932433F-C3AA-4F52-A98B-C3B12522B392}"/>
    <cellStyle name="Normal 6 3 2 2 2 4 5" xfId="12977" xr:uid="{C36AE4B1-7D11-425F-8055-E8D8F8E5AA49}"/>
    <cellStyle name="Normal 6 3 2 2 2 4 6" xfId="14722" xr:uid="{54EE4C7E-AC6B-4D40-B886-8AE83F436414}"/>
    <cellStyle name="Normal 6 3 2 2 2 5" xfId="4899" xr:uid="{B9BB1C2F-D1C6-4302-A6DB-1AF8ED07FF55}"/>
    <cellStyle name="Normal 6 3 2 2 2 5 2" xfId="10361" xr:uid="{90960B64-97BD-44DB-99AB-0FF8D35C3713}"/>
    <cellStyle name="Normal 6 3 2 2 2 6" xfId="5389" xr:uid="{89E1FE7A-2CA1-4B9E-8752-B8CFEC91D245}"/>
    <cellStyle name="Normal 6 3 2 2 2 6 2" xfId="10863" xr:uid="{8D9D1697-F56C-4C6E-9BCC-05EE93CEC4DE}"/>
    <cellStyle name="Normal 6 3 2 2 2 7" xfId="5891" xr:uid="{AD309818-701F-435C-90F8-8255B60DDC8F}"/>
    <cellStyle name="Normal 6 3 2 2 2 7 2" xfId="11365" xr:uid="{ADFA8334-B4EA-42BA-B52C-F0422B46D517}"/>
    <cellStyle name="Normal 6 3 2 2 2 8" xfId="2915" xr:uid="{1AC5CB9A-FB50-4CBC-90FA-F0BBEE1599AA}"/>
    <cellStyle name="Normal 6 3 2 2 2 9" xfId="6831" xr:uid="{98E13A2F-F8CB-449C-9248-62BEB912EAAB}"/>
    <cellStyle name="Normal 6 3 2 2 3" xfId="1309" xr:uid="{6ED2A3B7-04AA-4D46-AC60-3AA807208AB7}"/>
    <cellStyle name="Normal 6 3 2 2 3 10" xfId="12089" xr:uid="{41781C81-6630-414D-9157-6AAA44F4626E}"/>
    <cellStyle name="Normal 6 3 2 2 3 11" xfId="13834" xr:uid="{65D2278F-6967-4339-BB97-04AC303B8562}"/>
    <cellStyle name="Normal 6 3 2 2 3 2" xfId="1815" xr:uid="{651AD072-A3AF-4D5E-B6B1-2BA72D64D4EE}"/>
    <cellStyle name="Normal 6 3 2 2 3 2 2" xfId="4537" xr:uid="{ACC3CD22-0F18-484C-9C68-EB9191863FA0}"/>
    <cellStyle name="Normal 6 3 2 2 3 2 2 2" xfId="9983" xr:uid="{A66E4088-F01A-4537-8E07-ABBEE3EB9B8F}"/>
    <cellStyle name="Normal 6 3 2 2 3 2 3" xfId="3527" xr:uid="{FD736321-3413-48D0-A448-E394A4806155}"/>
    <cellStyle name="Normal 6 3 2 2 3 2 4" xfId="7461" xr:uid="{BD8B269B-42D1-480F-AB75-46EEFD36BC50}"/>
    <cellStyle name="Normal 6 3 2 2 3 2 5" xfId="8975" xr:uid="{6D8A55B9-CE1B-430D-B573-0E8529C12556}"/>
    <cellStyle name="Normal 6 3 2 2 3 2 6" xfId="12595" xr:uid="{7F0C01C4-A39B-43D6-924C-E9B4B80DE458}"/>
    <cellStyle name="Normal 6 3 2 2 3 2 7" xfId="14340" xr:uid="{FB90261D-15E6-4C76-95C2-7FEADE8FADE3}"/>
    <cellStyle name="Normal 6 3 2 2 3 3" xfId="2323" xr:uid="{2A9FB8B6-96D7-4ADF-9000-11D7E973B842}"/>
    <cellStyle name="Normal 6 3 2 2 3 3 2" xfId="4043" xr:uid="{56D68AD2-9F7E-48A1-A5AA-AA77B72F0E38}"/>
    <cellStyle name="Normal 6 3 2 2 3 3 3" xfId="7969" xr:uid="{9284C272-5C4F-4A04-B1FE-85A33A0487B1}"/>
    <cellStyle name="Normal 6 3 2 2 3 3 4" xfId="9487" xr:uid="{D8E8FDCA-AA1D-47C2-A599-63EF4933ED07}"/>
    <cellStyle name="Normal 6 3 2 2 3 3 5" xfId="13101" xr:uid="{34FFFA7F-7C45-4DFD-83CF-AFA8B8825F3C}"/>
    <cellStyle name="Normal 6 3 2 2 3 3 6" xfId="14846" xr:uid="{C08C6180-654E-407A-98EA-EFAE5FF86530}"/>
    <cellStyle name="Normal 6 3 2 2 3 4" xfId="5015" xr:uid="{CC3E79B4-6AFD-4479-9FA3-9E0D5C2DBED1}"/>
    <cellStyle name="Normal 6 3 2 2 3 4 2" xfId="10485" xr:uid="{5B9BA214-BD87-42EB-B400-276856500BA7}"/>
    <cellStyle name="Normal 6 3 2 2 3 5" xfId="5513" xr:uid="{794487C4-7F32-4BCC-A173-2297344EE311}"/>
    <cellStyle name="Normal 6 3 2 2 3 5 2" xfId="10987" xr:uid="{E2AD0303-006D-4369-B375-071137261221}"/>
    <cellStyle name="Normal 6 3 2 2 3 6" xfId="6015" xr:uid="{4AA1EA70-1F8B-4BDF-A017-C6B8B75C0CCD}"/>
    <cellStyle name="Normal 6 3 2 2 3 6 2" xfId="11489" xr:uid="{D2580E71-C541-4D46-A8F7-8DD23974394C}"/>
    <cellStyle name="Normal 6 3 2 2 3 7" xfId="3033" xr:uid="{9DA79018-A22D-4F5D-A569-1ACB5671CA30}"/>
    <cellStyle name="Normal 6 3 2 2 3 8" xfId="6955" xr:uid="{1A779284-4773-4CE5-B9EC-6C5748A8DA5B}"/>
    <cellStyle name="Normal 6 3 2 2 3 9" xfId="8479" xr:uid="{499174A5-E7C9-4219-88D3-58BF6606D017}"/>
    <cellStyle name="Normal 6 3 2 2 4" xfId="1567" xr:uid="{03CB0A42-4663-486C-A725-EEFB02FCF70E}"/>
    <cellStyle name="Normal 6 3 2 2 4 2" xfId="4289" xr:uid="{FD1176C4-B5A3-49A5-974F-A2D07824DCCC}"/>
    <cellStyle name="Normal 6 3 2 2 4 2 2" xfId="9735" xr:uid="{5B4800FE-6808-4CE5-9D15-6D8F78B2C6A6}"/>
    <cellStyle name="Normal 6 3 2 2 4 3" xfId="3279" xr:uid="{A750503D-AC41-4A45-8F65-0B65F45C48B2}"/>
    <cellStyle name="Normal 6 3 2 2 4 4" xfId="7213" xr:uid="{0E7D896A-93FB-4E9F-834F-6ED7AB464D6A}"/>
    <cellStyle name="Normal 6 3 2 2 4 5" xfId="8727" xr:uid="{0DED448A-57D9-4D33-B57F-D995DBA5B91E}"/>
    <cellStyle name="Normal 6 3 2 2 4 6" xfId="12347" xr:uid="{CCAEA17D-43AB-4873-BA18-357BAE263F7B}"/>
    <cellStyle name="Normal 6 3 2 2 4 7" xfId="14092" xr:uid="{B40C2195-3033-4993-9D4A-3763304A75BC}"/>
    <cellStyle name="Normal 6 3 2 2 5" xfId="2075" xr:uid="{2CA49ACF-1051-439C-8650-BD729C6430F9}"/>
    <cellStyle name="Normal 6 3 2 2 5 2" xfId="3795" xr:uid="{27C3494D-9B89-4BD3-ACDC-5B7C15F4ADF5}"/>
    <cellStyle name="Normal 6 3 2 2 5 3" xfId="7721" xr:uid="{90D58DD9-ACAA-4E74-B0F0-34D5573896CB}"/>
    <cellStyle name="Normal 6 3 2 2 5 4" xfId="9239" xr:uid="{8C14884C-5684-4208-9083-5CF71E0C829E}"/>
    <cellStyle name="Normal 6 3 2 2 5 5" xfId="12853" xr:uid="{FA8FC716-0DB2-495E-A043-462A5B92641D}"/>
    <cellStyle name="Normal 6 3 2 2 5 6" xfId="14598" xr:uid="{F47F7F85-0E7B-4106-9237-F7F7C8A8B898}"/>
    <cellStyle name="Normal 6 3 2 2 6" xfId="4783" xr:uid="{701F5314-3AC4-47BA-8B4A-F7B2807087E7}"/>
    <cellStyle name="Normal 6 3 2 2 6 2" xfId="10237" xr:uid="{1A73900B-5CDC-4BFF-9DA3-A6FCDCEEAD65}"/>
    <cellStyle name="Normal 6 3 2 2 7" xfId="5265" xr:uid="{EFE6F9DF-FFBA-4CA0-AC04-1052D50E4593}"/>
    <cellStyle name="Normal 6 3 2 2 7 2" xfId="10739" xr:uid="{34504444-A565-4D7F-BC43-2D81D2C3B8D9}"/>
    <cellStyle name="Normal 6 3 2 2 8" xfId="5767" xr:uid="{600233F6-3C1D-4889-B3F8-CD2D5ACCD2A8}"/>
    <cellStyle name="Normal 6 3 2 2 8 2" xfId="11241" xr:uid="{95702866-2C6E-48A1-99CE-F7499293A45F}"/>
    <cellStyle name="Normal 6 3 2 2 9" xfId="2799" xr:uid="{EDFFA4A8-AEF8-49E7-B748-6A5714C2C501}"/>
    <cellStyle name="Normal 6 3 2 3" xfId="1112" xr:uid="{9EB829B2-6772-41DB-AFE0-A685BB252B05}"/>
    <cellStyle name="Normal 6 3 2 3 10" xfId="8282" xr:uid="{82237CF2-7B07-4159-A7C8-3AEB574AB7D9}"/>
    <cellStyle name="Normal 6 3 2 3 11" xfId="11892" xr:uid="{C94CD2E6-89CC-47B0-B0BC-BFCFA565FA3F}"/>
    <cellStyle name="Normal 6 3 2 3 12" xfId="13637" xr:uid="{C2B3798B-6A7B-402B-B458-CE061C9060AC}"/>
    <cellStyle name="Normal 6 3 2 3 2" xfId="1360" xr:uid="{EA2A3CED-E967-4408-9BB3-AEC0DF3FBDEE}"/>
    <cellStyle name="Normal 6 3 2 3 2 10" xfId="12140" xr:uid="{10E02303-57CC-4A11-9E22-27BF2C235E17}"/>
    <cellStyle name="Normal 6 3 2 3 2 11" xfId="13885" xr:uid="{B98E9326-FF90-4619-BDEC-00418E8CD3F8}"/>
    <cellStyle name="Normal 6 3 2 3 2 2" xfId="1866" xr:uid="{7ABAB361-6626-46CA-B97F-6228EA9B574B}"/>
    <cellStyle name="Normal 6 3 2 3 2 2 2" xfId="4588" xr:uid="{B5C7336D-18FF-49BF-8B47-8FC50D4E2E0A}"/>
    <cellStyle name="Normal 6 3 2 3 2 2 2 2" xfId="10034" xr:uid="{1EC503A8-2FC3-4929-896F-48E3AEC7FD95}"/>
    <cellStyle name="Normal 6 3 2 3 2 2 3" xfId="3578" xr:uid="{5A3A44E8-2236-497E-8390-46C011457C93}"/>
    <cellStyle name="Normal 6 3 2 3 2 2 4" xfId="7512" xr:uid="{FFD8603D-051A-4A55-970D-9EE4EF4D9C86}"/>
    <cellStyle name="Normal 6 3 2 3 2 2 5" xfId="9026" xr:uid="{94F893C8-E5C8-4ABA-A181-475EF591E14E}"/>
    <cellStyle name="Normal 6 3 2 3 2 2 6" xfId="12646" xr:uid="{7ED33133-1263-4F64-8EB4-19A3865FE7D4}"/>
    <cellStyle name="Normal 6 3 2 3 2 2 7" xfId="14391" xr:uid="{6A287AB6-F18B-41CD-AF06-8DFDDEC71684}"/>
    <cellStyle name="Normal 6 3 2 3 2 3" xfId="2374" xr:uid="{9A4DE2E3-3449-4E90-BE16-6830D14CF0A0}"/>
    <cellStyle name="Normal 6 3 2 3 2 3 2" xfId="4094" xr:uid="{13BE1848-E750-4B2D-B988-5A2E591DBE2C}"/>
    <cellStyle name="Normal 6 3 2 3 2 3 3" xfId="8020" xr:uid="{101E97C9-ED3D-40CC-BD57-6F03AE43BAF6}"/>
    <cellStyle name="Normal 6 3 2 3 2 3 4" xfId="9538" xr:uid="{0343AE8A-4150-4368-87AF-28C777A89479}"/>
    <cellStyle name="Normal 6 3 2 3 2 3 5" xfId="13152" xr:uid="{C64F9C2A-8192-49A1-AA97-62A7EC28FE27}"/>
    <cellStyle name="Normal 6 3 2 3 2 3 6" xfId="14897" xr:uid="{7CE615A4-5AF0-4DCE-AFBB-5D41AAB8BAA5}"/>
    <cellStyle name="Normal 6 3 2 3 2 4" xfId="5066" xr:uid="{150A3243-D83F-42F3-A32E-AF1AF69818CB}"/>
    <cellStyle name="Normal 6 3 2 3 2 4 2" xfId="10536" xr:uid="{983A90A3-F513-421F-B311-09C18D52A6E3}"/>
    <cellStyle name="Normal 6 3 2 3 2 5" xfId="5564" xr:uid="{2288AA98-2999-46BD-A172-D2FF3911E377}"/>
    <cellStyle name="Normal 6 3 2 3 2 5 2" xfId="11038" xr:uid="{0B9AFE9E-2154-4E60-BD28-02803276502A}"/>
    <cellStyle name="Normal 6 3 2 3 2 6" xfId="6066" xr:uid="{32DCEFD1-9EEB-422E-9C87-E5626A85A6DC}"/>
    <cellStyle name="Normal 6 3 2 3 2 6 2" xfId="11540" xr:uid="{C79D7036-24F7-4870-9F5E-991DF93FCA35}"/>
    <cellStyle name="Normal 6 3 2 3 2 7" xfId="3084" xr:uid="{5314DA87-75E1-401B-81BA-946FFB911D5F}"/>
    <cellStyle name="Normal 6 3 2 3 2 8" xfId="7006" xr:uid="{A98D6BD4-99B3-4013-BFA0-8AFCEBD6B02C}"/>
    <cellStyle name="Normal 6 3 2 3 2 9" xfId="8530" xr:uid="{76DA75AB-BB99-4028-AF36-B913C51E0831}"/>
    <cellStyle name="Normal 6 3 2 3 3" xfId="1618" xr:uid="{43F75D1F-3128-4CBF-AAE2-0F0391EAB92F}"/>
    <cellStyle name="Normal 6 3 2 3 3 2" xfId="4340" xr:uid="{AB1A5C5A-B779-4BCA-B102-9F7C10EE5115}"/>
    <cellStyle name="Normal 6 3 2 3 3 2 2" xfId="9786" xr:uid="{08EAD037-1196-4413-9832-D901233CA0A7}"/>
    <cellStyle name="Normal 6 3 2 3 3 3" xfId="3330" xr:uid="{D5EC64EB-9060-49C5-ACB1-E5DC8EFBF28C}"/>
    <cellStyle name="Normal 6 3 2 3 3 4" xfId="7264" xr:uid="{CBDFC0B2-515C-4DD9-82AC-5476FFDEC47E}"/>
    <cellStyle name="Normal 6 3 2 3 3 5" xfId="8778" xr:uid="{069F4A1D-A9F8-4EFF-BA3D-049450F510D1}"/>
    <cellStyle name="Normal 6 3 2 3 3 6" xfId="12398" xr:uid="{C9B94D70-071C-4DCE-87A6-3FDD43B4DBFF}"/>
    <cellStyle name="Normal 6 3 2 3 3 7" xfId="14143" xr:uid="{6E488A76-620F-4BFB-9B47-C65BC6958C54}"/>
    <cellStyle name="Normal 6 3 2 3 4" xfId="2126" xr:uid="{87AE73CD-ACF5-4286-BEBE-5044BDEC1168}"/>
    <cellStyle name="Normal 6 3 2 3 4 2" xfId="3846" xr:uid="{47302D51-CB21-406D-8166-FC841B3CA7CE}"/>
    <cellStyle name="Normal 6 3 2 3 4 3" xfId="7772" xr:uid="{2A3C423F-33D3-4039-88F5-1EE362068E36}"/>
    <cellStyle name="Normal 6 3 2 3 4 4" xfId="9290" xr:uid="{1C5E72E1-9CFA-488B-A013-AB6C71A91EB1}"/>
    <cellStyle name="Normal 6 3 2 3 4 5" xfId="12904" xr:uid="{15449446-C0B3-41DD-ACA2-73D481CE630C}"/>
    <cellStyle name="Normal 6 3 2 3 4 6" xfId="14649" xr:uid="{8DD8768A-20DA-40A9-A492-6AB61C48A28E}"/>
    <cellStyle name="Normal 6 3 2 3 5" xfId="4830" xr:uid="{A4126339-F2DA-4BD8-9F73-5FAFBFB2CECF}"/>
    <cellStyle name="Normal 6 3 2 3 5 2" xfId="10288" xr:uid="{3BA24200-B037-4A69-B7BE-96E1C10FDD92}"/>
    <cellStyle name="Normal 6 3 2 3 6" xfId="5316" xr:uid="{1AF9BFF3-93E5-477D-B6DE-4159642C5A2A}"/>
    <cellStyle name="Normal 6 3 2 3 6 2" xfId="10790" xr:uid="{35E4AC4F-6E7D-4B60-9509-4D53FCDAB16A}"/>
    <cellStyle name="Normal 6 3 2 3 7" xfId="5818" xr:uid="{1B61D151-7589-460C-ACC6-BE92E5E7ADB0}"/>
    <cellStyle name="Normal 6 3 2 3 7 2" xfId="11292" xr:uid="{A7727A83-5AC2-4758-BC36-00C26B3A028E}"/>
    <cellStyle name="Normal 6 3 2 3 8" xfId="2846" xr:uid="{7FAD5DD4-B352-487D-BD17-CCEF9D9725BF}"/>
    <cellStyle name="Normal 6 3 2 3 9" xfId="6758" xr:uid="{BDC7117A-5ED6-4915-A4F6-47949D38981D}"/>
    <cellStyle name="Normal 6 3 2 4" xfId="1236" xr:uid="{14CC86F3-3528-4691-ACC1-4FAF9211EE63}"/>
    <cellStyle name="Normal 6 3 2 4 10" xfId="12016" xr:uid="{396A3CE2-535B-44BC-A951-5EB07C463545}"/>
    <cellStyle name="Normal 6 3 2 4 11" xfId="13761" xr:uid="{5EE96032-912C-4F2D-947F-FE575FFFC9DF}"/>
    <cellStyle name="Normal 6 3 2 4 2" xfId="1742" xr:uid="{C324D08D-4408-4B79-8AD0-6816F23241E5}"/>
    <cellStyle name="Normal 6 3 2 4 2 2" xfId="4464" xr:uid="{E8C5E035-622B-460A-BF7C-95E978C59C6F}"/>
    <cellStyle name="Normal 6 3 2 4 2 2 2" xfId="9910" xr:uid="{092D05C7-0829-4A03-866D-008CA79C6693}"/>
    <cellStyle name="Normal 6 3 2 4 2 3" xfId="3454" xr:uid="{2BAED5A6-4E61-4FD3-A151-9867B6240DBB}"/>
    <cellStyle name="Normal 6 3 2 4 2 4" xfId="7388" xr:uid="{B070C715-84A1-4303-857A-1E6E4D20D75D}"/>
    <cellStyle name="Normal 6 3 2 4 2 5" xfId="8902" xr:uid="{4F3526E6-CA48-4455-A20C-78555BD06B73}"/>
    <cellStyle name="Normal 6 3 2 4 2 6" xfId="12522" xr:uid="{1047ED26-DE14-495D-999D-DFED02762178}"/>
    <cellStyle name="Normal 6 3 2 4 2 7" xfId="14267" xr:uid="{B9D67749-651E-4AFE-AC79-CAA349CBEA62}"/>
    <cellStyle name="Normal 6 3 2 4 3" xfId="2250" xr:uid="{E685A887-8AAF-4923-AB42-FC4ED158B34E}"/>
    <cellStyle name="Normal 6 3 2 4 3 2" xfId="3970" xr:uid="{68BDCEC4-D218-4DB3-8DB3-BC748686671D}"/>
    <cellStyle name="Normal 6 3 2 4 3 3" xfId="7896" xr:uid="{AA8B9A92-F957-48DC-B31E-E7019F2C8617}"/>
    <cellStyle name="Normal 6 3 2 4 3 4" xfId="9414" xr:uid="{7A3BEA5D-0782-445B-98A9-A1CCC24460E0}"/>
    <cellStyle name="Normal 6 3 2 4 3 5" xfId="13028" xr:uid="{7C1B9A45-672B-491C-AECE-2698A7D5AA9C}"/>
    <cellStyle name="Normal 6 3 2 4 3 6" xfId="14773" xr:uid="{7FBDFA05-5F63-407C-A794-3BA257969DC8}"/>
    <cellStyle name="Normal 6 3 2 4 4" xfId="4946" xr:uid="{EEE8425A-42EC-4DC6-9BEE-7E1BEAAF5AE5}"/>
    <cellStyle name="Normal 6 3 2 4 4 2" xfId="10412" xr:uid="{EDC3EEBE-14A9-47EB-BD9E-08C8D39ABEF9}"/>
    <cellStyle name="Normal 6 3 2 4 5" xfId="5440" xr:uid="{F37386A6-181E-4523-80B3-3DDCF7EF6602}"/>
    <cellStyle name="Normal 6 3 2 4 5 2" xfId="10914" xr:uid="{649717E3-2379-4E5D-9BE9-46E9A8B40E15}"/>
    <cellStyle name="Normal 6 3 2 4 6" xfId="5942" xr:uid="{966CC7D9-3869-4D96-9534-27458E5204D9}"/>
    <cellStyle name="Normal 6 3 2 4 6 2" xfId="11416" xr:uid="{77DD6487-5DED-45F3-A265-59547EEC09F6}"/>
    <cellStyle name="Normal 6 3 2 4 7" xfId="2964" xr:uid="{BBBFF585-646C-4CAF-BF69-AA24D463DC2A}"/>
    <cellStyle name="Normal 6 3 2 4 8" xfId="6882" xr:uid="{33EFA595-0CAA-4DE3-98FA-04EF8535782C}"/>
    <cellStyle name="Normal 6 3 2 4 9" xfId="8406" xr:uid="{07A5BC0B-01F9-4CF8-AAEC-9C79CD3D96D8}"/>
    <cellStyle name="Normal 6 3 2 5" xfId="1494" xr:uid="{17726BAA-A6FE-4319-BED5-2E6BEF910FA7}"/>
    <cellStyle name="Normal 6 3 2 5 2" xfId="4218" xr:uid="{63833C77-E555-4D20-ACC6-0B9C3152C295}"/>
    <cellStyle name="Normal 6 3 2 5 2 2" xfId="9662" xr:uid="{0098DC8E-F253-456D-BD13-C9E29A496837}"/>
    <cellStyle name="Normal 6 3 2 5 3" xfId="3208" xr:uid="{368F2E59-BC1E-4086-BA30-08B780B8ED96}"/>
    <cellStyle name="Normal 6 3 2 5 4" xfId="7140" xr:uid="{2A4B270C-E566-4061-8FDD-FAD11739EE14}"/>
    <cellStyle name="Normal 6 3 2 5 5" xfId="8654" xr:uid="{6BC8E46B-235B-42C5-BB3C-810D40A72908}"/>
    <cellStyle name="Normal 6 3 2 5 6" xfId="12274" xr:uid="{2DAED513-0C68-4301-910D-77596D2DC51C}"/>
    <cellStyle name="Normal 6 3 2 5 7" xfId="14019" xr:uid="{DE09E449-56E4-471D-A525-75FB59ECE702}"/>
    <cellStyle name="Normal 6 3 2 6" xfId="2002" xr:uid="{72F64B54-E4BD-48F3-BA16-61FCDC7B7D76}"/>
    <cellStyle name="Normal 6 3 2 6 2" xfId="3722" xr:uid="{37AD4F21-CB03-4E2F-8C88-5B1EC54E43EB}"/>
    <cellStyle name="Normal 6 3 2 6 3" xfId="7648" xr:uid="{5691238D-DD95-4A84-A56B-25F4B2796706}"/>
    <cellStyle name="Normal 6 3 2 6 4" xfId="9166" xr:uid="{28DFBD2A-98BB-44C2-9043-625FD2BF7768}"/>
    <cellStyle name="Normal 6 3 2 6 5" xfId="12780" xr:uid="{7A7989C9-F9B9-4BC9-AA4C-249D82AFB403}"/>
    <cellStyle name="Normal 6 3 2 6 6" xfId="14525" xr:uid="{4A783921-FC43-4B69-A4A4-1913AD3130E8}"/>
    <cellStyle name="Normal 6 3 2 7" xfId="4718" xr:uid="{69AB8F84-42D6-4DB6-BD86-83B5250340E0}"/>
    <cellStyle name="Normal 6 3 2 7 2" xfId="10164" xr:uid="{C2F55F2F-ED9F-4ABD-8E56-E2D60987ABE0}"/>
    <cellStyle name="Normal 6 3 2 8" xfId="5192" xr:uid="{8DEDBECD-E7C6-40C2-B49A-D3DD1676A4F3}"/>
    <cellStyle name="Normal 6 3 2 8 2" xfId="10666" xr:uid="{A89AC637-2DC4-4369-916D-D8AD8E341A89}"/>
    <cellStyle name="Normal 6 3 2 9" xfId="5694" xr:uid="{1FFD0E10-D045-4170-8C5E-12C17EF25FAC}"/>
    <cellStyle name="Normal 6 3 2 9 2" xfId="11168" xr:uid="{77F0C14B-58CC-44E3-9C4F-0780BE138164}"/>
    <cellStyle name="Normal 6 3 3" xfId="1008" xr:uid="{BDC0B614-93D2-4761-A0AA-47CCC647C897}"/>
    <cellStyle name="Normal 6 3 3 10" xfId="2752" xr:uid="{F14E0ED1-27DD-4749-81AD-655B2CC34817}"/>
    <cellStyle name="Normal 6 3 3 11" xfId="6654" xr:uid="{D3240209-1428-49C9-965A-EDD26214F2A5}"/>
    <cellStyle name="Normal 6 3 3 12" xfId="8178" xr:uid="{7468A559-CF2B-4549-B821-6F5CC4C89B8E}"/>
    <cellStyle name="Normal 6 3 3 13" xfId="11788" xr:uid="{B28B83D7-58EF-4C87-9DBC-63792C809314}"/>
    <cellStyle name="Normal 6 3 3 14" xfId="13533" xr:uid="{CE686CBD-6B24-4270-9B3B-03EF86B6948E}"/>
    <cellStyle name="Normal 6 3 3 2" xfId="1062" xr:uid="{23424E27-A376-4495-AB4A-97BD42892D29}"/>
    <cellStyle name="Normal 6 3 3 2 10" xfId="6708" xr:uid="{6A0FD9D6-E9AC-4C5E-B5C8-A0C991B8BE5D}"/>
    <cellStyle name="Normal 6 3 3 2 11" xfId="8232" xr:uid="{D8FC2CAB-C026-4DFE-AB7D-6919EDA5304D}"/>
    <cellStyle name="Normal 6 3 3 2 12" xfId="11842" xr:uid="{DECEE2B8-A207-49EC-BDFA-EDC6C84A589A}"/>
    <cellStyle name="Normal 6 3 3 2 13" xfId="13587" xr:uid="{D846282C-D0E1-45DF-8FB2-7A1E5412D677}"/>
    <cellStyle name="Normal 6 3 3 2 2" xfId="1186" xr:uid="{D6719C4B-9D63-4807-8279-B5DAE837119A}"/>
    <cellStyle name="Normal 6 3 3 2 2 10" xfId="8356" xr:uid="{5A79790D-556B-4704-964A-99AC7FD1D61C}"/>
    <cellStyle name="Normal 6 3 3 2 2 11" xfId="11966" xr:uid="{CD600482-557F-4BE3-ADF6-DCCD302BB671}"/>
    <cellStyle name="Normal 6 3 3 2 2 12" xfId="13711" xr:uid="{BCB7DA4A-B79F-4CF0-A250-20F1F99AD86A}"/>
    <cellStyle name="Normal 6 3 3 2 2 2" xfId="1434" xr:uid="{2A91540B-5F21-422A-BEA4-6C357A329A75}"/>
    <cellStyle name="Normal 6 3 3 2 2 2 10" xfId="12214" xr:uid="{DA5ED802-7054-477D-A08D-20525E0F775F}"/>
    <cellStyle name="Normal 6 3 3 2 2 2 11" xfId="13959" xr:uid="{2A30C7E2-41CA-4D17-BDB7-629A58B4D43B}"/>
    <cellStyle name="Normal 6 3 3 2 2 2 2" xfId="1940" xr:uid="{DF1D49E9-B25C-468A-9461-56FA14D5AC56}"/>
    <cellStyle name="Normal 6 3 3 2 2 2 2 2" xfId="4662" xr:uid="{74491F03-7C4D-46C6-8C83-51B82996B22F}"/>
    <cellStyle name="Normal 6 3 3 2 2 2 2 2 2" xfId="10108" xr:uid="{BB56A0F2-C394-4D0B-99C8-F510F6C9B3FB}"/>
    <cellStyle name="Normal 6 3 3 2 2 2 2 3" xfId="3652" xr:uid="{8F1CBAAB-9F1E-457E-8A1A-262C20B6CCDB}"/>
    <cellStyle name="Normal 6 3 3 2 2 2 2 4" xfId="7586" xr:uid="{C801FFB8-BC06-4755-A0D3-EEDEC6B5AF93}"/>
    <cellStyle name="Normal 6 3 3 2 2 2 2 5" xfId="9100" xr:uid="{44E8E1D2-35FB-4F81-8B3D-406F92E8A9E6}"/>
    <cellStyle name="Normal 6 3 3 2 2 2 2 6" xfId="12720" xr:uid="{42EF4963-3929-49D1-8A90-AB7301560329}"/>
    <cellStyle name="Normal 6 3 3 2 2 2 2 7" xfId="14465" xr:uid="{4CE6F781-1660-4736-B52F-FD525BA0A726}"/>
    <cellStyle name="Normal 6 3 3 2 2 2 3" xfId="2448" xr:uid="{EBFE84D3-E0D1-460B-ACD1-AC4DD08BADB3}"/>
    <cellStyle name="Normal 6 3 3 2 2 2 3 2" xfId="4168" xr:uid="{66401535-CBDF-41D0-9CEA-8466A26EB1E4}"/>
    <cellStyle name="Normal 6 3 3 2 2 2 3 3" xfId="8094" xr:uid="{D4836C9F-237D-428F-B9DD-FD86519FD385}"/>
    <cellStyle name="Normal 6 3 3 2 2 2 3 4" xfId="9612" xr:uid="{EF533524-C791-49F0-8FEC-92D1E076C608}"/>
    <cellStyle name="Normal 6 3 3 2 2 2 3 5" xfId="13226" xr:uid="{1CA92709-CFBF-462B-9A4D-AC5A17AEA285}"/>
    <cellStyle name="Normal 6 3 3 2 2 2 3 6" xfId="14971" xr:uid="{C4481ECD-F1C4-4C8F-97EA-7709CC6EDB00}"/>
    <cellStyle name="Normal 6 3 3 2 2 2 4" xfId="5140" xr:uid="{A8749002-53C0-4EA0-82C1-DC099F28549F}"/>
    <cellStyle name="Normal 6 3 3 2 2 2 4 2" xfId="10610" xr:uid="{DAC1D20F-A596-40A9-BD9F-092CE118B470}"/>
    <cellStyle name="Normal 6 3 3 2 2 2 5" xfId="5638" xr:uid="{C0153544-C680-422C-97CC-590BE8A544B5}"/>
    <cellStyle name="Normal 6 3 3 2 2 2 5 2" xfId="11112" xr:uid="{086C78CB-4B82-4F24-BC4D-D5C0BA6413B9}"/>
    <cellStyle name="Normal 6 3 3 2 2 2 6" xfId="6140" xr:uid="{081EB376-A57B-4EB5-B2F8-388B4674858C}"/>
    <cellStyle name="Normal 6 3 3 2 2 2 6 2" xfId="11614" xr:uid="{C5B848D4-9EB0-4C2F-A863-40DE0CB74B81}"/>
    <cellStyle name="Normal 6 3 3 2 2 2 7" xfId="3158" xr:uid="{FD97031B-BAAF-4740-AAC5-879D7DF46788}"/>
    <cellStyle name="Normal 6 3 3 2 2 2 8" xfId="7080" xr:uid="{3D188481-6834-4F63-9E8F-E234EEDAD031}"/>
    <cellStyle name="Normal 6 3 3 2 2 2 9" xfId="8604" xr:uid="{A990F3B1-FD62-46B7-83C2-EED47DDC4B33}"/>
    <cellStyle name="Normal 6 3 3 2 2 3" xfId="1692" xr:uid="{1032E6C0-9EC9-4C75-BA59-F942ECF4F1C7}"/>
    <cellStyle name="Normal 6 3 3 2 2 3 2" xfId="4414" xr:uid="{2EFA47DD-BAD3-4472-BB03-8CAF78B50AFD}"/>
    <cellStyle name="Normal 6 3 3 2 2 3 2 2" xfId="9860" xr:uid="{1D0B2A42-80D0-4B2F-8431-ABA08665638B}"/>
    <cellStyle name="Normal 6 3 3 2 2 3 3" xfId="3404" xr:uid="{92FF9E8B-6A92-4970-9675-06135956C7BD}"/>
    <cellStyle name="Normal 6 3 3 2 2 3 4" xfId="7338" xr:uid="{5714F11C-C9B7-4540-A173-B57E655CAAE7}"/>
    <cellStyle name="Normal 6 3 3 2 2 3 5" xfId="8852" xr:uid="{B84C43B9-4D40-4D89-917C-4AC1CDF6731C}"/>
    <cellStyle name="Normal 6 3 3 2 2 3 6" xfId="12472" xr:uid="{0622FEAE-89FE-47F9-A9C1-353D27D5F3CE}"/>
    <cellStyle name="Normal 6 3 3 2 2 3 7" xfId="14217" xr:uid="{C46E792A-6A2F-4E40-9598-2FA920575D63}"/>
    <cellStyle name="Normal 6 3 3 2 2 4" xfId="2200" xr:uid="{7F547CA1-81CF-4D1B-B025-1AF02F1649C7}"/>
    <cellStyle name="Normal 6 3 3 2 2 4 2" xfId="3920" xr:uid="{E636F3A5-27A6-4FA4-A18B-26040F2E16D2}"/>
    <cellStyle name="Normal 6 3 3 2 2 4 3" xfId="7846" xr:uid="{42066A57-269F-4F3C-8E58-812E97026A00}"/>
    <cellStyle name="Normal 6 3 3 2 2 4 4" xfId="9364" xr:uid="{9F456715-8851-4523-8128-E1A8F26ABFAE}"/>
    <cellStyle name="Normal 6 3 3 2 2 4 5" xfId="12978" xr:uid="{4EBC99C0-8C50-4724-AE05-7CF98EE5E680}"/>
    <cellStyle name="Normal 6 3 3 2 2 4 6" xfId="14723" xr:uid="{C747A2E8-4F67-48C8-A5A3-434EF88A7BB1}"/>
    <cellStyle name="Normal 6 3 3 2 2 5" xfId="4900" xr:uid="{54C04418-5E41-43A3-8C21-B4BA47E3C215}"/>
    <cellStyle name="Normal 6 3 3 2 2 5 2" xfId="10362" xr:uid="{EB6D45B5-7750-4027-8E70-8DD3A2AD1797}"/>
    <cellStyle name="Normal 6 3 3 2 2 6" xfId="5390" xr:uid="{E9E1909D-270F-4F9C-BA29-593525DC296B}"/>
    <cellStyle name="Normal 6 3 3 2 2 6 2" xfId="10864" xr:uid="{D9D8CBD4-13FE-4B00-84E0-D6DBE3F8AD13}"/>
    <cellStyle name="Normal 6 3 3 2 2 7" xfId="5892" xr:uid="{47BDB2B5-C708-4857-AA7F-C76E21EF623A}"/>
    <cellStyle name="Normal 6 3 3 2 2 7 2" xfId="11366" xr:uid="{5BE923EF-7EFA-4525-A6BA-17432E5A2BD0}"/>
    <cellStyle name="Normal 6 3 3 2 2 8" xfId="2916" xr:uid="{6C7E52D6-6F33-4DDA-9DA8-9D5B28FB3CA3}"/>
    <cellStyle name="Normal 6 3 3 2 2 9" xfId="6832" xr:uid="{AD532FED-DEEC-4AE8-85D0-C9D0E92F17A3}"/>
    <cellStyle name="Normal 6 3 3 2 3" xfId="1310" xr:uid="{BCF64842-0A3B-4D99-8AEA-78E89AC67417}"/>
    <cellStyle name="Normal 6 3 3 2 3 10" xfId="12090" xr:uid="{CAF854BE-41A2-4C44-B5E4-F608CAE54A87}"/>
    <cellStyle name="Normal 6 3 3 2 3 11" xfId="13835" xr:uid="{644A7AF3-6C68-4AE8-9C76-79B603DC034F}"/>
    <cellStyle name="Normal 6 3 3 2 3 2" xfId="1816" xr:uid="{536DFC1C-CEA1-4ED7-B423-328EA31C16CA}"/>
    <cellStyle name="Normal 6 3 3 2 3 2 2" xfId="4538" xr:uid="{9827CFCD-901A-46A9-8530-12F85B7D619B}"/>
    <cellStyle name="Normal 6 3 3 2 3 2 2 2" xfId="9984" xr:uid="{CE3FAF50-E921-4904-876D-1002234C425A}"/>
    <cellStyle name="Normal 6 3 3 2 3 2 3" xfId="3528" xr:uid="{4918C630-7C53-4207-BF55-84AC908AF9B5}"/>
    <cellStyle name="Normal 6 3 3 2 3 2 4" xfId="7462" xr:uid="{B19047C4-CD34-4447-BAFC-950A3C6132FA}"/>
    <cellStyle name="Normal 6 3 3 2 3 2 5" xfId="8976" xr:uid="{122993FA-4294-47D1-A27B-1863AB109F7B}"/>
    <cellStyle name="Normal 6 3 3 2 3 2 6" xfId="12596" xr:uid="{3299DE0A-AAE3-40C2-B465-852AC30D901B}"/>
    <cellStyle name="Normal 6 3 3 2 3 2 7" xfId="14341" xr:uid="{2BFAA4C2-D79A-43C6-BB12-19E449CCC60A}"/>
    <cellStyle name="Normal 6 3 3 2 3 3" xfId="2324" xr:uid="{943DCE4F-96D2-4151-AC70-22585F6BA466}"/>
    <cellStyle name="Normal 6 3 3 2 3 3 2" xfId="4044" xr:uid="{F2257868-C36A-4202-84F5-ECF1E061B908}"/>
    <cellStyle name="Normal 6 3 3 2 3 3 3" xfId="7970" xr:uid="{B10F4B9C-6AE3-4092-A8F0-2DBE3FCBF396}"/>
    <cellStyle name="Normal 6 3 3 2 3 3 4" xfId="9488" xr:uid="{4848B5DB-A5EE-4CF3-8420-2D16716A21A1}"/>
    <cellStyle name="Normal 6 3 3 2 3 3 5" xfId="13102" xr:uid="{0CF9696F-A783-41C3-AD47-306B37A15F9E}"/>
    <cellStyle name="Normal 6 3 3 2 3 3 6" xfId="14847" xr:uid="{22F24981-DF5B-4A17-8803-6D4E60161997}"/>
    <cellStyle name="Normal 6 3 3 2 3 4" xfId="5016" xr:uid="{77D2DEAE-D4CD-435B-B23F-3B5467315970}"/>
    <cellStyle name="Normal 6 3 3 2 3 4 2" xfId="10486" xr:uid="{2346F2F2-689F-4AAA-99F5-D47EF0434DC8}"/>
    <cellStyle name="Normal 6 3 3 2 3 5" xfId="5514" xr:uid="{96D9958D-9816-49DF-873B-CFCA6D4CAC26}"/>
    <cellStyle name="Normal 6 3 3 2 3 5 2" xfId="10988" xr:uid="{D7E92C0C-3339-4F97-9C54-5AF418E45AA6}"/>
    <cellStyle name="Normal 6 3 3 2 3 6" xfId="6016" xr:uid="{2ACBBD55-4AE3-4E28-BFA9-F990D40F1475}"/>
    <cellStyle name="Normal 6 3 3 2 3 6 2" xfId="11490" xr:uid="{1CDA8AEA-09D0-4620-BF69-380B65305A81}"/>
    <cellStyle name="Normal 6 3 3 2 3 7" xfId="3034" xr:uid="{5CF5F539-FFF4-4B4D-8DA0-E130267AEA54}"/>
    <cellStyle name="Normal 6 3 3 2 3 8" xfId="6956" xr:uid="{EA716750-8EE5-4FC3-8306-B45836F42FA7}"/>
    <cellStyle name="Normal 6 3 3 2 3 9" xfId="8480" xr:uid="{1E2F919C-7BDF-497A-BBD7-3AFBAD485686}"/>
    <cellStyle name="Normal 6 3 3 2 4" xfId="1568" xr:uid="{EBD3FA9D-4010-47F1-A3F1-189740B0AA96}"/>
    <cellStyle name="Normal 6 3 3 2 4 2" xfId="4290" xr:uid="{A4FC6928-BD96-4A30-80B3-10AE813D4869}"/>
    <cellStyle name="Normal 6 3 3 2 4 2 2" xfId="9736" xr:uid="{2A34C2FA-609D-485E-A3B9-2F6F5DF0312A}"/>
    <cellStyle name="Normal 6 3 3 2 4 3" xfId="3280" xr:uid="{01E34270-E6D0-444B-823A-22F938894C78}"/>
    <cellStyle name="Normal 6 3 3 2 4 4" xfId="7214" xr:uid="{B17B73E5-DDF2-42B3-8216-CE105272D17F}"/>
    <cellStyle name="Normal 6 3 3 2 4 5" xfId="8728" xr:uid="{5066B5AD-B0B9-40E7-8CE7-32844E8B0310}"/>
    <cellStyle name="Normal 6 3 3 2 4 6" xfId="12348" xr:uid="{2204CA52-024E-4875-BBA4-148A2D8F182B}"/>
    <cellStyle name="Normal 6 3 3 2 4 7" xfId="14093" xr:uid="{949748D4-7BBF-446E-B5B7-9D68292F017A}"/>
    <cellStyle name="Normal 6 3 3 2 5" xfId="2076" xr:uid="{DA2F591E-932A-4C7D-AC56-A9920EE8F360}"/>
    <cellStyle name="Normal 6 3 3 2 5 2" xfId="3796" xr:uid="{A3CF6E3D-82B5-45C6-8F0F-EFFCA4C89DB2}"/>
    <cellStyle name="Normal 6 3 3 2 5 3" xfId="7722" xr:uid="{F8AFDDE4-8314-4CFE-B1CA-D082546DC7F5}"/>
    <cellStyle name="Normal 6 3 3 2 5 4" xfId="9240" xr:uid="{68320D97-E3E4-47BB-BB7B-4E99FDF75A98}"/>
    <cellStyle name="Normal 6 3 3 2 5 5" xfId="12854" xr:uid="{46F38311-2948-4209-87ED-575E52D682D0}"/>
    <cellStyle name="Normal 6 3 3 2 5 6" xfId="14599" xr:uid="{32A32A4D-0B41-4BDF-9599-91C5EE590479}"/>
    <cellStyle name="Normal 6 3 3 2 6" xfId="4784" xr:uid="{3E17952D-53B4-4B9F-A3E2-A5A5C54B0CA6}"/>
    <cellStyle name="Normal 6 3 3 2 6 2" xfId="10238" xr:uid="{C44F573A-9396-42DB-85E1-B2EE46506619}"/>
    <cellStyle name="Normal 6 3 3 2 7" xfId="5266" xr:uid="{D32D6731-572E-4985-8E2E-AD5475D7CAAE}"/>
    <cellStyle name="Normal 6 3 3 2 7 2" xfId="10740" xr:uid="{23A319EB-F9F2-4566-B8E8-D975D07F1E67}"/>
    <cellStyle name="Normal 6 3 3 2 8" xfId="5768" xr:uid="{73C23402-3A1D-4592-BAE7-9444314E1799}"/>
    <cellStyle name="Normal 6 3 3 2 8 2" xfId="11242" xr:uid="{285AB980-0AC2-469F-863D-55E97AC8A831}"/>
    <cellStyle name="Normal 6 3 3 2 9" xfId="2800" xr:uid="{E51B7735-7ABA-4C27-9ED4-A5D3C04BB7B9}"/>
    <cellStyle name="Normal 6 3 3 3" xfId="1132" xr:uid="{C9EDDD57-2106-4DA4-AC46-B3D3CC4EF398}"/>
    <cellStyle name="Normal 6 3 3 3 10" xfId="8302" xr:uid="{5657A96B-7728-4160-B998-8CC26EB1EADE}"/>
    <cellStyle name="Normal 6 3 3 3 11" xfId="11912" xr:uid="{0A3E8E4D-236F-4B50-B91F-B7A3E7EB8B68}"/>
    <cellStyle name="Normal 6 3 3 3 12" xfId="13657" xr:uid="{D510289F-7E5E-4456-A566-3DCB1A47E090}"/>
    <cellStyle name="Normal 6 3 3 3 2" xfId="1380" xr:uid="{8FC601E9-4C23-4B0A-9A0A-074C3B45D5CB}"/>
    <cellStyle name="Normal 6 3 3 3 2 10" xfId="12160" xr:uid="{79C20FE6-81EC-4D5A-9897-FBA510645A7E}"/>
    <cellStyle name="Normal 6 3 3 3 2 11" xfId="13905" xr:uid="{AF3B9D2C-836E-4C13-8B09-F6589C929A79}"/>
    <cellStyle name="Normal 6 3 3 3 2 2" xfId="1886" xr:uid="{ED8502F7-54F1-441D-AE2B-24EA002C88E0}"/>
    <cellStyle name="Normal 6 3 3 3 2 2 2" xfId="4608" xr:uid="{53DF40CC-3CCC-4EF6-B814-891647017510}"/>
    <cellStyle name="Normal 6 3 3 3 2 2 2 2" xfId="10054" xr:uid="{8849201D-E6E8-408B-8810-EC418247F92C}"/>
    <cellStyle name="Normal 6 3 3 3 2 2 3" xfId="3598" xr:uid="{2C83080F-3ED4-4A75-BCC7-A4E6EFFCF353}"/>
    <cellStyle name="Normal 6 3 3 3 2 2 4" xfId="7532" xr:uid="{5D454752-B860-493B-BDBD-1724FE6D007B}"/>
    <cellStyle name="Normal 6 3 3 3 2 2 5" xfId="9046" xr:uid="{2305E2D9-80B5-4E73-AFB7-2E334C873D18}"/>
    <cellStyle name="Normal 6 3 3 3 2 2 6" xfId="12666" xr:uid="{9CC60F79-29EE-4241-AEED-BEB8238F6450}"/>
    <cellStyle name="Normal 6 3 3 3 2 2 7" xfId="14411" xr:uid="{69D96152-31B7-45B9-999F-9D0D21C44594}"/>
    <cellStyle name="Normal 6 3 3 3 2 3" xfId="2394" xr:uid="{23D6766A-2BC2-468F-BB6D-7BB54FF64535}"/>
    <cellStyle name="Normal 6 3 3 3 2 3 2" xfId="4114" xr:uid="{29F43977-95E0-4E7E-80F6-13BF3302F632}"/>
    <cellStyle name="Normal 6 3 3 3 2 3 3" xfId="8040" xr:uid="{8B29AB38-3385-4AA3-94CC-F8B105C7449F}"/>
    <cellStyle name="Normal 6 3 3 3 2 3 4" xfId="9558" xr:uid="{62ABD2DF-F30F-4335-9FFE-B7067E2BCB0C}"/>
    <cellStyle name="Normal 6 3 3 3 2 3 5" xfId="13172" xr:uid="{C70FB850-2A45-4D16-A733-DE72B8A644E3}"/>
    <cellStyle name="Normal 6 3 3 3 2 3 6" xfId="14917" xr:uid="{B4FAE0EA-31A5-4892-BD78-D64F4872B089}"/>
    <cellStyle name="Normal 6 3 3 3 2 4" xfId="5086" xr:uid="{B8964FBA-1303-431C-9294-6670DAC24FA9}"/>
    <cellStyle name="Normal 6 3 3 3 2 4 2" xfId="10556" xr:uid="{586D6CCB-1E1C-4217-8F1B-C2478AB16AA3}"/>
    <cellStyle name="Normal 6 3 3 3 2 5" xfId="5584" xr:uid="{1639B843-CD35-4D4B-AB6B-1A5D17AD2751}"/>
    <cellStyle name="Normal 6 3 3 3 2 5 2" xfId="11058" xr:uid="{6B7A9DC6-9F9A-40D1-BA6F-4988C31DC875}"/>
    <cellStyle name="Normal 6 3 3 3 2 6" xfId="6086" xr:uid="{E16706E6-6A25-4E54-91C9-7F4346BDE1B5}"/>
    <cellStyle name="Normal 6 3 3 3 2 6 2" xfId="11560" xr:uid="{3EF4833D-16D0-4213-85B5-0B38C0F66666}"/>
    <cellStyle name="Normal 6 3 3 3 2 7" xfId="3104" xr:uid="{B18CA0C5-C55B-4B9A-A19E-53F7F464B8B7}"/>
    <cellStyle name="Normal 6 3 3 3 2 8" xfId="7026" xr:uid="{7AE1EFCE-E62A-47FA-BAE7-B507C4463F12}"/>
    <cellStyle name="Normal 6 3 3 3 2 9" xfId="8550" xr:uid="{6C587367-F8D2-4213-8F8B-277688DEE764}"/>
    <cellStyle name="Normal 6 3 3 3 3" xfId="1638" xr:uid="{6F87C256-7C2A-4B36-9D9A-1F2AEDED9751}"/>
    <cellStyle name="Normal 6 3 3 3 3 2" xfId="4360" xr:uid="{B6257F30-7C4A-44BF-85C7-213880200780}"/>
    <cellStyle name="Normal 6 3 3 3 3 2 2" xfId="9806" xr:uid="{FD0A6675-54DC-4EB2-8B47-8F1DE5126436}"/>
    <cellStyle name="Normal 6 3 3 3 3 3" xfId="3350" xr:uid="{469F9173-9074-439E-8A1B-C46BBE991A2C}"/>
    <cellStyle name="Normal 6 3 3 3 3 4" xfId="7284" xr:uid="{7288B5DD-7444-41AB-8756-91D280F0E88A}"/>
    <cellStyle name="Normal 6 3 3 3 3 5" xfId="8798" xr:uid="{DAFF2F94-2F39-4370-BF3A-D1742DE11EDA}"/>
    <cellStyle name="Normal 6 3 3 3 3 6" xfId="12418" xr:uid="{37B9A3D3-576A-4972-8F93-E0D22EAC5A81}"/>
    <cellStyle name="Normal 6 3 3 3 3 7" xfId="14163" xr:uid="{93828E11-9837-4F16-BCBF-1AB0B86EA3D4}"/>
    <cellStyle name="Normal 6 3 3 3 4" xfId="2146" xr:uid="{4670F34A-45CD-48BD-AEAD-56014DD8F357}"/>
    <cellStyle name="Normal 6 3 3 3 4 2" xfId="3866" xr:uid="{BBFE49C3-321E-4A95-97CA-4FDF48A7D2B7}"/>
    <cellStyle name="Normal 6 3 3 3 4 3" xfId="7792" xr:uid="{3268F9A2-4EA1-477B-B458-E63B5248C1C9}"/>
    <cellStyle name="Normal 6 3 3 3 4 4" xfId="9310" xr:uid="{3CF25E8E-64F3-4B10-AC3C-38C22A2CCA25}"/>
    <cellStyle name="Normal 6 3 3 3 4 5" xfId="12924" xr:uid="{9F275F31-5F8E-4635-9780-30151214B13F}"/>
    <cellStyle name="Normal 6 3 3 3 4 6" xfId="14669" xr:uid="{404C790A-66B9-4D9D-886C-BC7C88DBC15E}"/>
    <cellStyle name="Normal 6 3 3 3 5" xfId="4848" xr:uid="{65D62346-B47F-49A5-A36F-3FF655DDD1D7}"/>
    <cellStyle name="Normal 6 3 3 3 5 2" xfId="10308" xr:uid="{E4E239AF-FF82-4C1B-A57C-83750B696556}"/>
    <cellStyle name="Normal 6 3 3 3 6" xfId="5336" xr:uid="{CC17CD38-386C-4E9A-A888-5B096729ADF2}"/>
    <cellStyle name="Normal 6 3 3 3 6 2" xfId="10810" xr:uid="{BEEAE511-F1D8-4003-9B36-1C5CB90B52F5}"/>
    <cellStyle name="Normal 6 3 3 3 7" xfId="5838" xr:uid="{C38FF9E3-4AB1-46D7-95A8-09B2ABC83761}"/>
    <cellStyle name="Normal 6 3 3 3 7 2" xfId="11312" xr:uid="{DC76038B-9444-4CDE-9125-E2E263305C67}"/>
    <cellStyle name="Normal 6 3 3 3 8" xfId="2864" xr:uid="{8DAC3812-2830-432D-AE13-E3BA7B0B9CF8}"/>
    <cellStyle name="Normal 6 3 3 3 9" xfId="6778" xr:uid="{45E570B7-1FC5-4EBF-A445-D9F743A2C765}"/>
    <cellStyle name="Normal 6 3 3 4" xfId="1256" xr:uid="{1AF30750-DF64-4939-9E28-3D279A016EFB}"/>
    <cellStyle name="Normal 6 3 3 4 10" xfId="12036" xr:uid="{67E88364-C1F4-44D5-BFFC-A828D3766BB4}"/>
    <cellStyle name="Normal 6 3 3 4 11" xfId="13781" xr:uid="{38EC1CA8-0FE8-4975-B813-E87F4F43CC0A}"/>
    <cellStyle name="Normal 6 3 3 4 2" xfId="1762" xr:uid="{9E4CF9EE-900B-4720-9F78-C8B8AD903F7E}"/>
    <cellStyle name="Normal 6 3 3 4 2 2" xfId="4484" xr:uid="{267FFF72-DEBD-4306-A19C-D8510C51CE0C}"/>
    <cellStyle name="Normal 6 3 3 4 2 2 2" xfId="9930" xr:uid="{5FF4FD35-AE8A-43CC-929F-E19BA3B15661}"/>
    <cellStyle name="Normal 6 3 3 4 2 3" xfId="3474" xr:uid="{D6B172D9-B8B6-4D37-8D26-4824639C9B42}"/>
    <cellStyle name="Normal 6 3 3 4 2 4" xfId="7408" xr:uid="{3D3C0B35-3ADC-48CA-86FC-FC55C74EA03F}"/>
    <cellStyle name="Normal 6 3 3 4 2 5" xfId="8922" xr:uid="{3EA508C2-1CB2-422E-810A-A5DBDDAF32DC}"/>
    <cellStyle name="Normal 6 3 3 4 2 6" xfId="12542" xr:uid="{EE0611CD-3395-4C22-82D9-1BFDC34B0814}"/>
    <cellStyle name="Normal 6 3 3 4 2 7" xfId="14287" xr:uid="{260AF83F-E40A-4972-A743-D3699DB5F4E4}"/>
    <cellStyle name="Normal 6 3 3 4 3" xfId="2270" xr:uid="{31E45927-69F1-4F15-91E8-8A91A6E0336D}"/>
    <cellStyle name="Normal 6 3 3 4 3 2" xfId="3990" xr:uid="{0F2AA783-41B5-4189-ABC9-8BA8B8ECA5CD}"/>
    <cellStyle name="Normal 6 3 3 4 3 3" xfId="7916" xr:uid="{3ABCA166-5EB7-490E-A32E-2A0EA25D8CF3}"/>
    <cellStyle name="Normal 6 3 3 4 3 4" xfId="9434" xr:uid="{98BED792-15AD-4607-B6AF-8ADB407A29F3}"/>
    <cellStyle name="Normal 6 3 3 4 3 5" xfId="13048" xr:uid="{52A71790-C500-4963-8D89-33095E6A7803}"/>
    <cellStyle name="Normal 6 3 3 4 3 6" xfId="14793" xr:uid="{C6DBF080-EEDF-4353-B3A0-BBE164031908}"/>
    <cellStyle name="Normal 6 3 3 4 4" xfId="4964" xr:uid="{E0C510B8-3455-4405-983E-E60B0F239B92}"/>
    <cellStyle name="Normal 6 3 3 4 4 2" xfId="10432" xr:uid="{C9FCEA72-48EF-4429-AE3A-23051F8C1070}"/>
    <cellStyle name="Normal 6 3 3 4 5" xfId="5460" xr:uid="{C9C6EE35-A842-4D2A-B00D-6A16B81A54BB}"/>
    <cellStyle name="Normal 6 3 3 4 5 2" xfId="10934" xr:uid="{DAD8A1BB-256A-4661-B78C-FE1A53B3FA9B}"/>
    <cellStyle name="Normal 6 3 3 4 6" xfId="5962" xr:uid="{BF20A239-62D1-4BA5-A122-01A42C4BB987}"/>
    <cellStyle name="Normal 6 3 3 4 6 2" xfId="11436" xr:uid="{28D9D6A8-386C-4108-BA42-9E800D859DB0}"/>
    <cellStyle name="Normal 6 3 3 4 7" xfId="2982" xr:uid="{19B55841-62F9-4FC1-8AE4-A96D9ABDA2E7}"/>
    <cellStyle name="Normal 6 3 3 4 8" xfId="6902" xr:uid="{FC25681A-3E2B-4316-9BFA-FB3E287D36CD}"/>
    <cellStyle name="Normal 6 3 3 4 9" xfId="8426" xr:uid="{894759CF-74D3-422B-8B2A-03DDE40B9231}"/>
    <cellStyle name="Normal 6 3 3 5" xfId="1514" xr:uid="{88AE9DB9-9964-4BB0-8011-C074C7A4CDF2}"/>
    <cellStyle name="Normal 6 3 3 5 2" xfId="4238" xr:uid="{E917381B-9898-47C8-A4BA-C5622BCD9A20}"/>
    <cellStyle name="Normal 6 3 3 5 2 2" xfId="9682" xr:uid="{D3DA7B79-E564-4945-9587-C2781DF78B79}"/>
    <cellStyle name="Normal 6 3 3 5 3" xfId="3228" xr:uid="{F199FF53-FBB2-4534-9D8A-D74A6D7A30C5}"/>
    <cellStyle name="Normal 6 3 3 5 4" xfId="7160" xr:uid="{0FE0B37A-0DE3-48AB-BF9D-29DD6A1AD1BE}"/>
    <cellStyle name="Normal 6 3 3 5 5" xfId="8674" xr:uid="{C95BD99C-C29E-40A5-849E-BDBBAF015B78}"/>
    <cellStyle name="Normal 6 3 3 5 6" xfId="12294" xr:uid="{814EE917-C1AC-444F-83BF-3860DAE470A9}"/>
    <cellStyle name="Normal 6 3 3 5 7" xfId="14039" xr:uid="{F1259D80-F24E-422C-A07A-A01A82CC9607}"/>
    <cellStyle name="Normal 6 3 3 6" xfId="2022" xr:uid="{64758753-6E36-4887-8FA9-819EBFE0122B}"/>
    <cellStyle name="Normal 6 3 3 6 2" xfId="3742" xr:uid="{B21322B1-4608-4E50-B3F9-C7FFA54DACD5}"/>
    <cellStyle name="Normal 6 3 3 6 3" xfId="7668" xr:uid="{BD715987-6266-491D-8422-E0A9048D638B}"/>
    <cellStyle name="Normal 6 3 3 6 4" xfId="9186" xr:uid="{635AF31B-BF0F-4AC1-9FD2-9963299037BF}"/>
    <cellStyle name="Normal 6 3 3 6 5" xfId="12800" xr:uid="{C6D9E43C-6EFA-4029-9DE7-A0C01A637B1B}"/>
    <cellStyle name="Normal 6 3 3 6 6" xfId="14545" xr:uid="{DAFD4D93-EBE0-4FE2-B20E-1F45110D0A4F}"/>
    <cellStyle name="Normal 6 3 3 7" xfId="4736" xr:uid="{AF416511-B5DB-4DF5-971F-1BD9A09D310D}"/>
    <cellStyle name="Normal 6 3 3 7 2" xfId="10184" xr:uid="{844757A1-46BE-4564-99F2-00E7A7BDB285}"/>
    <cellStyle name="Normal 6 3 3 8" xfId="5212" xr:uid="{7B22595E-3BA9-4432-9DD2-EC98EEEA8F99}"/>
    <cellStyle name="Normal 6 3 3 8 2" xfId="10686" xr:uid="{FB321CA7-6E3B-4FBE-BD85-84950BD52C4A}"/>
    <cellStyle name="Normal 6 3 3 9" xfId="5714" xr:uid="{9AEFE010-2A2D-49B4-9B96-A3074F43ACCD}"/>
    <cellStyle name="Normal 6 3 3 9 2" xfId="11188" xr:uid="{4459F81E-DCAD-4E4B-AD42-BC986C900749}"/>
    <cellStyle name="Normal 6 3 4" xfId="1060" xr:uid="{450D744B-14EB-4A20-A9F7-074B9DDD779A}"/>
    <cellStyle name="Normal 6 3 4 10" xfId="6706" xr:uid="{26E67219-E0C2-4E33-814C-1DA389BB5652}"/>
    <cellStyle name="Normal 6 3 4 11" xfId="8230" xr:uid="{9464D642-F7C7-450E-921D-6E59EBE4C6DE}"/>
    <cellStyle name="Normal 6 3 4 12" xfId="11840" xr:uid="{00533776-F219-443E-AF27-E97CFA64AF1C}"/>
    <cellStyle name="Normal 6 3 4 13" xfId="13585" xr:uid="{CCA701A9-6E81-4216-BE88-BB1667F4632A}"/>
    <cellStyle name="Normal 6 3 4 2" xfId="1184" xr:uid="{DB3A3CEC-453D-4EC0-BE1A-7AB6CD1174E6}"/>
    <cellStyle name="Normal 6 3 4 2 10" xfId="8354" xr:uid="{C2D7E87F-7DF9-4253-8D29-47BBC6317B8A}"/>
    <cellStyle name="Normal 6 3 4 2 11" xfId="11964" xr:uid="{AC6AEE7C-E828-4566-AFEE-7D96E20C2E34}"/>
    <cellStyle name="Normal 6 3 4 2 12" xfId="13709" xr:uid="{70E07220-2413-4E02-ACCC-C94291FE2C2F}"/>
    <cellStyle name="Normal 6 3 4 2 2" xfId="1432" xr:uid="{7D2BF90D-21BD-488D-9354-677C27B6986C}"/>
    <cellStyle name="Normal 6 3 4 2 2 10" xfId="12212" xr:uid="{F8BF877A-357E-4C95-8C10-BFB67B363236}"/>
    <cellStyle name="Normal 6 3 4 2 2 11" xfId="13957" xr:uid="{D8DAD662-CE87-41CB-A5B1-7988897A51C4}"/>
    <cellStyle name="Normal 6 3 4 2 2 2" xfId="1938" xr:uid="{A89EF25D-C802-4836-B694-DE03DEBA81AE}"/>
    <cellStyle name="Normal 6 3 4 2 2 2 2" xfId="4660" xr:uid="{BCB94882-5AA5-42FF-BFF5-AD898F92872C}"/>
    <cellStyle name="Normal 6 3 4 2 2 2 2 2" xfId="10106" xr:uid="{0BA2DAE3-991A-46BE-BBF7-2049F258BAF7}"/>
    <cellStyle name="Normal 6 3 4 2 2 2 3" xfId="3650" xr:uid="{DD162443-8B51-449E-A924-25636532846D}"/>
    <cellStyle name="Normal 6 3 4 2 2 2 4" xfId="7584" xr:uid="{0D0FF419-BDF7-453C-B5C3-E19ADE584658}"/>
    <cellStyle name="Normal 6 3 4 2 2 2 5" xfId="9098" xr:uid="{243A738D-B0DA-4E27-80AF-CA5B3621F6DB}"/>
    <cellStyle name="Normal 6 3 4 2 2 2 6" xfId="12718" xr:uid="{84C8A306-AE2B-4092-984B-1E40861CF8E2}"/>
    <cellStyle name="Normal 6 3 4 2 2 2 7" xfId="14463" xr:uid="{1F6B4BF5-06EE-4C61-BFD9-BAFB11C733B2}"/>
    <cellStyle name="Normal 6 3 4 2 2 3" xfId="2446" xr:uid="{E55CD656-2F93-4FFA-8898-02FEA3FE8CE6}"/>
    <cellStyle name="Normal 6 3 4 2 2 3 2" xfId="4166" xr:uid="{C9E8F454-33C5-4064-9FB4-3013D736FB2C}"/>
    <cellStyle name="Normal 6 3 4 2 2 3 3" xfId="8092" xr:uid="{7A5E11F4-9CA9-4814-B12C-4436D019F0CA}"/>
    <cellStyle name="Normal 6 3 4 2 2 3 4" xfId="9610" xr:uid="{BF4A123E-09EC-4F4D-A382-11608751E094}"/>
    <cellStyle name="Normal 6 3 4 2 2 3 5" xfId="13224" xr:uid="{198731B6-7AC6-4C3C-A68A-773B3D1749B6}"/>
    <cellStyle name="Normal 6 3 4 2 2 3 6" xfId="14969" xr:uid="{C5505174-148E-47F8-8004-3CAAC87AF787}"/>
    <cellStyle name="Normal 6 3 4 2 2 4" xfId="5138" xr:uid="{781D2EA8-4198-44B4-9A8B-CDBFD5E7A229}"/>
    <cellStyle name="Normal 6 3 4 2 2 4 2" xfId="10608" xr:uid="{567E2E40-6BD6-4393-B5F1-1CAAC083C501}"/>
    <cellStyle name="Normal 6 3 4 2 2 5" xfId="5636" xr:uid="{0684F033-0B82-489E-B250-90DBB7D7737B}"/>
    <cellStyle name="Normal 6 3 4 2 2 5 2" xfId="11110" xr:uid="{0A03A356-6291-40D5-B323-55609E9A8AB9}"/>
    <cellStyle name="Normal 6 3 4 2 2 6" xfId="6138" xr:uid="{37526613-CF83-4541-9D60-14895FDD1E5A}"/>
    <cellStyle name="Normal 6 3 4 2 2 6 2" xfId="11612" xr:uid="{A7AA2190-481E-463E-8D77-7E4C1CB3B6F6}"/>
    <cellStyle name="Normal 6 3 4 2 2 7" xfId="3156" xr:uid="{B71E4634-ADF0-4326-ADCE-D821D4C07ABD}"/>
    <cellStyle name="Normal 6 3 4 2 2 8" xfId="7078" xr:uid="{6F44D71B-8BDF-4A31-BB74-6358767C1878}"/>
    <cellStyle name="Normal 6 3 4 2 2 9" xfId="8602" xr:uid="{4A3C94A5-6F4F-4669-8619-E31A82A1BB60}"/>
    <cellStyle name="Normal 6 3 4 2 3" xfId="1690" xr:uid="{AB94C0F8-168A-4ED1-B204-8134DC263306}"/>
    <cellStyle name="Normal 6 3 4 2 3 2" xfId="4412" xr:uid="{1E379F00-418F-4203-9950-BC1E85CDB470}"/>
    <cellStyle name="Normal 6 3 4 2 3 2 2" xfId="9858" xr:uid="{E0D5B430-39AF-4DDB-9B63-E1CC72750E95}"/>
    <cellStyle name="Normal 6 3 4 2 3 3" xfId="3402" xr:uid="{122383FD-3FA5-4C85-81C8-9F9A76FD508C}"/>
    <cellStyle name="Normal 6 3 4 2 3 4" xfId="7336" xr:uid="{2EB1C8B3-233E-485E-940F-E53E2FE90E3B}"/>
    <cellStyle name="Normal 6 3 4 2 3 5" xfId="8850" xr:uid="{E0D69304-A828-4334-800C-AFB8D07A5B40}"/>
    <cellStyle name="Normal 6 3 4 2 3 6" xfId="12470" xr:uid="{7BB0A97C-3C0E-4AD1-8843-D09CEC36B03F}"/>
    <cellStyle name="Normal 6 3 4 2 3 7" xfId="14215" xr:uid="{DBFDC02B-8923-472A-88C5-3FB94FA71709}"/>
    <cellStyle name="Normal 6 3 4 2 4" xfId="2198" xr:uid="{CB15AC28-55FC-41C3-B206-C744AD91FF82}"/>
    <cellStyle name="Normal 6 3 4 2 4 2" xfId="3918" xr:uid="{151252C7-012B-4E0E-9EE7-91C7A4F7A9AB}"/>
    <cellStyle name="Normal 6 3 4 2 4 3" xfId="7844" xr:uid="{98E3D93A-7A9E-4DC2-A3F4-395EC07CFF52}"/>
    <cellStyle name="Normal 6 3 4 2 4 4" xfId="9362" xr:uid="{C06CBEDB-63AF-4B4B-9ADA-56C4351AA53F}"/>
    <cellStyle name="Normal 6 3 4 2 4 5" xfId="12976" xr:uid="{8C9BCCD6-1BC3-46C1-A0C5-B60B1E37D5F3}"/>
    <cellStyle name="Normal 6 3 4 2 4 6" xfId="14721" xr:uid="{04895EFA-AC84-4738-8E39-D27C48B10392}"/>
    <cellStyle name="Normal 6 3 4 2 5" xfId="4898" xr:uid="{00A8E409-1223-4949-92F0-381B36F81812}"/>
    <cellStyle name="Normal 6 3 4 2 5 2" xfId="10360" xr:uid="{8579DAC7-6D7F-400F-A89F-FED4F7856798}"/>
    <cellStyle name="Normal 6 3 4 2 6" xfId="5388" xr:uid="{190E8751-69C5-43F1-B72E-860BD4DE49D8}"/>
    <cellStyle name="Normal 6 3 4 2 6 2" xfId="10862" xr:uid="{327DB41C-CEE3-4FCB-AE8A-EF6A432FDBC0}"/>
    <cellStyle name="Normal 6 3 4 2 7" xfId="5890" xr:uid="{47BF3657-BA02-43FE-9090-38D268D8C92F}"/>
    <cellStyle name="Normal 6 3 4 2 7 2" xfId="11364" xr:uid="{AFAC9360-CE64-4DE2-B2CD-8B79712DA581}"/>
    <cellStyle name="Normal 6 3 4 2 8" xfId="2914" xr:uid="{CCF4AE2E-8AB0-48F7-B4B0-A4C15AF86AAF}"/>
    <cellStyle name="Normal 6 3 4 2 9" xfId="6830" xr:uid="{32D6EAE9-AE61-4440-BD2C-01F45CD5F876}"/>
    <cellStyle name="Normal 6 3 4 3" xfId="1308" xr:uid="{CA8AE43D-6523-40E9-83EE-8B80C3279631}"/>
    <cellStyle name="Normal 6 3 4 3 10" xfId="12088" xr:uid="{97C34A93-0CA4-40D3-996C-21DABBC45CA2}"/>
    <cellStyle name="Normal 6 3 4 3 11" xfId="13833" xr:uid="{12239BE0-9F7A-434A-B048-9C953A522A6F}"/>
    <cellStyle name="Normal 6 3 4 3 2" xfId="1814" xr:uid="{D8D22DAB-2BA8-48C8-A268-B38B131D232C}"/>
    <cellStyle name="Normal 6 3 4 3 2 2" xfId="4536" xr:uid="{D7D1259E-D599-4DDC-83C6-8BE973F9E957}"/>
    <cellStyle name="Normal 6 3 4 3 2 2 2" xfId="9982" xr:uid="{B8DF2A15-F247-449B-AAEF-A362EC1444F6}"/>
    <cellStyle name="Normal 6 3 4 3 2 3" xfId="3526" xr:uid="{B88F00CB-BA5F-4FEF-A92F-30312DE99021}"/>
    <cellStyle name="Normal 6 3 4 3 2 4" xfId="7460" xr:uid="{C2B45D05-2D02-48E4-BE75-5BB205C7DC69}"/>
    <cellStyle name="Normal 6 3 4 3 2 5" xfId="8974" xr:uid="{452B207F-57B8-48CD-8190-BC8D1D89920E}"/>
    <cellStyle name="Normal 6 3 4 3 2 6" xfId="12594" xr:uid="{51BA1475-4729-4157-A529-D5F4825C21A9}"/>
    <cellStyle name="Normal 6 3 4 3 2 7" xfId="14339" xr:uid="{A47BC42C-C7A7-4FB4-B0F0-A66C18CBBC4B}"/>
    <cellStyle name="Normal 6 3 4 3 3" xfId="2322" xr:uid="{6ACF01EB-437B-49B9-88DA-2AF2C3AC4A05}"/>
    <cellStyle name="Normal 6 3 4 3 3 2" xfId="4042" xr:uid="{79B59B8B-DC45-460A-A173-20A26398D9EB}"/>
    <cellStyle name="Normal 6 3 4 3 3 3" xfId="7968" xr:uid="{C6AF0B1E-E29E-4645-BEE2-E6C11B57AA4E}"/>
    <cellStyle name="Normal 6 3 4 3 3 4" xfId="9486" xr:uid="{46CB4EEB-DEAF-4175-A63A-63CA2408142D}"/>
    <cellStyle name="Normal 6 3 4 3 3 5" xfId="13100" xr:uid="{8DFCC0BA-4F2F-4E89-AF82-BB1E4A693838}"/>
    <cellStyle name="Normal 6 3 4 3 3 6" xfId="14845" xr:uid="{F4AAD962-24F7-406E-92AC-FFD010FFAB6A}"/>
    <cellStyle name="Normal 6 3 4 3 4" xfId="5014" xr:uid="{80808045-8463-4080-A167-7BC9BF814E47}"/>
    <cellStyle name="Normal 6 3 4 3 4 2" xfId="10484" xr:uid="{DE262508-6E07-48DF-8EAC-C8FB3A84E330}"/>
    <cellStyle name="Normal 6 3 4 3 5" xfId="5512" xr:uid="{65E4EC38-D689-4B22-91DF-81C8687EB12F}"/>
    <cellStyle name="Normal 6 3 4 3 5 2" xfId="10986" xr:uid="{253857C9-1E66-4D09-A9AB-05C94C7FB1E1}"/>
    <cellStyle name="Normal 6 3 4 3 6" xfId="6014" xr:uid="{6C8C76D1-CBB1-4916-928D-ABF3B592932D}"/>
    <cellStyle name="Normal 6 3 4 3 6 2" xfId="11488" xr:uid="{C242FBDA-8440-4AC6-8FD6-29CFAE061ECC}"/>
    <cellStyle name="Normal 6 3 4 3 7" xfId="3032" xr:uid="{A04D9A0A-7CB9-4625-A033-66B9FBB76D2F}"/>
    <cellStyle name="Normal 6 3 4 3 8" xfId="6954" xr:uid="{CD99E394-44AD-49AE-9031-ACC68DE2A34D}"/>
    <cellStyle name="Normal 6 3 4 3 9" xfId="8478" xr:uid="{6E400D34-F0C0-44DE-80D7-869EA493EA5F}"/>
    <cellStyle name="Normal 6 3 4 4" xfId="1566" xr:uid="{232F2529-8BF9-4A59-9D7F-0BB659CDA044}"/>
    <cellStyle name="Normal 6 3 4 4 2" xfId="4288" xr:uid="{8BCC0772-F0BA-43FD-8F0E-2ECE31AB7FCD}"/>
    <cellStyle name="Normal 6 3 4 4 2 2" xfId="9734" xr:uid="{A7623755-620E-4E2F-B712-AD52AE4F6A4B}"/>
    <cellStyle name="Normal 6 3 4 4 3" xfId="3278" xr:uid="{55D58862-6FC0-4BD9-801F-E1454A1A2551}"/>
    <cellStyle name="Normal 6 3 4 4 4" xfId="7212" xr:uid="{DBED0900-E182-464C-9AC9-B6BEF981A89C}"/>
    <cellStyle name="Normal 6 3 4 4 5" xfId="8726" xr:uid="{864D464F-B046-483A-AD87-8E48A3779B0D}"/>
    <cellStyle name="Normal 6 3 4 4 6" xfId="12346" xr:uid="{7B62C490-EE32-4765-ABC9-0646EE0EEE03}"/>
    <cellStyle name="Normal 6 3 4 4 7" xfId="14091" xr:uid="{B291568A-A4A2-4DF4-8D64-0685C8847792}"/>
    <cellStyle name="Normal 6 3 4 5" xfId="2074" xr:uid="{B6D19A19-5B15-4CEE-BEA1-8933EADC706A}"/>
    <cellStyle name="Normal 6 3 4 5 2" xfId="3794" xr:uid="{78CE2704-596C-4E33-93A1-8E349D63AC47}"/>
    <cellStyle name="Normal 6 3 4 5 3" xfId="7720" xr:uid="{5DCCB046-51CC-4153-9890-3A228B0521D6}"/>
    <cellStyle name="Normal 6 3 4 5 4" xfId="9238" xr:uid="{A0CCEC68-0ADF-4FAA-A367-F60F6F16447A}"/>
    <cellStyle name="Normal 6 3 4 5 5" xfId="12852" xr:uid="{EC91C10F-5C05-4BFD-86A2-CEA305AA4886}"/>
    <cellStyle name="Normal 6 3 4 5 6" xfId="14597" xr:uid="{99634566-1DBE-4FCD-9BF1-FADEE4F2102B}"/>
    <cellStyle name="Normal 6 3 4 6" xfId="4782" xr:uid="{001E82C7-28B7-4C3F-B3BA-DA8C8235E101}"/>
    <cellStyle name="Normal 6 3 4 6 2" xfId="10236" xr:uid="{7C1C8E3E-4371-4BE8-B854-BA4A259BBADD}"/>
    <cellStyle name="Normal 6 3 4 7" xfId="5264" xr:uid="{E661C5E3-0A2A-49E5-B4F3-23CE0C688DBE}"/>
    <cellStyle name="Normal 6 3 4 7 2" xfId="10738" xr:uid="{DB591C3C-5099-42B0-A094-4448564456B3}"/>
    <cellStyle name="Normal 6 3 4 8" xfId="5766" xr:uid="{EFA2F5CD-E538-4DDD-8C72-D63BFF35FB04}"/>
    <cellStyle name="Normal 6 3 4 8 2" xfId="11240" xr:uid="{D466DC10-31E7-4EA9-9117-F182B31B20DF}"/>
    <cellStyle name="Normal 6 3 4 9" xfId="2798" xr:uid="{9F78F08A-2DFD-430F-969A-311A71E0FF95}"/>
    <cellStyle name="Normal 6 3 5" xfId="1090" xr:uid="{6D58D323-67D2-4AD0-8E66-BECA7AD40F9E}"/>
    <cellStyle name="Normal 6 3 5 10" xfId="8260" xr:uid="{7C9CB631-3F2B-4661-8297-420395C900F3}"/>
    <cellStyle name="Normal 6 3 5 11" xfId="11870" xr:uid="{B82308BD-2428-4B9C-9699-E8539C6B2D60}"/>
    <cellStyle name="Normal 6 3 5 12" xfId="13615" xr:uid="{5B589AE6-3C0F-4F29-B4D3-E90903723556}"/>
    <cellStyle name="Normal 6 3 5 2" xfId="1338" xr:uid="{1E47E12D-CC64-4206-BA33-32458F0995B9}"/>
    <cellStyle name="Normal 6 3 5 2 10" xfId="12118" xr:uid="{2FBC3798-8B07-4039-8F1F-F89B32389FE6}"/>
    <cellStyle name="Normal 6 3 5 2 11" xfId="13863" xr:uid="{DD60CBB0-0695-49A8-8007-66C98A7C2515}"/>
    <cellStyle name="Normal 6 3 5 2 2" xfId="1844" xr:uid="{A07EE84B-1ECC-41B7-BDC8-BE5B16D6AD0D}"/>
    <cellStyle name="Normal 6 3 5 2 2 2" xfId="4566" xr:uid="{D591A363-DC2F-4DC5-914D-0917876003AE}"/>
    <cellStyle name="Normal 6 3 5 2 2 2 2" xfId="10012" xr:uid="{7FABC420-1DF8-4323-BF6E-0F9F06473C65}"/>
    <cellStyle name="Normal 6 3 5 2 2 3" xfId="3556" xr:uid="{7A9F9667-6BF8-4825-B35A-9B4B57E73215}"/>
    <cellStyle name="Normal 6 3 5 2 2 4" xfId="7490" xr:uid="{3AFAA988-4D0F-415B-B017-5CD5F1DB8557}"/>
    <cellStyle name="Normal 6 3 5 2 2 5" xfId="9004" xr:uid="{77F62157-19D1-4F05-81DE-CCF09EA8EE8B}"/>
    <cellStyle name="Normal 6 3 5 2 2 6" xfId="12624" xr:uid="{D6747DB3-E99D-4BD1-89EB-1452AED0F3E7}"/>
    <cellStyle name="Normal 6 3 5 2 2 7" xfId="14369" xr:uid="{EE2B0D1C-0840-4C24-B072-6626832C1AC6}"/>
    <cellStyle name="Normal 6 3 5 2 3" xfId="2352" xr:uid="{DEF90C2D-75E3-4ED5-A0D8-A464A1B70EC0}"/>
    <cellStyle name="Normal 6 3 5 2 3 2" xfId="4072" xr:uid="{3501B23A-95C7-4547-ABC1-A1FF498B5C6B}"/>
    <cellStyle name="Normal 6 3 5 2 3 3" xfId="7998" xr:uid="{C02C13C6-F3BE-4610-B672-4C7DC270B4B9}"/>
    <cellStyle name="Normal 6 3 5 2 3 4" xfId="9516" xr:uid="{AC60ED65-DB24-4001-A52F-9AB87684A851}"/>
    <cellStyle name="Normal 6 3 5 2 3 5" xfId="13130" xr:uid="{55245AD4-DEBE-41BD-A194-4C5730EA7B2C}"/>
    <cellStyle name="Normal 6 3 5 2 3 6" xfId="14875" xr:uid="{E388D7A3-590E-4271-BDE0-C56248DAED3F}"/>
    <cellStyle name="Normal 6 3 5 2 4" xfId="5044" xr:uid="{7B6ACC74-EE48-4AD0-B7F9-D0E1F6FDEC61}"/>
    <cellStyle name="Normal 6 3 5 2 4 2" xfId="10514" xr:uid="{02A027D5-AC1C-4B3E-9E67-0C62E0576145}"/>
    <cellStyle name="Normal 6 3 5 2 5" xfId="5542" xr:uid="{4C0200A0-7F52-4648-91AE-EDFE43C27112}"/>
    <cellStyle name="Normal 6 3 5 2 5 2" xfId="11016" xr:uid="{2A3CA097-DDAF-4F62-903B-297D11874FD7}"/>
    <cellStyle name="Normal 6 3 5 2 6" xfId="6044" xr:uid="{455FBC20-0B6B-42F3-BFD4-43EB2DD31821}"/>
    <cellStyle name="Normal 6 3 5 2 6 2" xfId="11518" xr:uid="{D9900C02-8529-47BA-9043-A34316000970}"/>
    <cellStyle name="Normal 6 3 5 2 7" xfId="3062" xr:uid="{F8A76CCD-21E3-4FBE-AFFE-3F606F88E7E6}"/>
    <cellStyle name="Normal 6 3 5 2 8" xfId="6984" xr:uid="{E10AB8CC-B4D0-4C8A-AEE1-71019BCC7BA8}"/>
    <cellStyle name="Normal 6 3 5 2 9" xfId="8508" xr:uid="{24891606-3413-45CC-AA9F-98AADDC031D0}"/>
    <cellStyle name="Normal 6 3 5 3" xfId="1596" xr:uid="{B4BFB12C-ED4A-415D-93A1-9970B1BE1E69}"/>
    <cellStyle name="Normal 6 3 5 3 2" xfId="4318" xr:uid="{2E2418E7-E800-4030-8A3E-962E7B3F402C}"/>
    <cellStyle name="Normal 6 3 5 3 2 2" xfId="9764" xr:uid="{E4EEB262-1C1F-4F52-A139-329247818CF9}"/>
    <cellStyle name="Normal 6 3 5 3 3" xfId="3308" xr:uid="{3D5DE818-0DC2-42D7-A7D8-D2B483A6C0CA}"/>
    <cellStyle name="Normal 6 3 5 3 4" xfId="7242" xr:uid="{A1025C54-CA6E-4066-914B-83C21ED95064}"/>
    <cellStyle name="Normal 6 3 5 3 5" xfId="8756" xr:uid="{8564E419-F780-458E-9C64-08296D694A95}"/>
    <cellStyle name="Normal 6 3 5 3 6" xfId="12376" xr:uid="{EB6D5E7E-123E-40C3-ABDD-CF34515803C1}"/>
    <cellStyle name="Normal 6 3 5 3 7" xfId="14121" xr:uid="{5A8AB57C-7C2C-455F-BB13-0508FC63E1FC}"/>
    <cellStyle name="Normal 6 3 5 4" xfId="2104" xr:uid="{FD93C93C-20CC-4E0C-9F48-93720FE9C1F9}"/>
    <cellStyle name="Normal 6 3 5 4 2" xfId="3824" xr:uid="{414C7E57-946D-4797-B4D3-171B4F1EC6B1}"/>
    <cellStyle name="Normal 6 3 5 4 3" xfId="7750" xr:uid="{637143B2-6133-42F3-B95D-E1265E82D7EC}"/>
    <cellStyle name="Normal 6 3 5 4 4" xfId="9268" xr:uid="{6C71D075-6CB3-40F1-830F-D277819C7BD2}"/>
    <cellStyle name="Normal 6 3 5 4 5" xfId="12882" xr:uid="{B28C1098-0126-4785-AE36-758691DA22DF}"/>
    <cellStyle name="Normal 6 3 5 4 6" xfId="14627" xr:uid="{C63EAA8D-39E0-4B39-A16D-073A1207C2E6}"/>
    <cellStyle name="Normal 6 3 5 5" xfId="4810" xr:uid="{56723349-F295-4A84-A425-17B19086EDF3}"/>
    <cellStyle name="Normal 6 3 5 5 2" xfId="10266" xr:uid="{1498878C-B27B-4618-8732-565DDC5AB382}"/>
    <cellStyle name="Normal 6 3 5 6" xfId="5294" xr:uid="{DE29B1ED-8C97-4C96-98CE-C3C2CDEDEB67}"/>
    <cellStyle name="Normal 6 3 5 6 2" xfId="10768" xr:uid="{F0BA8F72-E66A-46BB-9754-3D2A24D681E4}"/>
    <cellStyle name="Normal 6 3 5 7" xfId="5796" xr:uid="{1632BE06-E479-4792-AB3A-D51F16DFDA2A}"/>
    <cellStyle name="Normal 6 3 5 7 2" xfId="11270" xr:uid="{BB654812-202B-4C82-B199-2994E17991DE}"/>
    <cellStyle name="Normal 6 3 5 8" xfId="2826" xr:uid="{A6CD735C-141A-4770-91A5-4D675D445365}"/>
    <cellStyle name="Normal 6 3 5 9" xfId="6736" xr:uid="{CC916B1E-2A26-4939-A275-BD0970E5DA61}"/>
    <cellStyle name="Normal 6 3 6" xfId="958" xr:uid="{F68FD893-ECA6-4460-939A-40410433417E}"/>
    <cellStyle name="Normal 6 3 6 10" xfId="11746" xr:uid="{F7AF0731-37D2-40E0-A503-BD24F9D43524}"/>
    <cellStyle name="Normal 6 3 6 11" xfId="13491" xr:uid="{C33B5B56-49FB-446F-9147-CB3FF7FDA40C}"/>
    <cellStyle name="Normal 6 3 6 2" xfId="1472" xr:uid="{407EDB99-CF8C-4B70-9C36-6CC9AE607143}"/>
    <cellStyle name="Normal 6 3 6 2 2" xfId="4442" xr:uid="{267C5540-DAF9-47CB-B579-EC48FA816786}"/>
    <cellStyle name="Normal 6 3 6 2 2 2" xfId="9888" xr:uid="{A6AFC207-16FC-4777-85CC-31AEFFC0E2A8}"/>
    <cellStyle name="Normal 6 3 6 2 3" xfId="3432" xr:uid="{54161395-F31A-4EE7-AADC-ABDD30AC4FFA}"/>
    <cellStyle name="Normal 6 3 6 2 4" xfId="7118" xr:uid="{0100BD86-216C-4A4B-98EB-ABE3D26863F4}"/>
    <cellStyle name="Normal 6 3 6 2 5" xfId="8880" xr:uid="{749879BD-9786-4632-A70C-3870564E42FF}"/>
    <cellStyle name="Normal 6 3 6 2 6" xfId="12252" xr:uid="{79755AD7-8246-4CC4-9A0E-281D2EC97E0B}"/>
    <cellStyle name="Normal 6 3 6 2 7" xfId="13997" xr:uid="{D7B6EC06-4B10-4F78-A316-655DBBFD13D0}"/>
    <cellStyle name="Normal 6 3 6 3" xfId="1980" xr:uid="{88DBE8CE-8194-42F2-A802-D32CE51A80FE}"/>
    <cellStyle name="Normal 6 3 6 3 2" xfId="3700" xr:uid="{BBC0BAF2-C9D2-4B84-8491-6412576BA1DF}"/>
    <cellStyle name="Normal 6 3 6 3 3" xfId="7626" xr:uid="{603E3F7A-EE82-4F51-961C-CCF01E7FBF96}"/>
    <cellStyle name="Normal 6 3 6 3 4" xfId="9144" xr:uid="{CBCA200F-3F98-4DC7-91C9-94B26C6922AD}"/>
    <cellStyle name="Normal 6 3 6 3 5" xfId="12758" xr:uid="{EAE7928A-4F69-4451-8787-5950A4F903DD}"/>
    <cellStyle name="Normal 6 3 6 3 6" xfId="14503" xr:uid="{FB8F36C7-F6B5-426D-89D6-7FF0B3BC26B7}"/>
    <cellStyle name="Normal 6 3 6 4" xfId="4926" xr:uid="{1BD78EF3-DDAA-465E-B843-AE4C1FBDD0DC}"/>
    <cellStyle name="Normal 6 3 6 4 2" xfId="10390" xr:uid="{F4EC4FB5-F193-4B90-8C94-911DE9FAAF00}"/>
    <cellStyle name="Normal 6 3 6 5" xfId="5418" xr:uid="{590133BC-94FE-4A54-805F-01B705CE2A15}"/>
    <cellStyle name="Normal 6 3 6 5 2" xfId="10892" xr:uid="{FC3959EA-50DA-445B-85FF-20C84C1D9006}"/>
    <cellStyle name="Normal 6 3 6 6" xfId="5920" xr:uid="{0AE5C36D-260E-4175-9FA6-4C755EBA16E0}"/>
    <cellStyle name="Normal 6 3 6 6 2" xfId="11394" xr:uid="{EE6DCE2C-7203-4502-9863-E5975D40203D}"/>
    <cellStyle name="Normal 6 3 6 7" xfId="2714" xr:uid="{BE3CF02A-7885-4368-AF0B-62059A9A9A21}"/>
    <cellStyle name="Normal 6 3 6 8" xfId="6609" xr:uid="{9A43F1C8-0DBE-4610-9A87-E2C09461912C}"/>
    <cellStyle name="Normal 6 3 6 9" xfId="8136" xr:uid="{78B6370C-7FAE-464E-A07C-D97514AF6D73}"/>
    <cellStyle name="Normal 6 3 7" xfId="1214" xr:uid="{5C1CDB84-D238-4AF1-8E42-825A0D8C2725}"/>
    <cellStyle name="Normal 6 3 7 2" xfId="1720" xr:uid="{C46404F0-656C-4D47-AEDD-23F4BE2AB95B}"/>
    <cellStyle name="Normal 6 3 7 2 2" xfId="3948" xr:uid="{BEE8C7B6-240A-4D2C-A742-8791288CAD2D}"/>
    <cellStyle name="Normal 6 3 7 2 3" xfId="7366" xr:uid="{EDD1D95E-DBB1-4335-B0CC-6A8B5018D1A7}"/>
    <cellStyle name="Normal 6 3 7 2 4" xfId="9392" xr:uid="{EDF3AD95-E77D-46AF-8E84-BCEDED5A3031}"/>
    <cellStyle name="Normal 6 3 7 2 5" xfId="12500" xr:uid="{7AF24A1A-8870-4B6C-A792-24A180BAE095}"/>
    <cellStyle name="Normal 6 3 7 2 6" xfId="14245" xr:uid="{99784474-D2A3-4B04-8800-3B14EEEE1618}"/>
    <cellStyle name="Normal 6 3 7 3" xfId="2228" xr:uid="{50554C94-13AC-4148-8111-234286F5C9BD}"/>
    <cellStyle name="Normal 6 3 7 3 2" xfId="7874" xr:uid="{00CCCAB3-6D44-48C4-9611-4C69989F16E3}"/>
    <cellStyle name="Normal 6 3 7 3 3" xfId="13006" xr:uid="{165FD4BE-3164-4948-998D-97B0D7AE2132}"/>
    <cellStyle name="Normal 6 3 7 3 4" xfId="14751" xr:uid="{339CB86A-5171-46F6-9A1B-06394746C49B}"/>
    <cellStyle name="Normal 6 3 7 4" xfId="2944" xr:uid="{6C51DFF8-200A-4F74-B097-E0B32247AB33}"/>
    <cellStyle name="Normal 6 3 7 5" xfId="6860" xr:uid="{22DA14D3-EA03-4B20-B599-53074AC2B5B8}"/>
    <cellStyle name="Normal 6 3 7 6" xfId="8384" xr:uid="{01D35A35-4AC8-4CC0-AC16-8E4237CB5FC6}"/>
    <cellStyle name="Normal 6 3 7 7" xfId="11994" xr:uid="{B38C5DCE-2B1A-4E54-BAE1-79961B4E46D3}"/>
    <cellStyle name="Normal 6 3 7 8" xfId="13739" xr:uid="{880D6D25-BF22-4889-9B8D-6C2513E11B33}"/>
    <cellStyle name="Normal 6 3 8" xfId="562" xr:uid="{B756DA11-592B-4FFC-8593-6D6C168FF3A6}"/>
    <cellStyle name="Normal 6 3 8 2" xfId="4196" xr:uid="{36DCBE4A-464A-428D-B404-175226A565E3}"/>
    <cellStyle name="Normal 6 3 8 2 2" xfId="9640" xr:uid="{2B206910-AA55-4005-9C30-49C83B03F963}"/>
    <cellStyle name="Normal 6 3 8 3" xfId="3186" xr:uid="{421700AC-9D34-4889-82B6-3EC0012A06CC}"/>
    <cellStyle name="Normal 6 3 8 4" xfId="6522" xr:uid="{C74206BD-B89D-4A5F-A3C4-E92FBE5D2AA4}"/>
    <cellStyle name="Normal 6 3 8 5" xfId="8632" xr:uid="{9A83E1B1-DB66-489C-AEF7-0DDE34909CDF}"/>
    <cellStyle name="Normal 6 3 8 6" xfId="11736" xr:uid="{85D5F548-FE35-4CEC-9155-118A279A0F45}"/>
    <cellStyle name="Normal 6 3 8 7" xfId="13481" xr:uid="{489CC41C-A46C-4F61-814B-3C51CDB55BE6}"/>
    <cellStyle name="Normal 6 3 9" xfId="1462" xr:uid="{0A7FF38C-1C01-4096-ACC5-40F02454C296}"/>
    <cellStyle name="Normal 6 3 9 2" xfId="3690" xr:uid="{475425CE-C8EF-459F-99E7-6E2BE4C6BEAC}"/>
    <cellStyle name="Normal 6 3 9 3" xfId="7108" xr:uid="{0C56600E-3CBB-4334-81CA-CC1FE3D5F806}"/>
    <cellStyle name="Normal 6 3 9 4" xfId="9134" xr:uid="{4DD9CF98-20B7-4053-AFFE-0CF892CE035A}"/>
    <cellStyle name="Normal 6 3 9 5" xfId="12242" xr:uid="{BB3F96DF-6933-47A7-8C59-AF2E0C76194F}"/>
    <cellStyle name="Normal 6 3 9 6" xfId="13987" xr:uid="{C480E1F4-5F94-4CD3-AB40-3C5BCE529155}"/>
    <cellStyle name="Normal 6 4" xfId="960" xr:uid="{5B2E70B1-722E-4964-B9A2-9B9F2878AD6E}"/>
    <cellStyle name="Normal 6 4 10" xfId="5174" xr:uid="{EBAC18C1-7AF8-4207-8F0B-328025D94B49}"/>
    <cellStyle name="Normal 6 4 10 2" xfId="10646" xr:uid="{F838F22F-A9C5-4C1C-BFE8-D0CCD86E5FF3}"/>
    <cellStyle name="Normal 6 4 11" xfId="5674" xr:uid="{8503EE89-24A6-4C59-85EB-CE32F7E1004C}"/>
    <cellStyle name="Normal 6 4 11 2" xfId="11148" xr:uid="{AE91C3BE-338F-4402-A93C-A534E9B72FBE}"/>
    <cellStyle name="Normal 6 4 12" xfId="2716" xr:uid="{96CFA7D3-EA6C-4939-8A16-CAE078B4D8D2}"/>
    <cellStyle name="Normal 6 4 13" xfId="6611" xr:uid="{1F6F8BFB-C132-4DC3-99C3-C5B3D4B8DA1A}"/>
    <cellStyle name="Normal 6 4 14" xfId="8138" xr:uid="{78DC0588-5E8D-4048-8E9E-04745FA089C5}"/>
    <cellStyle name="Normal 6 4 15" xfId="11748" xr:uid="{A0F0CD46-0A8E-4035-B0E4-624178E69B27}"/>
    <cellStyle name="Normal 6 4 16" xfId="13493" xr:uid="{27107C8F-FB44-4285-A978-5C1CBA112A31}"/>
    <cellStyle name="Normal 6 4 2" xfId="990" xr:uid="{FF6E7558-0E95-4215-9302-BF6F4B3EF1DA}"/>
    <cellStyle name="Normal 6 4 2 10" xfId="2736" xr:uid="{54472943-847D-43EA-B195-F053A3C1C59D}"/>
    <cellStyle name="Normal 6 4 2 11" xfId="6636" xr:uid="{8D8D7AE3-935F-4E04-8821-B68FC8053183}"/>
    <cellStyle name="Normal 6 4 2 12" xfId="8160" xr:uid="{4CFC9FCE-0A66-47F7-A06B-AF8FBC8B9ED3}"/>
    <cellStyle name="Normal 6 4 2 13" xfId="11770" xr:uid="{A95E45FD-A011-46F6-B45F-4C65E5AAE90E}"/>
    <cellStyle name="Normal 6 4 2 14" xfId="13515" xr:uid="{84B64CCE-E71A-4616-8068-6F4054A070E4}"/>
    <cellStyle name="Normal 6 4 2 2" xfId="1064" xr:uid="{A0752B43-DA51-4CCD-BA28-EB84A0E4A231}"/>
    <cellStyle name="Normal 6 4 2 2 10" xfId="6710" xr:uid="{03ECA2F5-A8AB-4965-88FE-BC64386E191A}"/>
    <cellStyle name="Normal 6 4 2 2 11" xfId="8234" xr:uid="{32B1C146-F71E-4893-9091-41886BC23173}"/>
    <cellStyle name="Normal 6 4 2 2 12" xfId="11844" xr:uid="{739997A5-D62D-4D26-99A0-90A50B8A9064}"/>
    <cellStyle name="Normal 6 4 2 2 13" xfId="13589" xr:uid="{67F16277-1B73-418C-BF2A-FDC70F42C8F1}"/>
    <cellStyle name="Normal 6 4 2 2 2" xfId="1188" xr:uid="{880C04A5-67AE-4FDB-9EB2-BD2630A50D79}"/>
    <cellStyle name="Normal 6 4 2 2 2 10" xfId="8358" xr:uid="{6088EE45-71BA-4DC1-8F22-7A2F51FF5556}"/>
    <cellStyle name="Normal 6 4 2 2 2 11" xfId="11968" xr:uid="{2A5BD086-5DD5-41BB-888F-15F888A23F87}"/>
    <cellStyle name="Normal 6 4 2 2 2 12" xfId="13713" xr:uid="{F33BB4DF-56C8-4D85-9603-7353C874473E}"/>
    <cellStyle name="Normal 6 4 2 2 2 2" xfId="1436" xr:uid="{3509E626-D11D-41B8-9E04-C3643272149E}"/>
    <cellStyle name="Normal 6 4 2 2 2 2 10" xfId="12216" xr:uid="{9FB93B9E-51AD-47FC-B246-03A0489096EE}"/>
    <cellStyle name="Normal 6 4 2 2 2 2 11" xfId="13961" xr:uid="{954182E4-3CEB-45B5-BE7D-553FB5BE3621}"/>
    <cellStyle name="Normal 6 4 2 2 2 2 2" xfId="1942" xr:uid="{7558BDBE-C222-47E6-89E8-8D100FB3BE2E}"/>
    <cellStyle name="Normal 6 4 2 2 2 2 2 2" xfId="4664" xr:uid="{6660CDC9-45F0-4EBC-8215-7BBDB13EA27C}"/>
    <cellStyle name="Normal 6 4 2 2 2 2 2 2 2" xfId="10110" xr:uid="{714A0D1B-54B2-4784-B0FC-6C1E756552EA}"/>
    <cellStyle name="Normal 6 4 2 2 2 2 2 3" xfId="3654" xr:uid="{45247840-E5E4-48AD-9017-AB9582B8ABE1}"/>
    <cellStyle name="Normal 6 4 2 2 2 2 2 4" xfId="7588" xr:uid="{45C2117B-899F-45E8-9B7E-06EA1EA2D278}"/>
    <cellStyle name="Normal 6 4 2 2 2 2 2 5" xfId="9102" xr:uid="{87C23DE7-B9C5-45A4-9819-76E89496ADE1}"/>
    <cellStyle name="Normal 6 4 2 2 2 2 2 6" xfId="12722" xr:uid="{40AA332E-EF07-4BB6-AA76-B9ABFF95DB2D}"/>
    <cellStyle name="Normal 6 4 2 2 2 2 2 7" xfId="14467" xr:uid="{A3CACBF6-77D9-4D12-B92E-813BC8D5AFB3}"/>
    <cellStyle name="Normal 6 4 2 2 2 2 3" xfId="2450" xr:uid="{0CB8119C-3FC9-481D-9D2E-B658714EE150}"/>
    <cellStyle name="Normal 6 4 2 2 2 2 3 2" xfId="4170" xr:uid="{1A6E4339-A31D-4232-A235-12B832FABC4D}"/>
    <cellStyle name="Normal 6 4 2 2 2 2 3 3" xfId="8096" xr:uid="{0D2D6B27-F98D-48FF-92F4-2692D5F99CC3}"/>
    <cellStyle name="Normal 6 4 2 2 2 2 3 4" xfId="9614" xr:uid="{1565450A-9EB0-4E01-A23E-584600D4A7D4}"/>
    <cellStyle name="Normal 6 4 2 2 2 2 3 5" xfId="13228" xr:uid="{C91A759C-01B6-47BF-A15F-D53099FF810A}"/>
    <cellStyle name="Normal 6 4 2 2 2 2 3 6" xfId="14973" xr:uid="{779F592B-746A-4B94-8C86-F83058615E76}"/>
    <cellStyle name="Normal 6 4 2 2 2 2 4" xfId="5142" xr:uid="{857800C4-7748-4B1A-B751-C30974CFE586}"/>
    <cellStyle name="Normal 6 4 2 2 2 2 4 2" xfId="10612" xr:uid="{811A5D88-657A-4F62-805B-A600351A499C}"/>
    <cellStyle name="Normal 6 4 2 2 2 2 5" xfId="5640" xr:uid="{C58FA607-DE4D-44EB-B8FE-266BA34D7951}"/>
    <cellStyle name="Normal 6 4 2 2 2 2 5 2" xfId="11114" xr:uid="{343C307D-3791-4D4D-B60B-0FACA8F3F680}"/>
    <cellStyle name="Normal 6 4 2 2 2 2 6" xfId="6142" xr:uid="{D251D4CA-2259-4FC5-B3CC-DD80349632F7}"/>
    <cellStyle name="Normal 6 4 2 2 2 2 6 2" xfId="11616" xr:uid="{5A87212C-A573-4652-BE6A-16FB782A7FEF}"/>
    <cellStyle name="Normal 6 4 2 2 2 2 7" xfId="3160" xr:uid="{D5E210C2-419A-4691-9D39-BCCE7703393A}"/>
    <cellStyle name="Normal 6 4 2 2 2 2 8" xfId="7082" xr:uid="{70D6294C-90FD-4032-B29F-00A8483CCA0B}"/>
    <cellStyle name="Normal 6 4 2 2 2 2 9" xfId="8606" xr:uid="{64945637-B22F-42D4-A7D8-C9310E46BDAF}"/>
    <cellStyle name="Normal 6 4 2 2 2 3" xfId="1694" xr:uid="{86D289BF-9177-41C1-A2FA-1F0A52CC698C}"/>
    <cellStyle name="Normal 6 4 2 2 2 3 2" xfId="4416" xr:uid="{8EDD932F-2E9B-46C2-B5A5-6FEA1AE03DCF}"/>
    <cellStyle name="Normal 6 4 2 2 2 3 2 2" xfId="9862" xr:uid="{2E78C1CE-FBE0-476B-B9BC-755A59C131D6}"/>
    <cellStyle name="Normal 6 4 2 2 2 3 3" xfId="3406" xr:uid="{AACCB648-C911-4E24-BC7B-E2A5A2E5C771}"/>
    <cellStyle name="Normal 6 4 2 2 2 3 4" xfId="7340" xr:uid="{D610D4C4-AADB-4982-A654-813E185A8F46}"/>
    <cellStyle name="Normal 6 4 2 2 2 3 5" xfId="8854" xr:uid="{6EB64A6B-19E1-40C8-8A2B-72E5EF88CD0B}"/>
    <cellStyle name="Normal 6 4 2 2 2 3 6" xfId="12474" xr:uid="{56044C40-EB24-4CAC-816C-0AB68E77CA8D}"/>
    <cellStyle name="Normal 6 4 2 2 2 3 7" xfId="14219" xr:uid="{A92BED47-2BD0-4DF2-85C7-CD54DDDE4114}"/>
    <cellStyle name="Normal 6 4 2 2 2 4" xfId="2202" xr:uid="{86AA975F-B83B-4DAD-8743-B709B9AE477C}"/>
    <cellStyle name="Normal 6 4 2 2 2 4 2" xfId="3922" xr:uid="{9E7A90F1-CA69-4F6C-A610-1710C331AD4A}"/>
    <cellStyle name="Normal 6 4 2 2 2 4 3" xfId="7848" xr:uid="{98B854E7-E900-4B2E-9440-A39D4A19893A}"/>
    <cellStyle name="Normal 6 4 2 2 2 4 4" xfId="9366" xr:uid="{8C9D0AA2-CF59-43C1-9751-0EB2EAEF9D9F}"/>
    <cellStyle name="Normal 6 4 2 2 2 4 5" xfId="12980" xr:uid="{C4E2DFD0-27E2-4CDA-884E-431CA27183A2}"/>
    <cellStyle name="Normal 6 4 2 2 2 4 6" xfId="14725" xr:uid="{947286CB-078B-4F54-8D7F-D93C6AF68D12}"/>
    <cellStyle name="Normal 6 4 2 2 2 5" xfId="4902" xr:uid="{5855E386-2D32-439B-8570-64173BDA14A4}"/>
    <cellStyle name="Normal 6 4 2 2 2 5 2" xfId="10364" xr:uid="{16856242-5E10-4A79-9B10-F101C19E5FF8}"/>
    <cellStyle name="Normal 6 4 2 2 2 6" xfId="5392" xr:uid="{AD774F5E-C485-4861-B68F-C48F7535CA43}"/>
    <cellStyle name="Normal 6 4 2 2 2 6 2" xfId="10866" xr:uid="{3F215944-8244-46E6-9CE7-C6BB3F567663}"/>
    <cellStyle name="Normal 6 4 2 2 2 7" xfId="5894" xr:uid="{90C5F676-EA47-46ED-BB46-697710DDB1D9}"/>
    <cellStyle name="Normal 6 4 2 2 2 7 2" xfId="11368" xr:uid="{4850AF86-6C7F-4ECF-9A45-5FE34ADDF751}"/>
    <cellStyle name="Normal 6 4 2 2 2 8" xfId="2918" xr:uid="{5586711D-2677-45C4-B8B7-FD0AA6DCEF13}"/>
    <cellStyle name="Normal 6 4 2 2 2 9" xfId="6834" xr:uid="{93A1FF05-43C3-4BCF-A2A4-041ADF6130C6}"/>
    <cellStyle name="Normal 6 4 2 2 3" xfId="1312" xr:uid="{61DEC9B2-FA68-4FCF-B91D-829C5A7F6693}"/>
    <cellStyle name="Normal 6 4 2 2 3 10" xfId="12092" xr:uid="{AED906A0-E333-48CB-A375-1513ACE14800}"/>
    <cellStyle name="Normal 6 4 2 2 3 11" xfId="13837" xr:uid="{F4F4E567-4E17-4ED3-B920-E3EC7EFA20D2}"/>
    <cellStyle name="Normal 6 4 2 2 3 2" xfId="1818" xr:uid="{E7D26A6E-15FF-4F40-A777-0E0CE729DFCA}"/>
    <cellStyle name="Normal 6 4 2 2 3 2 2" xfId="4540" xr:uid="{B4A488A5-E334-40B3-8729-AB621000AE5B}"/>
    <cellStyle name="Normal 6 4 2 2 3 2 2 2" xfId="9986" xr:uid="{4AEB7E9A-4FDD-45AC-97E9-5E1D7AC60F51}"/>
    <cellStyle name="Normal 6 4 2 2 3 2 3" xfId="3530" xr:uid="{66B454F9-89F8-4D76-9FBD-14214BF92003}"/>
    <cellStyle name="Normal 6 4 2 2 3 2 4" xfId="7464" xr:uid="{D0B3534B-2933-4C0E-97D8-54146D2DFF1F}"/>
    <cellStyle name="Normal 6 4 2 2 3 2 5" xfId="8978" xr:uid="{065DF095-8483-4D56-A974-5DB1B98D6EFA}"/>
    <cellStyle name="Normal 6 4 2 2 3 2 6" xfId="12598" xr:uid="{17CB939D-EB98-42B5-97EC-5FFAFF8C974B}"/>
    <cellStyle name="Normal 6 4 2 2 3 2 7" xfId="14343" xr:uid="{6B9AD9DA-D151-4CAB-824D-5B8F87A89AB6}"/>
    <cellStyle name="Normal 6 4 2 2 3 3" xfId="2326" xr:uid="{FFE05E20-D20E-4F20-952A-AB6850AD09A6}"/>
    <cellStyle name="Normal 6 4 2 2 3 3 2" xfId="4046" xr:uid="{5DCF303B-17C5-433F-9D15-ED816177A7F6}"/>
    <cellStyle name="Normal 6 4 2 2 3 3 3" xfId="7972" xr:uid="{27B19509-CBCF-4C40-ADB3-AF627E9506E3}"/>
    <cellStyle name="Normal 6 4 2 2 3 3 4" xfId="9490" xr:uid="{2E817AFA-9372-436E-A63E-185078282FFC}"/>
    <cellStyle name="Normal 6 4 2 2 3 3 5" xfId="13104" xr:uid="{D49E2FFE-10A9-4EA6-8CDB-A20FA7D1D63D}"/>
    <cellStyle name="Normal 6 4 2 2 3 3 6" xfId="14849" xr:uid="{81E302C4-EDE2-4B4F-83D1-E29294C874EC}"/>
    <cellStyle name="Normal 6 4 2 2 3 4" xfId="5018" xr:uid="{964C9218-D436-4ADF-8241-D509E8D8850F}"/>
    <cellStyle name="Normal 6 4 2 2 3 4 2" xfId="10488" xr:uid="{2F16C9DF-EA49-427B-AFA6-42E51AB49CA9}"/>
    <cellStyle name="Normal 6 4 2 2 3 5" xfId="5516" xr:uid="{C8D913E2-028E-437A-A57B-472FD603D7BD}"/>
    <cellStyle name="Normal 6 4 2 2 3 5 2" xfId="10990" xr:uid="{ECF68E3C-BFD5-4D6F-877F-89016BEF031A}"/>
    <cellStyle name="Normal 6 4 2 2 3 6" xfId="6018" xr:uid="{68046C3A-B784-4C71-B9A4-5BA4010DB78C}"/>
    <cellStyle name="Normal 6 4 2 2 3 6 2" xfId="11492" xr:uid="{32E35F64-F26B-4E03-9E75-7D4716CCEEC9}"/>
    <cellStyle name="Normal 6 4 2 2 3 7" xfId="3036" xr:uid="{C00288FB-14C2-4794-A287-1E32048B9AAC}"/>
    <cellStyle name="Normal 6 4 2 2 3 8" xfId="6958" xr:uid="{57A98AE1-7648-4E98-A0BC-F6E66A532DAC}"/>
    <cellStyle name="Normal 6 4 2 2 3 9" xfId="8482" xr:uid="{0D803EF1-C1B9-4923-89BA-4E3148EFE118}"/>
    <cellStyle name="Normal 6 4 2 2 4" xfId="1570" xr:uid="{C1F0D9C6-C9C9-4D3F-9C30-55EFF736DC20}"/>
    <cellStyle name="Normal 6 4 2 2 4 2" xfId="4292" xr:uid="{5BB466CD-0C4C-4567-8BEE-6481794216A3}"/>
    <cellStyle name="Normal 6 4 2 2 4 2 2" xfId="9738" xr:uid="{0E2482A8-D996-4195-B464-6F2E4084FA16}"/>
    <cellStyle name="Normal 6 4 2 2 4 3" xfId="3282" xr:uid="{019F3D26-6726-4AF2-A03F-46C1822BC839}"/>
    <cellStyle name="Normal 6 4 2 2 4 4" xfId="7216" xr:uid="{9566D044-94E9-4EBC-B7E4-6C8300F65719}"/>
    <cellStyle name="Normal 6 4 2 2 4 5" xfId="8730" xr:uid="{5616D3CA-AD64-4426-AC7D-CFB356771A9F}"/>
    <cellStyle name="Normal 6 4 2 2 4 6" xfId="12350" xr:uid="{420D6F63-C6D5-42E7-9324-B111838AD1CC}"/>
    <cellStyle name="Normal 6 4 2 2 4 7" xfId="14095" xr:uid="{CE945C9D-4E17-4A91-8E03-0B8CB143C3AF}"/>
    <cellStyle name="Normal 6 4 2 2 5" xfId="2078" xr:uid="{D82D9C48-2601-4987-AA23-A7CC925F788B}"/>
    <cellStyle name="Normal 6 4 2 2 5 2" xfId="3798" xr:uid="{AC776DCB-C7B4-4CD2-A721-809696C145EB}"/>
    <cellStyle name="Normal 6 4 2 2 5 3" xfId="7724" xr:uid="{55B5732E-09D1-49ED-83AD-9309AF29BF32}"/>
    <cellStyle name="Normal 6 4 2 2 5 4" xfId="9242" xr:uid="{889979F2-4F49-43C0-AA7B-724B1B32AF6B}"/>
    <cellStyle name="Normal 6 4 2 2 5 5" xfId="12856" xr:uid="{15204762-1EC5-43C2-B25F-7BD062428330}"/>
    <cellStyle name="Normal 6 4 2 2 5 6" xfId="14601" xr:uid="{F49ACCFE-8034-4B99-8AD3-32831D5A678E}"/>
    <cellStyle name="Normal 6 4 2 2 6" xfId="4786" xr:uid="{B03BFDCB-3DC8-4681-8B1C-B13088466F7A}"/>
    <cellStyle name="Normal 6 4 2 2 6 2" xfId="10240" xr:uid="{F4F7C10B-F3A3-410E-8923-EAA3068FDC71}"/>
    <cellStyle name="Normal 6 4 2 2 7" xfId="5268" xr:uid="{BEB6F3C4-7FA7-48A9-BF39-8731B4C55764}"/>
    <cellStyle name="Normal 6 4 2 2 7 2" xfId="10742" xr:uid="{2AB9387B-8D54-4359-A2FF-231619A91EBE}"/>
    <cellStyle name="Normal 6 4 2 2 8" xfId="5770" xr:uid="{4E98E017-8774-4071-9FE0-788DFB4B9987}"/>
    <cellStyle name="Normal 6 4 2 2 8 2" xfId="11244" xr:uid="{F8FBA936-824F-4223-BCF6-36513D8EF3D3}"/>
    <cellStyle name="Normal 6 4 2 2 9" xfId="2802" xr:uid="{E20BFB19-3923-4E7C-9B64-AC28D92D1B4A}"/>
    <cellStyle name="Normal 6 4 2 3" xfId="1114" xr:uid="{E1C53441-9321-4265-817C-F2D32000F706}"/>
    <cellStyle name="Normal 6 4 2 3 10" xfId="8284" xr:uid="{DE8CB9B2-1231-4845-BF1E-D8B5DB67335C}"/>
    <cellStyle name="Normal 6 4 2 3 11" xfId="11894" xr:uid="{22493114-1F2F-4B34-BB30-A27782284B16}"/>
    <cellStyle name="Normal 6 4 2 3 12" xfId="13639" xr:uid="{78084715-059B-4857-9D1D-777DC193663A}"/>
    <cellStyle name="Normal 6 4 2 3 2" xfId="1362" xr:uid="{107B91DC-7522-4197-A2D1-044949108309}"/>
    <cellStyle name="Normal 6 4 2 3 2 10" xfId="12142" xr:uid="{24BCC1D2-FCA0-4572-9BDD-42F0A5A79A32}"/>
    <cellStyle name="Normal 6 4 2 3 2 11" xfId="13887" xr:uid="{832CBA97-2B74-410D-9681-10D1241025C9}"/>
    <cellStyle name="Normal 6 4 2 3 2 2" xfId="1868" xr:uid="{960C3C5D-18E7-4F22-86A8-6027FE6E1BB0}"/>
    <cellStyle name="Normal 6 4 2 3 2 2 2" xfId="4590" xr:uid="{51476EEE-18F7-4EFB-885E-D25630AF539D}"/>
    <cellStyle name="Normal 6 4 2 3 2 2 2 2" xfId="10036" xr:uid="{A9A6EF9A-CEA1-42BC-BA01-2A2EF8ABC0FA}"/>
    <cellStyle name="Normal 6 4 2 3 2 2 3" xfId="3580" xr:uid="{917AFE17-FE36-4ED4-B5A3-37B9C0DD0484}"/>
    <cellStyle name="Normal 6 4 2 3 2 2 4" xfId="7514" xr:uid="{45004E80-E194-457C-AB67-408699D3DFF0}"/>
    <cellStyle name="Normal 6 4 2 3 2 2 5" xfId="9028" xr:uid="{013E536A-6268-4EB2-9AAB-377429BCE2F5}"/>
    <cellStyle name="Normal 6 4 2 3 2 2 6" xfId="12648" xr:uid="{C6776FD1-D50B-48C7-A01F-8E132AEFF56D}"/>
    <cellStyle name="Normal 6 4 2 3 2 2 7" xfId="14393" xr:uid="{7272FD0C-D33A-43CA-972A-301E73639211}"/>
    <cellStyle name="Normal 6 4 2 3 2 3" xfId="2376" xr:uid="{DB574C53-A222-43D8-96C8-90B7D5A860C2}"/>
    <cellStyle name="Normal 6 4 2 3 2 3 2" xfId="4096" xr:uid="{B95C1BDE-FB32-4A32-BAB7-6312FC11E784}"/>
    <cellStyle name="Normal 6 4 2 3 2 3 3" xfId="8022" xr:uid="{AA90F1E7-524E-4B0F-A312-1F030D27D502}"/>
    <cellStyle name="Normal 6 4 2 3 2 3 4" xfId="9540" xr:uid="{99E49191-EC3D-4085-8B33-6C3A92C9472C}"/>
    <cellStyle name="Normal 6 4 2 3 2 3 5" xfId="13154" xr:uid="{2D623377-3125-4F73-9430-643B7ACE71E1}"/>
    <cellStyle name="Normal 6 4 2 3 2 3 6" xfId="14899" xr:uid="{737F79FB-AF8E-41AB-8413-98D719AD76B1}"/>
    <cellStyle name="Normal 6 4 2 3 2 4" xfId="5068" xr:uid="{16C6BFB4-EBFD-4052-ABB2-6A1124BC8404}"/>
    <cellStyle name="Normal 6 4 2 3 2 4 2" xfId="10538" xr:uid="{FF9D75C7-A046-49B0-99F7-4C28FB97F983}"/>
    <cellStyle name="Normal 6 4 2 3 2 5" xfId="5566" xr:uid="{C91BD6B7-3AA9-400B-9FEA-A630C408B62A}"/>
    <cellStyle name="Normal 6 4 2 3 2 5 2" xfId="11040" xr:uid="{8C78642C-316F-416C-8EA2-501A60080E8E}"/>
    <cellStyle name="Normal 6 4 2 3 2 6" xfId="6068" xr:uid="{217DE487-D479-4046-8F8A-C68244393083}"/>
    <cellStyle name="Normal 6 4 2 3 2 6 2" xfId="11542" xr:uid="{DD7B1A0E-F6A0-4B9D-93F9-1D17CF9563C6}"/>
    <cellStyle name="Normal 6 4 2 3 2 7" xfId="3086" xr:uid="{253A824B-FC94-4A6B-A13F-20191D7DAC6D}"/>
    <cellStyle name="Normal 6 4 2 3 2 8" xfId="7008" xr:uid="{A2A72004-12AA-4062-BE1F-91710CB76DA8}"/>
    <cellStyle name="Normal 6 4 2 3 2 9" xfId="8532" xr:uid="{5FFDE637-14F2-4940-8236-49512AB4E1D5}"/>
    <cellStyle name="Normal 6 4 2 3 3" xfId="1620" xr:uid="{E69D8F53-5CCA-4AED-8817-F9D3C6C0B6B0}"/>
    <cellStyle name="Normal 6 4 2 3 3 2" xfId="4342" xr:uid="{F65238D1-C5D5-41EE-91C0-FE49E8A97B70}"/>
    <cellStyle name="Normal 6 4 2 3 3 2 2" xfId="9788" xr:uid="{965BAF4F-FF85-4654-BA50-719E50923E4C}"/>
    <cellStyle name="Normal 6 4 2 3 3 3" xfId="3332" xr:uid="{86385E54-5A3A-47E4-9857-D96C3DE8D726}"/>
    <cellStyle name="Normal 6 4 2 3 3 4" xfId="7266" xr:uid="{D7B6AB8C-07E4-49F9-8C99-4CBF14B99135}"/>
    <cellStyle name="Normal 6 4 2 3 3 5" xfId="8780" xr:uid="{B8BC756D-D05D-4C2C-A93C-E747F7603461}"/>
    <cellStyle name="Normal 6 4 2 3 3 6" xfId="12400" xr:uid="{65934F70-0564-4878-907C-99A74B6C2B93}"/>
    <cellStyle name="Normal 6 4 2 3 3 7" xfId="14145" xr:uid="{8D18EA67-3F4B-4C8C-BADE-96E135D44D41}"/>
    <cellStyle name="Normal 6 4 2 3 4" xfId="2128" xr:uid="{6E907555-2683-4DCC-858E-84594004AACA}"/>
    <cellStyle name="Normal 6 4 2 3 4 2" xfId="3848" xr:uid="{E996FD1B-6B92-4DB9-9BBA-CE8F420831ED}"/>
    <cellStyle name="Normal 6 4 2 3 4 3" xfId="7774" xr:uid="{7A95E569-79D7-4E7B-8604-F6C26B45E21A}"/>
    <cellStyle name="Normal 6 4 2 3 4 4" xfId="9292" xr:uid="{30701193-9BAC-4A6D-A50D-194BC1AE5CBE}"/>
    <cellStyle name="Normal 6 4 2 3 4 5" xfId="12906" xr:uid="{26686E47-FDCB-428E-9EC8-573F12B61F40}"/>
    <cellStyle name="Normal 6 4 2 3 4 6" xfId="14651" xr:uid="{D1CAED51-17A9-44A6-A323-C4B1A0875059}"/>
    <cellStyle name="Normal 6 4 2 3 5" xfId="4832" xr:uid="{ABF7A78F-02C0-4A07-A071-560E805A4381}"/>
    <cellStyle name="Normal 6 4 2 3 5 2" xfId="10290" xr:uid="{FAB9430C-1006-41E8-97A6-A08E0639593C}"/>
    <cellStyle name="Normal 6 4 2 3 6" xfId="5318" xr:uid="{130730C9-5932-4626-90E9-AEB12BDA950C}"/>
    <cellStyle name="Normal 6 4 2 3 6 2" xfId="10792" xr:uid="{B66175D3-1540-41EB-9015-B9226933FCC7}"/>
    <cellStyle name="Normal 6 4 2 3 7" xfId="5820" xr:uid="{D741B1E9-08F8-4576-AA21-38C3C26358A5}"/>
    <cellStyle name="Normal 6 4 2 3 7 2" xfId="11294" xr:uid="{3559AF32-7DC5-406B-ABB7-59999AD96EE8}"/>
    <cellStyle name="Normal 6 4 2 3 8" xfId="2848" xr:uid="{E51914C2-9827-43B9-A38A-D9371702B595}"/>
    <cellStyle name="Normal 6 4 2 3 9" xfId="6760" xr:uid="{BEDE1DA2-51C2-4573-8A5A-9872B0702778}"/>
    <cellStyle name="Normal 6 4 2 4" xfId="1238" xr:uid="{7294105C-F0D1-4F42-824B-ED4BD56A909D}"/>
    <cellStyle name="Normal 6 4 2 4 10" xfId="12018" xr:uid="{9E2A7B44-9550-4912-9220-8BB70069E097}"/>
    <cellStyle name="Normal 6 4 2 4 11" xfId="13763" xr:uid="{712AF428-EE1F-407B-B1CA-B47EFB51A635}"/>
    <cellStyle name="Normal 6 4 2 4 2" xfId="1744" xr:uid="{79ABD4C3-BBE0-4196-9C14-59B3A0298411}"/>
    <cellStyle name="Normal 6 4 2 4 2 2" xfId="4466" xr:uid="{2E6706EA-0DFF-4134-BAF9-211C30601E98}"/>
    <cellStyle name="Normal 6 4 2 4 2 2 2" xfId="9912" xr:uid="{BD30B709-DD53-4E74-8A84-8655CC705D34}"/>
    <cellStyle name="Normal 6 4 2 4 2 3" xfId="3456" xr:uid="{44BFEDC3-A9B8-4D99-8CA1-4244B905755E}"/>
    <cellStyle name="Normal 6 4 2 4 2 4" xfId="7390" xr:uid="{91E622A5-027C-4828-8A48-33B12650754C}"/>
    <cellStyle name="Normal 6 4 2 4 2 5" xfId="8904" xr:uid="{AC282592-7534-45E7-AA48-255B07A3A2DB}"/>
    <cellStyle name="Normal 6 4 2 4 2 6" xfId="12524" xr:uid="{2FF291FE-B98B-465D-AB63-4E1E88135887}"/>
    <cellStyle name="Normal 6 4 2 4 2 7" xfId="14269" xr:uid="{32D84931-34EB-4D2F-B50C-DBA9896949FB}"/>
    <cellStyle name="Normal 6 4 2 4 3" xfId="2252" xr:uid="{2538BEDA-E8FF-4B96-AFB3-CD6513B32CB6}"/>
    <cellStyle name="Normal 6 4 2 4 3 2" xfId="3972" xr:uid="{360AE119-A74C-475C-B66D-4C051165A38F}"/>
    <cellStyle name="Normal 6 4 2 4 3 3" xfId="7898" xr:uid="{33EC791E-A32B-4F12-99EA-ED04351AC699}"/>
    <cellStyle name="Normal 6 4 2 4 3 4" xfId="9416" xr:uid="{30626985-D636-4FF7-B085-873796054DA8}"/>
    <cellStyle name="Normal 6 4 2 4 3 5" xfId="13030" xr:uid="{0CF17636-97B0-4CB7-A1C2-8CAE0762157F}"/>
    <cellStyle name="Normal 6 4 2 4 3 6" xfId="14775" xr:uid="{2C4CC3FD-DEA5-4A0C-B121-F39132D64670}"/>
    <cellStyle name="Normal 6 4 2 4 4" xfId="4948" xr:uid="{F4EFF058-C019-4C99-95CB-8D223BD4A1CA}"/>
    <cellStyle name="Normal 6 4 2 4 4 2" xfId="10414" xr:uid="{318A3BB8-3ED2-460C-99A0-A58DCF33CBA7}"/>
    <cellStyle name="Normal 6 4 2 4 5" xfId="5442" xr:uid="{6E90D3DF-82CA-415D-98FF-A736CA1A4568}"/>
    <cellStyle name="Normal 6 4 2 4 5 2" xfId="10916" xr:uid="{109AB1CA-B95F-4840-AF3D-99B6DA85A5CE}"/>
    <cellStyle name="Normal 6 4 2 4 6" xfId="5944" xr:uid="{A8B8C821-4ACF-4603-9014-0AC500864BAD}"/>
    <cellStyle name="Normal 6 4 2 4 6 2" xfId="11418" xr:uid="{F811D1AD-0EB8-4087-A619-3BCCE912DEDD}"/>
    <cellStyle name="Normal 6 4 2 4 7" xfId="2966" xr:uid="{1419D2FB-34CA-4A7E-8582-0A124FD73B23}"/>
    <cellStyle name="Normal 6 4 2 4 8" xfId="6884" xr:uid="{167000D9-1C84-4C9A-92AF-4B49B02FD348}"/>
    <cellStyle name="Normal 6 4 2 4 9" xfId="8408" xr:uid="{14478BF5-563F-40FA-B7A2-848BA061DFDC}"/>
    <cellStyle name="Normal 6 4 2 5" xfId="1496" xr:uid="{D71D1452-03A6-4667-BCAB-0B68B702C663}"/>
    <cellStyle name="Normal 6 4 2 5 2" xfId="4220" xr:uid="{0A6EB476-B711-4984-90E2-69CD9B7EAC2E}"/>
    <cellStyle name="Normal 6 4 2 5 2 2" xfId="9664" xr:uid="{73472C77-EBF8-4360-9806-924D60CE4847}"/>
    <cellStyle name="Normal 6 4 2 5 3" xfId="3210" xr:uid="{29922FAC-7A02-4935-AED3-2E3722454EDB}"/>
    <cellStyle name="Normal 6 4 2 5 4" xfId="7142" xr:uid="{89EFACE5-F9F2-4DEE-9A1D-0998E365F101}"/>
    <cellStyle name="Normal 6 4 2 5 5" xfId="8656" xr:uid="{3C3CF09C-25D2-46F6-A79B-52FE42B5C2F0}"/>
    <cellStyle name="Normal 6 4 2 5 6" xfId="12276" xr:uid="{A5144921-7F7E-45EA-930A-D49A90698EC0}"/>
    <cellStyle name="Normal 6 4 2 5 7" xfId="14021" xr:uid="{C5C5A591-9431-4B55-9E94-81E0DA582F79}"/>
    <cellStyle name="Normal 6 4 2 6" xfId="2004" xr:uid="{C1B57CE0-50DD-415B-84E2-9135EAFD2723}"/>
    <cellStyle name="Normal 6 4 2 6 2" xfId="3724" xr:uid="{0B3A3314-51DB-4B13-9439-C0F2A96B54B6}"/>
    <cellStyle name="Normal 6 4 2 6 3" xfId="7650" xr:uid="{A67CBF05-656A-44FD-9731-BE54AFBA9888}"/>
    <cellStyle name="Normal 6 4 2 6 4" xfId="9168" xr:uid="{AC8D1BDC-AEB1-4402-A39A-96A9D7956403}"/>
    <cellStyle name="Normal 6 4 2 6 5" xfId="12782" xr:uid="{FE5057E2-0436-4ED8-BB59-998784361782}"/>
    <cellStyle name="Normal 6 4 2 6 6" xfId="14527" xr:uid="{7B0256CB-530D-46BD-B694-A6E57742E07B}"/>
    <cellStyle name="Normal 6 4 2 7" xfId="4720" xr:uid="{2F63C906-6104-4137-B6F6-5664E1300B65}"/>
    <cellStyle name="Normal 6 4 2 7 2" xfId="10166" xr:uid="{3B46BEBF-CA93-4425-B970-21CE248AF251}"/>
    <cellStyle name="Normal 6 4 2 8" xfId="5194" xr:uid="{9F0B1BEC-9FD4-488F-8A53-566ED4ED82E7}"/>
    <cellStyle name="Normal 6 4 2 8 2" xfId="10668" xr:uid="{8351CAD5-0384-4D3E-8B9C-8532081F98F9}"/>
    <cellStyle name="Normal 6 4 2 9" xfId="5696" xr:uid="{8611E4CD-5178-4CD4-B4D1-927C408C3256}"/>
    <cellStyle name="Normal 6 4 2 9 2" xfId="11170" xr:uid="{21EC49C1-E835-44D6-B98E-4DF8F35A2F6D}"/>
    <cellStyle name="Normal 6 4 3" xfId="1010" xr:uid="{17F73DC9-CFFB-4B54-8EDD-1231FFE2062B}"/>
    <cellStyle name="Normal 6 4 3 10" xfId="2754" xr:uid="{A485ADDB-6042-4F02-B592-5C2D52ADC043}"/>
    <cellStyle name="Normal 6 4 3 11" xfId="6656" xr:uid="{400D6326-3147-4C5F-8A2D-AE59EE7D2C5C}"/>
    <cellStyle name="Normal 6 4 3 12" xfId="8180" xr:uid="{2F9C6796-F7EE-4541-AC72-C2AAC371982C}"/>
    <cellStyle name="Normal 6 4 3 13" xfId="11790" xr:uid="{32120A41-EAB2-43FE-B05A-758A20BA35EC}"/>
    <cellStyle name="Normal 6 4 3 14" xfId="13535" xr:uid="{986429B8-B0C5-46AC-A7B0-0EAB60382575}"/>
    <cellStyle name="Normal 6 4 3 2" xfId="1065" xr:uid="{EEE751BF-63DD-4A95-B1A8-F3E3EBB3514E}"/>
    <cellStyle name="Normal 6 4 3 2 10" xfId="6711" xr:uid="{F9AB8994-F7D4-47C3-8C78-6922F0570FA0}"/>
    <cellStyle name="Normal 6 4 3 2 11" xfId="8235" xr:uid="{64E1C14F-0B5D-4FB8-AB4C-CC7611C6936E}"/>
    <cellStyle name="Normal 6 4 3 2 12" xfId="11845" xr:uid="{079762AE-F801-4F39-B6BA-F63E43B3D95B}"/>
    <cellStyle name="Normal 6 4 3 2 13" xfId="13590" xr:uid="{6DA3BB07-FD69-47B7-B3FF-FFC78526243E}"/>
    <cellStyle name="Normal 6 4 3 2 2" xfId="1189" xr:uid="{BAC272F5-43BE-4F46-BA4F-70453D1EEB4E}"/>
    <cellStyle name="Normal 6 4 3 2 2 10" xfId="8359" xr:uid="{8B4210F3-0D11-4726-AAE9-DB3D40866262}"/>
    <cellStyle name="Normal 6 4 3 2 2 11" xfId="11969" xr:uid="{E5C91962-AFB4-4E90-9F94-2CACDD2C8782}"/>
    <cellStyle name="Normal 6 4 3 2 2 12" xfId="13714" xr:uid="{7488AFFE-17E0-4394-AC27-A5E763F9E2E3}"/>
    <cellStyle name="Normal 6 4 3 2 2 2" xfId="1437" xr:uid="{BEA32995-2D22-48BF-B1B5-82D1A9AF1E84}"/>
    <cellStyle name="Normal 6 4 3 2 2 2 10" xfId="12217" xr:uid="{FB7E377F-3B3D-4D7A-A763-97656D291210}"/>
    <cellStyle name="Normal 6 4 3 2 2 2 11" xfId="13962" xr:uid="{CB55BFD7-E60E-4879-ABE5-CA8EEED8D732}"/>
    <cellStyle name="Normal 6 4 3 2 2 2 2" xfId="1943" xr:uid="{F5C94186-5387-42B7-973F-FEA630FD05C7}"/>
    <cellStyle name="Normal 6 4 3 2 2 2 2 2" xfId="4665" xr:uid="{F2AF9A9E-CF17-4B65-B79C-92305C040F63}"/>
    <cellStyle name="Normal 6 4 3 2 2 2 2 2 2" xfId="10111" xr:uid="{1053C9E1-F177-4CE4-B341-AD040154A965}"/>
    <cellStyle name="Normal 6 4 3 2 2 2 2 3" xfId="3655" xr:uid="{3FCA84B5-017D-4F8F-9708-21EFEBF06F91}"/>
    <cellStyle name="Normal 6 4 3 2 2 2 2 4" xfId="7589" xr:uid="{B69FA341-B68A-4C6C-96E9-5FFFB6F6116D}"/>
    <cellStyle name="Normal 6 4 3 2 2 2 2 5" xfId="9103" xr:uid="{3D03A1F0-5E4B-4B96-8AB1-B284A2FCEC10}"/>
    <cellStyle name="Normal 6 4 3 2 2 2 2 6" xfId="12723" xr:uid="{2C38904B-F210-4DCD-A1D6-59C72C0DE91A}"/>
    <cellStyle name="Normal 6 4 3 2 2 2 2 7" xfId="14468" xr:uid="{A6201BB3-DC0C-4D75-924E-28685F7B458D}"/>
    <cellStyle name="Normal 6 4 3 2 2 2 3" xfId="2451" xr:uid="{3AC364C5-D5E3-4784-A4CE-CD77D6D41155}"/>
    <cellStyle name="Normal 6 4 3 2 2 2 3 2" xfId="4171" xr:uid="{BADFB2D8-6BDD-45F7-8758-D3114ABBE7F6}"/>
    <cellStyle name="Normal 6 4 3 2 2 2 3 3" xfId="8097" xr:uid="{81265921-F504-4F4F-AF7E-8A279C372F79}"/>
    <cellStyle name="Normal 6 4 3 2 2 2 3 4" xfId="9615" xr:uid="{0BB593BE-0CCD-42C3-9706-AA71CE30CA44}"/>
    <cellStyle name="Normal 6 4 3 2 2 2 3 5" xfId="13229" xr:uid="{CFB28A1C-64CF-4C45-BDFB-10D9B03730C0}"/>
    <cellStyle name="Normal 6 4 3 2 2 2 3 6" xfId="14974" xr:uid="{156D72EF-9D43-45D7-9224-EF7C644D7115}"/>
    <cellStyle name="Normal 6 4 3 2 2 2 4" xfId="5143" xr:uid="{BC84BC18-48FA-4245-BAAF-1D09A7FBAC40}"/>
    <cellStyle name="Normal 6 4 3 2 2 2 4 2" xfId="10613" xr:uid="{BC477F90-5426-421A-8885-6E33E653EAD4}"/>
    <cellStyle name="Normal 6 4 3 2 2 2 5" xfId="5641" xr:uid="{3463E3C1-6CBA-43BD-BE5B-A814DAD59F98}"/>
    <cellStyle name="Normal 6 4 3 2 2 2 5 2" xfId="11115" xr:uid="{AF5BE3ED-8A94-4D54-90D9-93B63CD2CE10}"/>
    <cellStyle name="Normal 6 4 3 2 2 2 6" xfId="6143" xr:uid="{85538759-3294-4CE8-BAD2-8F7F27194DB9}"/>
    <cellStyle name="Normal 6 4 3 2 2 2 6 2" xfId="11617" xr:uid="{32C30E51-8EEE-46E4-B101-D6D1727A546B}"/>
    <cellStyle name="Normal 6 4 3 2 2 2 7" xfId="3161" xr:uid="{4296598B-0C50-4A6A-9CA5-70BFE0024B2F}"/>
    <cellStyle name="Normal 6 4 3 2 2 2 8" xfId="7083" xr:uid="{B0C53DA1-BED1-4F87-99E2-CB5EC56BA4ED}"/>
    <cellStyle name="Normal 6 4 3 2 2 2 9" xfId="8607" xr:uid="{3B4FF870-537D-444F-97EC-B42526FEC2CE}"/>
    <cellStyle name="Normal 6 4 3 2 2 3" xfId="1695" xr:uid="{689218D8-06D9-4847-9DFB-4A83451B8C83}"/>
    <cellStyle name="Normal 6 4 3 2 2 3 2" xfId="4417" xr:uid="{90CD2AC3-65DD-49FF-9E69-0CEE8A6B3F9F}"/>
    <cellStyle name="Normal 6 4 3 2 2 3 2 2" xfId="9863" xr:uid="{69D5C60C-603F-4F62-BFC0-1FE806E1C6F2}"/>
    <cellStyle name="Normal 6 4 3 2 2 3 3" xfId="3407" xr:uid="{2DF8C684-DD71-44CF-957E-2445F8F4FBF5}"/>
    <cellStyle name="Normal 6 4 3 2 2 3 4" xfId="7341" xr:uid="{D011A956-1269-4BAE-983A-045E69060C45}"/>
    <cellStyle name="Normal 6 4 3 2 2 3 5" xfId="8855" xr:uid="{AB242A8F-59B9-4120-AB4F-A65B043F4DD0}"/>
    <cellStyle name="Normal 6 4 3 2 2 3 6" xfId="12475" xr:uid="{574F8D25-EA3E-47A2-A9ED-DDDE0941DA4C}"/>
    <cellStyle name="Normal 6 4 3 2 2 3 7" xfId="14220" xr:uid="{88046D09-51DB-4E1B-9355-60C12200FC9F}"/>
    <cellStyle name="Normal 6 4 3 2 2 4" xfId="2203" xr:uid="{42F559AB-7856-44F7-80A6-53A959BF88BD}"/>
    <cellStyle name="Normal 6 4 3 2 2 4 2" xfId="3923" xr:uid="{2EC66432-7653-4C5C-8D08-48258B6A89E9}"/>
    <cellStyle name="Normal 6 4 3 2 2 4 3" xfId="7849" xr:uid="{B950DE1C-AF3C-4829-BDEA-DA5A0A119A8E}"/>
    <cellStyle name="Normal 6 4 3 2 2 4 4" xfId="9367" xr:uid="{1531C2F2-84C3-4206-B803-10F4FF8E34F9}"/>
    <cellStyle name="Normal 6 4 3 2 2 4 5" xfId="12981" xr:uid="{5A51E5AC-BD87-4820-A0A3-A7BA95CF9CD2}"/>
    <cellStyle name="Normal 6 4 3 2 2 4 6" xfId="14726" xr:uid="{40F053F8-6062-40B5-A55F-BE889C88F15C}"/>
    <cellStyle name="Normal 6 4 3 2 2 5" xfId="4903" xr:uid="{A65DAFD5-2BB5-40C9-B29B-4A5C491F0916}"/>
    <cellStyle name="Normal 6 4 3 2 2 5 2" xfId="10365" xr:uid="{11708582-773C-450E-836A-B7C251A3B693}"/>
    <cellStyle name="Normal 6 4 3 2 2 6" xfId="5393" xr:uid="{BF5C7E43-7969-479A-8CAF-BFB80C32A3C3}"/>
    <cellStyle name="Normal 6 4 3 2 2 6 2" xfId="10867" xr:uid="{D9909E8D-1739-4C0D-9B8C-F7CDF0F602ED}"/>
    <cellStyle name="Normal 6 4 3 2 2 7" xfId="5895" xr:uid="{B6883779-6FE5-4FD0-B8FC-324558BC46BC}"/>
    <cellStyle name="Normal 6 4 3 2 2 7 2" xfId="11369" xr:uid="{546EBD00-36F8-4B53-B8BA-7F8D0CB79D1C}"/>
    <cellStyle name="Normal 6 4 3 2 2 8" xfId="2919" xr:uid="{AF360AC2-5784-4092-A5A3-9FCDCD27B8AF}"/>
    <cellStyle name="Normal 6 4 3 2 2 9" xfId="6835" xr:uid="{DC6F7536-5CCA-4445-87A3-9F1BAA23882A}"/>
    <cellStyle name="Normal 6 4 3 2 3" xfId="1313" xr:uid="{0DFB323A-83DC-4B82-88A2-89B58D332275}"/>
    <cellStyle name="Normal 6 4 3 2 3 10" xfId="12093" xr:uid="{5B730B2E-6F54-4B1D-B9BC-C874A83EB29A}"/>
    <cellStyle name="Normal 6 4 3 2 3 11" xfId="13838" xr:uid="{58CF21C9-0CD1-4507-9BB9-8555009C7E57}"/>
    <cellStyle name="Normal 6 4 3 2 3 2" xfId="1819" xr:uid="{EA075B30-C190-4713-9577-29FBD8CD6716}"/>
    <cellStyle name="Normal 6 4 3 2 3 2 2" xfId="4541" xr:uid="{2AE155EE-E834-4F89-A930-C15C2503E286}"/>
    <cellStyle name="Normal 6 4 3 2 3 2 2 2" xfId="9987" xr:uid="{712FE58F-400B-4053-9583-1271335B282D}"/>
    <cellStyle name="Normal 6 4 3 2 3 2 3" xfId="3531" xr:uid="{7206D59A-1F23-4708-9806-DEA0D5E2CCC5}"/>
    <cellStyle name="Normal 6 4 3 2 3 2 4" xfId="7465" xr:uid="{404D5E6C-CA12-4BE1-91BA-FADD081F1E93}"/>
    <cellStyle name="Normal 6 4 3 2 3 2 5" xfId="8979" xr:uid="{2CCA9131-76F8-41FB-9ED3-82427242C3BA}"/>
    <cellStyle name="Normal 6 4 3 2 3 2 6" xfId="12599" xr:uid="{5B353507-4329-48DB-A3D5-E13C8CA169AE}"/>
    <cellStyle name="Normal 6 4 3 2 3 2 7" xfId="14344" xr:uid="{8AD5A3A1-B934-4A9C-94E6-FF2D54065F68}"/>
    <cellStyle name="Normal 6 4 3 2 3 3" xfId="2327" xr:uid="{6232E81B-8749-4580-8392-4EAEBF4471CB}"/>
    <cellStyle name="Normal 6 4 3 2 3 3 2" xfId="4047" xr:uid="{476D3C24-1815-45F3-9F1B-BE6CE0D4C129}"/>
    <cellStyle name="Normal 6 4 3 2 3 3 3" xfId="7973" xr:uid="{3FE50F06-65C6-4490-BA6F-0EA5E4BE3284}"/>
    <cellStyle name="Normal 6 4 3 2 3 3 4" xfId="9491" xr:uid="{4F5F1350-196A-41C1-92E3-152A4548692A}"/>
    <cellStyle name="Normal 6 4 3 2 3 3 5" xfId="13105" xr:uid="{89FBAEE7-994D-423A-97B9-9C862CA44CE9}"/>
    <cellStyle name="Normal 6 4 3 2 3 3 6" xfId="14850" xr:uid="{A4023D5B-CA43-495D-9B6C-C2A89511DB5B}"/>
    <cellStyle name="Normal 6 4 3 2 3 4" xfId="5019" xr:uid="{4A44FDC6-F24C-4549-9289-B7C758BBEA71}"/>
    <cellStyle name="Normal 6 4 3 2 3 4 2" xfId="10489" xr:uid="{69EA280A-930F-4E5C-92A1-8C4C9D97B4AF}"/>
    <cellStyle name="Normal 6 4 3 2 3 5" xfId="5517" xr:uid="{F0E21E01-645C-4E62-8889-6E60859368E1}"/>
    <cellStyle name="Normal 6 4 3 2 3 5 2" xfId="10991" xr:uid="{2BB1296B-9727-4A2C-8D63-4D6E6C587C0E}"/>
    <cellStyle name="Normal 6 4 3 2 3 6" xfId="6019" xr:uid="{AFA8DE16-4654-4DEA-9F08-9C12B157101F}"/>
    <cellStyle name="Normal 6 4 3 2 3 6 2" xfId="11493" xr:uid="{8016EF45-6887-42C5-9C7C-1EA18679F2D3}"/>
    <cellStyle name="Normal 6 4 3 2 3 7" xfId="3037" xr:uid="{C5D731F1-F6EC-43B3-9E4F-DDFECCB4BD04}"/>
    <cellStyle name="Normal 6 4 3 2 3 8" xfId="6959" xr:uid="{C7300407-87EB-4A75-89B7-79C9B1BCA986}"/>
    <cellStyle name="Normal 6 4 3 2 3 9" xfId="8483" xr:uid="{A4570581-24DE-4CB4-B067-D064537C517F}"/>
    <cellStyle name="Normal 6 4 3 2 4" xfId="1571" xr:uid="{1E96AA1E-77F2-4879-A955-659617D421B9}"/>
    <cellStyle name="Normal 6 4 3 2 4 2" xfId="4293" xr:uid="{0898CD11-9D66-48C5-8E4E-0C8482974F3A}"/>
    <cellStyle name="Normal 6 4 3 2 4 2 2" xfId="9739" xr:uid="{985B5669-1A8E-47C2-8D28-396D15DF1B3C}"/>
    <cellStyle name="Normal 6 4 3 2 4 3" xfId="3283" xr:uid="{91881409-DCE6-4A60-BEDC-00D626B50AFC}"/>
    <cellStyle name="Normal 6 4 3 2 4 4" xfId="7217" xr:uid="{5CEB15C6-DE9E-4750-9B6E-CE26794FA2FC}"/>
    <cellStyle name="Normal 6 4 3 2 4 5" xfId="8731" xr:uid="{DF96AC11-CE93-458F-A87C-1083A66543B2}"/>
    <cellStyle name="Normal 6 4 3 2 4 6" xfId="12351" xr:uid="{F943DE60-510B-45C0-A204-0420C9A9EEDA}"/>
    <cellStyle name="Normal 6 4 3 2 4 7" xfId="14096" xr:uid="{1AE48451-EE91-43E0-A627-8BEA6E6D9C07}"/>
    <cellStyle name="Normal 6 4 3 2 5" xfId="2079" xr:uid="{5260FE9C-9DD3-4D34-B810-B00B9F28D165}"/>
    <cellStyle name="Normal 6 4 3 2 5 2" xfId="3799" xr:uid="{EC0CE3C0-5897-4464-95C9-14A61EFA03FF}"/>
    <cellStyle name="Normal 6 4 3 2 5 3" xfId="7725" xr:uid="{0C899273-CF1A-49AD-B39F-7BA9CD7F0F2F}"/>
    <cellStyle name="Normal 6 4 3 2 5 4" xfId="9243" xr:uid="{4D64B552-9003-47EF-9560-905984A10E23}"/>
    <cellStyle name="Normal 6 4 3 2 5 5" xfId="12857" xr:uid="{990AA8CB-A0D1-4838-A0DD-B22FFDE97314}"/>
    <cellStyle name="Normal 6 4 3 2 5 6" xfId="14602" xr:uid="{9EDF3027-06FB-43FF-B429-268769A6965D}"/>
    <cellStyle name="Normal 6 4 3 2 6" xfId="4787" xr:uid="{B11AB6D3-3C70-4529-9360-BC1AC4F514EA}"/>
    <cellStyle name="Normal 6 4 3 2 6 2" xfId="10241" xr:uid="{C97D4F4E-18A4-4E6C-9052-8CECBD570FBC}"/>
    <cellStyle name="Normal 6 4 3 2 7" xfId="5269" xr:uid="{CD2D6C19-2B67-4208-8F43-F856624FA961}"/>
    <cellStyle name="Normal 6 4 3 2 7 2" xfId="10743" xr:uid="{65D1ED84-F52F-440D-BC7D-2F372A66D3F0}"/>
    <cellStyle name="Normal 6 4 3 2 8" xfId="5771" xr:uid="{22AD711E-70D2-4068-9899-EA0CE8D1FB53}"/>
    <cellStyle name="Normal 6 4 3 2 8 2" xfId="11245" xr:uid="{A80C2C1C-16E2-4A4A-BBBC-1D8A477C9BA7}"/>
    <cellStyle name="Normal 6 4 3 2 9" xfId="2803" xr:uid="{8186E89E-55BB-4DF0-9362-D87CF105D902}"/>
    <cellStyle name="Normal 6 4 3 3" xfId="1134" xr:uid="{E2E8F025-A441-4637-A9BF-9DD503D5678E}"/>
    <cellStyle name="Normal 6 4 3 3 10" xfId="8304" xr:uid="{96BFBD6B-A4C5-4FBF-BCAB-9F030EA16A63}"/>
    <cellStyle name="Normal 6 4 3 3 11" xfId="11914" xr:uid="{970C7AC0-E767-4F77-90F5-05848E018796}"/>
    <cellStyle name="Normal 6 4 3 3 12" xfId="13659" xr:uid="{0656D10C-27AB-4B43-8605-A400E545CE0D}"/>
    <cellStyle name="Normal 6 4 3 3 2" xfId="1382" xr:uid="{D211CD96-3623-49E9-B3DC-D5537309444E}"/>
    <cellStyle name="Normal 6 4 3 3 2 10" xfId="12162" xr:uid="{A4D143BE-25FF-4176-A4D3-E723B1AE165C}"/>
    <cellStyle name="Normal 6 4 3 3 2 11" xfId="13907" xr:uid="{2BB3385A-6924-48AB-9465-DF444C54D667}"/>
    <cellStyle name="Normal 6 4 3 3 2 2" xfId="1888" xr:uid="{61073D07-2E33-40EB-9266-E7B86D5525D6}"/>
    <cellStyle name="Normal 6 4 3 3 2 2 2" xfId="4610" xr:uid="{C71D89BD-99B3-4CF2-B825-50A4B76CFD22}"/>
    <cellStyle name="Normal 6 4 3 3 2 2 2 2" xfId="10056" xr:uid="{4E37BC92-790C-4006-9C87-18B09217D4F3}"/>
    <cellStyle name="Normal 6 4 3 3 2 2 3" xfId="3600" xr:uid="{BB0BC18D-DB93-4A03-BC4B-14C9C297E394}"/>
    <cellStyle name="Normal 6 4 3 3 2 2 4" xfId="7534" xr:uid="{FCCDDC39-C6A0-4603-B0CC-CC228F03100F}"/>
    <cellStyle name="Normal 6 4 3 3 2 2 5" xfId="9048" xr:uid="{16144A2C-0478-4936-9F5D-2B2D11E26AC3}"/>
    <cellStyle name="Normal 6 4 3 3 2 2 6" xfId="12668" xr:uid="{B316D6F6-6B9A-4A6F-B8F4-66ABFB53E594}"/>
    <cellStyle name="Normal 6 4 3 3 2 2 7" xfId="14413" xr:uid="{D5EA526C-09C0-4526-BC2F-AEDB9B898866}"/>
    <cellStyle name="Normal 6 4 3 3 2 3" xfId="2396" xr:uid="{6F5CCDB4-6522-4245-9135-A7881FB9E135}"/>
    <cellStyle name="Normal 6 4 3 3 2 3 2" xfId="4116" xr:uid="{2A4C672D-243C-4465-9A3A-4D71D6012850}"/>
    <cellStyle name="Normal 6 4 3 3 2 3 3" xfId="8042" xr:uid="{67ED5F2E-771C-4618-9D8B-F2899AAC7BE8}"/>
    <cellStyle name="Normal 6 4 3 3 2 3 4" xfId="9560" xr:uid="{3E05FCCA-A1D8-4D1F-9B8F-4FBE3C6F8417}"/>
    <cellStyle name="Normal 6 4 3 3 2 3 5" xfId="13174" xr:uid="{B395C2A4-6F9B-4156-A3DD-E4B9580A92CE}"/>
    <cellStyle name="Normal 6 4 3 3 2 3 6" xfId="14919" xr:uid="{9702CD69-8008-4D70-B7B2-032634F7AC19}"/>
    <cellStyle name="Normal 6 4 3 3 2 4" xfId="5088" xr:uid="{FC9CF6DD-23DD-4BDC-9005-1C2FE1C40B43}"/>
    <cellStyle name="Normal 6 4 3 3 2 4 2" xfId="10558" xr:uid="{7DD1E327-B7DA-46DA-A3A0-016AD62E955D}"/>
    <cellStyle name="Normal 6 4 3 3 2 5" xfId="5586" xr:uid="{E17D5C4B-FD3E-4CC9-A6F7-D51C7D9E677A}"/>
    <cellStyle name="Normal 6 4 3 3 2 5 2" xfId="11060" xr:uid="{CD49A61E-8C56-4E43-8157-5E10A2C462C9}"/>
    <cellStyle name="Normal 6 4 3 3 2 6" xfId="6088" xr:uid="{E7E64467-14D4-4D9A-8FBA-441BC454AB88}"/>
    <cellStyle name="Normal 6 4 3 3 2 6 2" xfId="11562" xr:uid="{6D6904D0-2C8E-4762-A172-1D101CF7CF98}"/>
    <cellStyle name="Normal 6 4 3 3 2 7" xfId="3106" xr:uid="{B538CA00-ADA8-4CA4-AE7D-A60EB9B7DE15}"/>
    <cellStyle name="Normal 6 4 3 3 2 8" xfId="7028" xr:uid="{70B8B8C7-BB37-44CA-9788-FB6CA801F5F2}"/>
    <cellStyle name="Normal 6 4 3 3 2 9" xfId="8552" xr:uid="{FC0A940C-8E30-427D-9D43-CDD709D036EB}"/>
    <cellStyle name="Normal 6 4 3 3 3" xfId="1640" xr:uid="{1A71A14E-F6BF-4483-9838-54E22CCD0A3E}"/>
    <cellStyle name="Normal 6 4 3 3 3 2" xfId="4362" xr:uid="{CAFD697B-FF70-4954-AC76-6B9F645F4264}"/>
    <cellStyle name="Normal 6 4 3 3 3 2 2" xfId="9808" xr:uid="{82CC737B-B8CD-44F8-AB71-F90D48DF775B}"/>
    <cellStyle name="Normal 6 4 3 3 3 3" xfId="3352" xr:uid="{1296260B-E7BD-4F4D-897A-BA7BCA845FA5}"/>
    <cellStyle name="Normal 6 4 3 3 3 4" xfId="7286" xr:uid="{CBF4C4D7-D6DE-433E-8428-A631AD2B83D7}"/>
    <cellStyle name="Normal 6 4 3 3 3 5" xfId="8800" xr:uid="{AF9B697E-01F4-4F2A-9EA8-C4A386B3B952}"/>
    <cellStyle name="Normal 6 4 3 3 3 6" xfId="12420" xr:uid="{8E54957E-0D51-45AF-BEF9-B75F5B6A94E9}"/>
    <cellStyle name="Normal 6 4 3 3 3 7" xfId="14165" xr:uid="{C3EABC3B-9B07-4F3F-BCD7-AE8515A152C9}"/>
    <cellStyle name="Normal 6 4 3 3 4" xfId="2148" xr:uid="{120FE4E2-273B-4B87-9A21-52851629B736}"/>
    <cellStyle name="Normal 6 4 3 3 4 2" xfId="3868" xr:uid="{D11E896B-D089-4978-8715-D1169E1386EF}"/>
    <cellStyle name="Normal 6 4 3 3 4 3" xfId="7794" xr:uid="{65EB3823-6420-43C4-AB23-B053EC110A96}"/>
    <cellStyle name="Normal 6 4 3 3 4 4" xfId="9312" xr:uid="{9B73A5A0-0F52-4501-9998-AC8D31D65A33}"/>
    <cellStyle name="Normal 6 4 3 3 4 5" xfId="12926" xr:uid="{2DABDBBD-610A-4FF4-B550-C551FF2521C2}"/>
    <cellStyle name="Normal 6 4 3 3 4 6" xfId="14671" xr:uid="{1FFCA277-4B86-4C44-B111-A932A1D0BCF6}"/>
    <cellStyle name="Normal 6 4 3 3 5" xfId="4850" xr:uid="{9A9EDCE2-57C9-491B-81E8-11640C242B61}"/>
    <cellStyle name="Normal 6 4 3 3 5 2" xfId="10310" xr:uid="{9200365A-EF6C-41AA-BFF7-1DB67EF86C76}"/>
    <cellStyle name="Normal 6 4 3 3 6" xfId="5338" xr:uid="{406BC479-E4A7-4895-AE8C-C799EB6600D4}"/>
    <cellStyle name="Normal 6 4 3 3 6 2" xfId="10812" xr:uid="{2EDF2B77-8947-403E-9E2D-B763942308D9}"/>
    <cellStyle name="Normal 6 4 3 3 7" xfId="5840" xr:uid="{D50E1799-AE7F-465F-B324-971A4704148C}"/>
    <cellStyle name="Normal 6 4 3 3 7 2" xfId="11314" xr:uid="{3500F920-94AC-4CC3-B022-F87BEA0F8ACA}"/>
    <cellStyle name="Normal 6 4 3 3 8" xfId="2866" xr:uid="{3049D693-362C-44E2-9F0A-A71102FFB65F}"/>
    <cellStyle name="Normal 6 4 3 3 9" xfId="6780" xr:uid="{77641926-7CA9-4DF9-8D5F-01A8873773C4}"/>
    <cellStyle name="Normal 6 4 3 4" xfId="1258" xr:uid="{319B57AB-FCF5-48CE-B1F6-85EFF43E8499}"/>
    <cellStyle name="Normal 6 4 3 4 10" xfId="12038" xr:uid="{46B336CE-82CF-4435-B551-297CC9B9ECAB}"/>
    <cellStyle name="Normal 6 4 3 4 11" xfId="13783" xr:uid="{8AE26628-00B7-462F-956F-54BCE639D4D8}"/>
    <cellStyle name="Normal 6 4 3 4 2" xfId="1764" xr:uid="{1E366985-DA48-4278-B7FF-828E787F8934}"/>
    <cellStyle name="Normal 6 4 3 4 2 2" xfId="4486" xr:uid="{51BC73A6-A97C-4ED5-87FE-9DC108005F1E}"/>
    <cellStyle name="Normal 6 4 3 4 2 2 2" xfId="9932" xr:uid="{8D72F3EE-0E61-4AE9-8910-5D1B0E5C56D2}"/>
    <cellStyle name="Normal 6 4 3 4 2 3" xfId="3476" xr:uid="{F946F661-8058-4F91-B9A3-675CAA683A36}"/>
    <cellStyle name="Normal 6 4 3 4 2 4" xfId="7410" xr:uid="{C9228188-186F-4871-B533-01719A5E1D0D}"/>
    <cellStyle name="Normal 6 4 3 4 2 5" xfId="8924" xr:uid="{EB2080A3-5F22-4CAA-83EF-34118364DCB4}"/>
    <cellStyle name="Normal 6 4 3 4 2 6" xfId="12544" xr:uid="{0823AB2F-AB1A-4D34-A88B-A4CCA42956C4}"/>
    <cellStyle name="Normal 6 4 3 4 2 7" xfId="14289" xr:uid="{BFA0EEA9-4A24-4072-9FA2-595998411BB6}"/>
    <cellStyle name="Normal 6 4 3 4 3" xfId="2272" xr:uid="{D44F7369-7B64-4FEA-9CB8-0D3AAF4629C1}"/>
    <cellStyle name="Normal 6 4 3 4 3 2" xfId="3992" xr:uid="{BC187461-D7D9-44E6-B5CD-4DC9F8551552}"/>
    <cellStyle name="Normal 6 4 3 4 3 3" xfId="7918" xr:uid="{5FEF3D87-8188-4E47-8E4C-46E3F6D6439D}"/>
    <cellStyle name="Normal 6 4 3 4 3 4" xfId="9436" xr:uid="{0AD081BB-837D-4AFA-9BE8-40B31D04BD17}"/>
    <cellStyle name="Normal 6 4 3 4 3 5" xfId="13050" xr:uid="{30617E5C-B534-4F3E-90EC-CF25A0396E97}"/>
    <cellStyle name="Normal 6 4 3 4 3 6" xfId="14795" xr:uid="{35ECDBAC-0E8E-4FEC-B80F-428F8F89E6F4}"/>
    <cellStyle name="Normal 6 4 3 4 4" xfId="4966" xr:uid="{497DDE4A-B575-4D6F-92BD-78C4EC75B76C}"/>
    <cellStyle name="Normal 6 4 3 4 4 2" xfId="10434" xr:uid="{BA41F5F0-99D4-46B9-8D18-F648B2B80FE9}"/>
    <cellStyle name="Normal 6 4 3 4 5" xfId="5462" xr:uid="{86BB8F69-DE09-46B6-8185-D98CB33A0803}"/>
    <cellStyle name="Normal 6 4 3 4 5 2" xfId="10936" xr:uid="{C456AC67-1DB0-4C5C-81B7-4D696D3D7DF4}"/>
    <cellStyle name="Normal 6 4 3 4 6" xfId="5964" xr:uid="{17F8D9D4-7D59-44FC-A1F8-C383389B631D}"/>
    <cellStyle name="Normal 6 4 3 4 6 2" xfId="11438" xr:uid="{18D1B129-59CD-4172-8DAB-1AA4FB58BE6F}"/>
    <cellStyle name="Normal 6 4 3 4 7" xfId="2984" xr:uid="{F70A7F4B-28B5-4D53-95D2-1C0427BD95C9}"/>
    <cellStyle name="Normal 6 4 3 4 8" xfId="6904" xr:uid="{1DED492F-753B-489A-8520-A1C2B738D07B}"/>
    <cellStyle name="Normal 6 4 3 4 9" xfId="8428" xr:uid="{02043165-461C-47AD-989A-6C9480B08424}"/>
    <cellStyle name="Normal 6 4 3 5" xfId="1516" xr:uid="{87DAFB7A-D764-41F6-8CD9-4A0B88B513D8}"/>
    <cellStyle name="Normal 6 4 3 5 2" xfId="4240" xr:uid="{6D7A71C4-4835-442E-9B89-C41B7998A36C}"/>
    <cellStyle name="Normal 6 4 3 5 2 2" xfId="9684" xr:uid="{46EA9063-08D3-4AE4-98C5-8B2E5C1A5C50}"/>
    <cellStyle name="Normal 6 4 3 5 3" xfId="3230" xr:uid="{9D314408-A819-4708-8CED-CC1D51405789}"/>
    <cellStyle name="Normal 6 4 3 5 4" xfId="7162" xr:uid="{2B8E68B2-8C64-4A4D-8BE1-B33D97384837}"/>
    <cellStyle name="Normal 6 4 3 5 5" xfId="8676" xr:uid="{6ACB7326-2527-4465-9700-EFB84FC71479}"/>
    <cellStyle name="Normal 6 4 3 5 6" xfId="12296" xr:uid="{92F01748-9410-4A79-87BC-455F05618AF8}"/>
    <cellStyle name="Normal 6 4 3 5 7" xfId="14041" xr:uid="{21CFFF05-1664-446F-A763-0648CAA274BD}"/>
    <cellStyle name="Normal 6 4 3 6" xfId="2024" xr:uid="{757E8896-BD6F-4BDA-B0D5-0F2944F56BBC}"/>
    <cellStyle name="Normal 6 4 3 6 2" xfId="3744" xr:uid="{E2E8947B-FC74-4F41-9FF4-5C9937881405}"/>
    <cellStyle name="Normal 6 4 3 6 3" xfId="7670" xr:uid="{8BF7B0B8-5C0D-4370-9C52-E7ACFD8AACF7}"/>
    <cellStyle name="Normal 6 4 3 6 4" xfId="9188" xr:uid="{68EB408E-F704-41CE-880F-DD526A9B06AC}"/>
    <cellStyle name="Normal 6 4 3 6 5" xfId="12802" xr:uid="{A26202AC-057F-4773-9706-9CF4A5769C01}"/>
    <cellStyle name="Normal 6 4 3 6 6" xfId="14547" xr:uid="{A31BA11D-3480-42D5-9DD2-ED02AD6EA352}"/>
    <cellStyle name="Normal 6 4 3 7" xfId="4738" xr:uid="{7066504F-48C3-4A3A-9334-00A060CA5276}"/>
    <cellStyle name="Normal 6 4 3 7 2" xfId="10186" xr:uid="{FE69F60F-DC11-4719-A9FA-94C13BDFC37B}"/>
    <cellStyle name="Normal 6 4 3 8" xfId="5214" xr:uid="{4B166F5C-9070-44DD-9360-2AD3C892EA31}"/>
    <cellStyle name="Normal 6 4 3 8 2" xfId="10688" xr:uid="{E47A44D3-95FC-463A-A2DF-AA648CA4BF37}"/>
    <cellStyle name="Normal 6 4 3 9" xfId="5716" xr:uid="{85823F67-08ED-4718-8545-E74D077D0BBD}"/>
    <cellStyle name="Normal 6 4 3 9 2" xfId="11190" xr:uid="{096DD29F-D977-404A-A0C4-5130FE5B9798}"/>
    <cellStyle name="Normal 6 4 4" xfId="1063" xr:uid="{AEA8499E-93D0-4676-BE30-4930443F9031}"/>
    <cellStyle name="Normal 6 4 4 10" xfId="6709" xr:uid="{55E42D8E-5E8D-44F2-BF4F-1627DB36A3F5}"/>
    <cellStyle name="Normal 6 4 4 11" xfId="8233" xr:uid="{A765CFBA-C01F-4275-A1A1-A9224ED5B8C1}"/>
    <cellStyle name="Normal 6 4 4 12" xfId="11843" xr:uid="{ABCFDF44-A54B-4BB5-9C78-EB7B57616D88}"/>
    <cellStyle name="Normal 6 4 4 13" xfId="13588" xr:uid="{7E63E570-2C17-4022-AF56-530E6D6CEDB4}"/>
    <cellStyle name="Normal 6 4 4 2" xfId="1187" xr:uid="{8D0B02B6-47E7-4110-BFCA-85B8579C872D}"/>
    <cellStyle name="Normal 6 4 4 2 10" xfId="8357" xr:uid="{40A81DAB-94CE-4F0D-80A8-D430FA21A51B}"/>
    <cellStyle name="Normal 6 4 4 2 11" xfId="11967" xr:uid="{45048D15-B59B-4E2F-9FC3-B7846AC6E029}"/>
    <cellStyle name="Normal 6 4 4 2 12" xfId="13712" xr:uid="{698063D9-DEBA-49A8-B96E-013D56D757AA}"/>
    <cellStyle name="Normal 6 4 4 2 2" xfId="1435" xr:uid="{08A34CFD-E3E8-4C1F-8B61-17D518001F4C}"/>
    <cellStyle name="Normal 6 4 4 2 2 10" xfId="12215" xr:uid="{54CDD274-2718-41D4-93B9-67CE35E6CA5A}"/>
    <cellStyle name="Normal 6 4 4 2 2 11" xfId="13960" xr:uid="{ED90E7E8-8E4F-410A-AA53-D3EAAB608340}"/>
    <cellStyle name="Normal 6 4 4 2 2 2" xfId="1941" xr:uid="{568BDFDC-6A86-4599-AF86-6D294A87A449}"/>
    <cellStyle name="Normal 6 4 4 2 2 2 2" xfId="4663" xr:uid="{4396340E-CDF8-43BA-AA34-14BF42662888}"/>
    <cellStyle name="Normal 6 4 4 2 2 2 2 2" xfId="10109" xr:uid="{3A3ABBCE-5221-45B1-B690-85ED410C130F}"/>
    <cellStyle name="Normal 6 4 4 2 2 2 3" xfId="3653" xr:uid="{425E4232-80CD-4000-9268-670346827694}"/>
    <cellStyle name="Normal 6 4 4 2 2 2 4" xfId="7587" xr:uid="{4BAAB4A4-D78F-41B9-91BC-D3FEFE59E997}"/>
    <cellStyle name="Normal 6 4 4 2 2 2 5" xfId="9101" xr:uid="{B4127C9F-6E34-4E75-AF6A-72704AE4391E}"/>
    <cellStyle name="Normal 6 4 4 2 2 2 6" xfId="12721" xr:uid="{C829B7CE-77C0-4958-92F7-EF9F2CEEC60E}"/>
    <cellStyle name="Normal 6 4 4 2 2 2 7" xfId="14466" xr:uid="{04A1E82A-EF99-4DBB-9A2E-17312246A652}"/>
    <cellStyle name="Normal 6 4 4 2 2 3" xfId="2449" xr:uid="{20EB14D7-DB50-4F66-AF2A-FDF2B0CC4CED}"/>
    <cellStyle name="Normal 6 4 4 2 2 3 2" xfId="4169" xr:uid="{0E05EBD0-48C3-4C52-8BA1-44B3444F695F}"/>
    <cellStyle name="Normal 6 4 4 2 2 3 3" xfId="8095" xr:uid="{9CFF58FA-6F39-46F6-94AF-CEAB890AB1AB}"/>
    <cellStyle name="Normal 6 4 4 2 2 3 4" xfId="9613" xr:uid="{3F4E3B8C-ABED-4C7C-9CF2-5CF102696FC4}"/>
    <cellStyle name="Normal 6 4 4 2 2 3 5" xfId="13227" xr:uid="{C04D6B5B-BE43-40C7-A6F5-053CC7B06896}"/>
    <cellStyle name="Normal 6 4 4 2 2 3 6" xfId="14972" xr:uid="{2706F3B9-CE53-462D-BB4C-406C887B31D3}"/>
    <cellStyle name="Normal 6 4 4 2 2 4" xfId="5141" xr:uid="{42C43C23-8940-4C3F-A6C9-CE716B1B308C}"/>
    <cellStyle name="Normal 6 4 4 2 2 4 2" xfId="10611" xr:uid="{72B64C99-25BC-41EF-AF78-A2E55EBA89CC}"/>
    <cellStyle name="Normal 6 4 4 2 2 5" xfId="5639" xr:uid="{A1B985E9-4CC3-4643-8375-8D41A79CD5EC}"/>
    <cellStyle name="Normal 6 4 4 2 2 5 2" xfId="11113" xr:uid="{A9A61D1C-A592-4C32-B40E-A2B58A83C919}"/>
    <cellStyle name="Normal 6 4 4 2 2 6" xfId="6141" xr:uid="{3FAC82C1-592E-4617-B8AA-2A56F0E18339}"/>
    <cellStyle name="Normal 6 4 4 2 2 6 2" xfId="11615" xr:uid="{FE7F16A5-9316-408C-9679-D3BC9B8383B4}"/>
    <cellStyle name="Normal 6 4 4 2 2 7" xfId="3159" xr:uid="{8E4452F4-C2FD-433C-8E09-6842AF0C5F03}"/>
    <cellStyle name="Normal 6 4 4 2 2 8" xfId="7081" xr:uid="{DC3FA3B1-69D8-491E-8B1A-0A9F1DB29E9A}"/>
    <cellStyle name="Normal 6 4 4 2 2 9" xfId="8605" xr:uid="{80B3FD1A-1E26-4A55-ADA7-B35429DFB8E9}"/>
    <cellStyle name="Normal 6 4 4 2 3" xfId="1693" xr:uid="{3AA15A4C-35D1-4267-997B-6AADA4124E37}"/>
    <cellStyle name="Normal 6 4 4 2 3 2" xfId="4415" xr:uid="{A5D6DC11-2A7E-4040-8BA8-FC51F97E3B4D}"/>
    <cellStyle name="Normal 6 4 4 2 3 2 2" xfId="9861" xr:uid="{BB9C151C-5C07-406B-A74E-28BD18360727}"/>
    <cellStyle name="Normal 6 4 4 2 3 3" xfId="3405" xr:uid="{0364DB05-066C-4D8B-AD86-F2F15DD9DE64}"/>
    <cellStyle name="Normal 6 4 4 2 3 4" xfId="7339" xr:uid="{E357E68D-3F06-44B1-AF9B-C25F03561667}"/>
    <cellStyle name="Normal 6 4 4 2 3 5" xfId="8853" xr:uid="{343E089B-3552-449B-8BCC-12A40F9CD4BA}"/>
    <cellStyle name="Normal 6 4 4 2 3 6" xfId="12473" xr:uid="{29668ADA-1972-4E0E-9559-2166C2A6178C}"/>
    <cellStyle name="Normal 6 4 4 2 3 7" xfId="14218" xr:uid="{7E6535D4-01A0-45B6-8B6A-BD9E6EAA17EA}"/>
    <cellStyle name="Normal 6 4 4 2 4" xfId="2201" xr:uid="{2C424B18-1FC2-451C-A07A-ED26EA746331}"/>
    <cellStyle name="Normal 6 4 4 2 4 2" xfId="3921" xr:uid="{4E7504B8-590B-4950-BFAA-FCD1D5892A26}"/>
    <cellStyle name="Normal 6 4 4 2 4 3" xfId="7847" xr:uid="{90F4B69E-6F05-4494-8EDD-9ED5502E25B1}"/>
    <cellStyle name="Normal 6 4 4 2 4 4" xfId="9365" xr:uid="{97FD59AC-0349-41FE-AF30-2DF6E130DA15}"/>
    <cellStyle name="Normal 6 4 4 2 4 5" xfId="12979" xr:uid="{5DB8BBE6-9328-46DF-840E-6B73A0AC7014}"/>
    <cellStyle name="Normal 6 4 4 2 4 6" xfId="14724" xr:uid="{895E26BC-946B-4217-9534-3BEFCA91153B}"/>
    <cellStyle name="Normal 6 4 4 2 5" xfId="4901" xr:uid="{44487624-8AB6-4AA4-8ADC-F102EA0B518E}"/>
    <cellStyle name="Normal 6 4 4 2 5 2" xfId="10363" xr:uid="{9516D221-7848-409F-BD20-080DEE724B06}"/>
    <cellStyle name="Normal 6 4 4 2 6" xfId="5391" xr:uid="{9BE88026-6369-4532-B44A-382D82532D11}"/>
    <cellStyle name="Normal 6 4 4 2 6 2" xfId="10865" xr:uid="{70321544-F728-4E0C-8F42-4C71DE80963E}"/>
    <cellStyle name="Normal 6 4 4 2 7" xfId="5893" xr:uid="{4E87042D-0F71-4C66-83BC-BC74D7EF9066}"/>
    <cellStyle name="Normal 6 4 4 2 7 2" xfId="11367" xr:uid="{B857F337-120E-4DC8-AAFD-1441AEBBFAB0}"/>
    <cellStyle name="Normal 6 4 4 2 8" xfId="2917" xr:uid="{F37E42BB-6D22-45D8-8A81-CBB433B5C06E}"/>
    <cellStyle name="Normal 6 4 4 2 9" xfId="6833" xr:uid="{B8597046-36E7-41E2-9C47-0A962372B1AA}"/>
    <cellStyle name="Normal 6 4 4 3" xfId="1311" xr:uid="{D71DCEF1-D5DE-4CA2-B031-140C7A3A4E65}"/>
    <cellStyle name="Normal 6 4 4 3 10" xfId="12091" xr:uid="{0A8E0A44-5C79-4CBE-A7A8-F152080AC8A8}"/>
    <cellStyle name="Normal 6 4 4 3 11" xfId="13836" xr:uid="{CB1FCE3D-5BD2-4E31-8504-A3F2E2CEF66A}"/>
    <cellStyle name="Normal 6 4 4 3 2" xfId="1817" xr:uid="{D9D3A581-C183-4421-B1C8-E1B191215255}"/>
    <cellStyle name="Normal 6 4 4 3 2 2" xfId="4539" xr:uid="{60780BAD-EBF7-440D-82ED-F131954FD094}"/>
    <cellStyle name="Normal 6 4 4 3 2 2 2" xfId="9985" xr:uid="{2D3EBFCF-32DD-42FE-98CD-4A04F23B33FC}"/>
    <cellStyle name="Normal 6 4 4 3 2 3" xfId="3529" xr:uid="{07472915-E9F8-40CD-92E2-36EEDC8F28DC}"/>
    <cellStyle name="Normal 6 4 4 3 2 4" xfId="7463" xr:uid="{E853565B-DA23-4C33-BA7C-B7004AFEF2BC}"/>
    <cellStyle name="Normal 6 4 4 3 2 5" xfId="8977" xr:uid="{EBF77999-CCD3-4545-8E24-8DA117E7E911}"/>
    <cellStyle name="Normal 6 4 4 3 2 6" xfId="12597" xr:uid="{7CA28D72-7198-4CFB-87D9-5EA9218FEEF8}"/>
    <cellStyle name="Normal 6 4 4 3 2 7" xfId="14342" xr:uid="{28C5D9CE-F33D-4474-9ECF-8682257FB3B7}"/>
    <cellStyle name="Normal 6 4 4 3 3" xfId="2325" xr:uid="{8C00BDD5-9A66-4140-AE6A-48097DDB61BF}"/>
    <cellStyle name="Normal 6 4 4 3 3 2" xfId="4045" xr:uid="{52E1D4B1-362D-4AC6-8116-4F306A6C58B2}"/>
    <cellStyle name="Normal 6 4 4 3 3 3" xfId="7971" xr:uid="{A9583FC3-4DC8-4C6E-B509-41AFFA7BEBC4}"/>
    <cellStyle name="Normal 6 4 4 3 3 4" xfId="9489" xr:uid="{63103912-ACDF-4F6B-83CA-EABBA191467D}"/>
    <cellStyle name="Normal 6 4 4 3 3 5" xfId="13103" xr:uid="{C99D7EC8-E9E1-4762-A4D2-6D904D36CD20}"/>
    <cellStyle name="Normal 6 4 4 3 3 6" xfId="14848" xr:uid="{AFC267A4-8732-40B4-92EC-CE52637AEA74}"/>
    <cellStyle name="Normal 6 4 4 3 4" xfId="5017" xr:uid="{498771E8-131B-4065-BD2B-B2F1C831BB36}"/>
    <cellStyle name="Normal 6 4 4 3 4 2" xfId="10487" xr:uid="{C3530AA3-374B-4EDF-AC96-5371992698D8}"/>
    <cellStyle name="Normal 6 4 4 3 5" xfId="5515" xr:uid="{570E875D-B07D-4C76-830B-31E2F9F7A977}"/>
    <cellStyle name="Normal 6 4 4 3 5 2" xfId="10989" xr:uid="{7E3B67AC-FEA7-43C3-A2A9-B75864453757}"/>
    <cellStyle name="Normal 6 4 4 3 6" xfId="6017" xr:uid="{5A8248FA-B98E-4437-ACCE-924CA4EBF5B9}"/>
    <cellStyle name="Normal 6 4 4 3 6 2" xfId="11491" xr:uid="{AB351AC4-C211-4553-BE79-FEB36400D011}"/>
    <cellStyle name="Normal 6 4 4 3 7" xfId="3035" xr:uid="{1B33F8F8-F595-49B6-AB29-5D66DA7DB0B9}"/>
    <cellStyle name="Normal 6 4 4 3 8" xfId="6957" xr:uid="{3857F54A-99B4-4807-8C66-3166CE3D395A}"/>
    <cellStyle name="Normal 6 4 4 3 9" xfId="8481" xr:uid="{3DF3C18C-19D1-4232-B96C-44DA505524B5}"/>
    <cellStyle name="Normal 6 4 4 4" xfId="1569" xr:uid="{710C33D4-A40C-4DC6-8E6F-FE9E02BCA7F0}"/>
    <cellStyle name="Normal 6 4 4 4 2" xfId="4291" xr:uid="{C1CC9A70-3B2A-43F6-862C-12989862A5B4}"/>
    <cellStyle name="Normal 6 4 4 4 2 2" xfId="9737" xr:uid="{E57655A7-697F-4D72-BE22-A997E2487FF7}"/>
    <cellStyle name="Normal 6 4 4 4 3" xfId="3281" xr:uid="{F746C0E0-47F6-43D2-ACA8-8332998F2833}"/>
    <cellStyle name="Normal 6 4 4 4 4" xfId="7215" xr:uid="{448F0285-6E35-4107-8642-3657F72FFB6E}"/>
    <cellStyle name="Normal 6 4 4 4 5" xfId="8729" xr:uid="{09EC5E47-43BD-48C7-9FF2-03F1F7F5A59F}"/>
    <cellStyle name="Normal 6 4 4 4 6" xfId="12349" xr:uid="{2C3A3C9E-1F1C-447C-953C-5151CD2D8EDA}"/>
    <cellStyle name="Normal 6 4 4 4 7" xfId="14094" xr:uid="{BBE80698-16C7-4B79-8EDF-61AB00C0BDB6}"/>
    <cellStyle name="Normal 6 4 4 5" xfId="2077" xr:uid="{7AA2E5D4-49D0-46FD-91EE-B12098D3D05C}"/>
    <cellStyle name="Normal 6 4 4 5 2" xfId="3797" xr:uid="{4CE48095-A17A-4E42-94B5-CEFFCA13FE00}"/>
    <cellStyle name="Normal 6 4 4 5 3" xfId="7723" xr:uid="{149CF1F8-2745-484C-B004-3ACCFFB9A60D}"/>
    <cellStyle name="Normal 6 4 4 5 4" xfId="9241" xr:uid="{714D0FC3-BACB-4056-AEA0-78EDCA5835F0}"/>
    <cellStyle name="Normal 6 4 4 5 5" xfId="12855" xr:uid="{0549262E-0D87-4E0F-8CD2-CFB9EDD996F3}"/>
    <cellStyle name="Normal 6 4 4 5 6" xfId="14600" xr:uid="{92B1A0D5-534E-476C-9BC9-882683654C07}"/>
    <cellStyle name="Normal 6 4 4 6" xfId="4785" xr:uid="{543D3146-2CF1-4115-8416-5BABB26A9AE5}"/>
    <cellStyle name="Normal 6 4 4 6 2" xfId="10239" xr:uid="{C7990144-7A07-441B-BEAB-C180C44BE340}"/>
    <cellStyle name="Normal 6 4 4 7" xfId="5267" xr:uid="{058E8763-B30D-4151-B143-4DD2F8391B17}"/>
    <cellStyle name="Normal 6 4 4 7 2" xfId="10741" xr:uid="{29C8B842-FEE1-4D45-A310-4A08D30A7E88}"/>
    <cellStyle name="Normal 6 4 4 8" xfId="5769" xr:uid="{4E06B188-DAE9-4864-AC18-7D1A97272D9D}"/>
    <cellStyle name="Normal 6 4 4 8 2" xfId="11243" xr:uid="{50F83DC8-251B-43D2-9484-09A65A0C0928}"/>
    <cellStyle name="Normal 6 4 4 9" xfId="2801" xr:uid="{2046C0E9-011C-4951-8D5E-652F68581CA7}"/>
    <cellStyle name="Normal 6 4 5" xfId="1092" xr:uid="{360BEA00-CBB9-49FF-B939-4C2419CEE3D2}"/>
    <cellStyle name="Normal 6 4 5 10" xfId="8262" xr:uid="{8AA408C3-A1B6-4C35-AF2C-29FAAFC9AE33}"/>
    <cellStyle name="Normal 6 4 5 11" xfId="11872" xr:uid="{E8AB8CFF-4972-43EA-ADB8-1A323ECE1CC3}"/>
    <cellStyle name="Normal 6 4 5 12" xfId="13617" xr:uid="{D12AAB80-7C88-45F9-9521-DD0C3F141B49}"/>
    <cellStyle name="Normal 6 4 5 2" xfId="1340" xr:uid="{46D49E66-729C-4C57-BB6A-CC0096FC5DE1}"/>
    <cellStyle name="Normal 6 4 5 2 10" xfId="12120" xr:uid="{2D7D4305-AE77-44B1-BCC9-0B6690D07481}"/>
    <cellStyle name="Normal 6 4 5 2 11" xfId="13865" xr:uid="{E2251627-B8D7-467D-866C-C73412EE0D42}"/>
    <cellStyle name="Normal 6 4 5 2 2" xfId="1846" xr:uid="{C82E0949-807D-495D-9CE1-40242F198CDF}"/>
    <cellStyle name="Normal 6 4 5 2 2 2" xfId="4568" xr:uid="{56F311A3-1A7A-49C0-95D4-6618DBB49F91}"/>
    <cellStyle name="Normal 6 4 5 2 2 2 2" xfId="10014" xr:uid="{A8541C41-6DB3-4791-BBCE-4DA4139CE024}"/>
    <cellStyle name="Normal 6 4 5 2 2 3" xfId="3558" xr:uid="{EA7FFB7E-825D-4C2A-9DF3-59D6DF46E68F}"/>
    <cellStyle name="Normal 6 4 5 2 2 4" xfId="7492" xr:uid="{4A98DFB4-1567-4242-8F5E-97FBCB80A112}"/>
    <cellStyle name="Normal 6 4 5 2 2 5" xfId="9006" xr:uid="{AA7434FB-CD40-4288-BD83-D7F32B54006D}"/>
    <cellStyle name="Normal 6 4 5 2 2 6" xfId="12626" xr:uid="{2613F988-CC0E-4F3D-9149-27E915B592E4}"/>
    <cellStyle name="Normal 6 4 5 2 2 7" xfId="14371" xr:uid="{45BD13A3-82C0-42FB-916D-453177C87FC5}"/>
    <cellStyle name="Normal 6 4 5 2 3" xfId="2354" xr:uid="{7D7F303F-E0B1-42F5-BD56-5978CD21D856}"/>
    <cellStyle name="Normal 6 4 5 2 3 2" xfId="4074" xr:uid="{4BF38559-7C82-4826-B218-737B96EF68AE}"/>
    <cellStyle name="Normal 6 4 5 2 3 3" xfId="8000" xr:uid="{D7CD7A6D-33B3-4C25-864B-A7CE9330497D}"/>
    <cellStyle name="Normal 6 4 5 2 3 4" xfId="9518" xr:uid="{943104CA-E1C8-4C6A-B499-38FF2A863E57}"/>
    <cellStyle name="Normal 6 4 5 2 3 5" xfId="13132" xr:uid="{0DF9F518-B4B3-4238-9AF6-0C1C49FCAC1A}"/>
    <cellStyle name="Normal 6 4 5 2 3 6" xfId="14877" xr:uid="{4376F37F-730F-4EA8-9EA1-E7D860EFD026}"/>
    <cellStyle name="Normal 6 4 5 2 4" xfId="5046" xr:uid="{0417E136-1D7A-4CDC-9BE2-4409504B477A}"/>
    <cellStyle name="Normal 6 4 5 2 4 2" xfId="10516" xr:uid="{E6B09EAF-A727-4678-876F-B5A544CE441D}"/>
    <cellStyle name="Normal 6 4 5 2 5" xfId="5544" xr:uid="{72996085-C7D4-44D8-A941-91E16159A023}"/>
    <cellStyle name="Normal 6 4 5 2 5 2" xfId="11018" xr:uid="{DB0A0934-6465-468D-B49F-B09A9B373661}"/>
    <cellStyle name="Normal 6 4 5 2 6" xfId="6046" xr:uid="{5A6FD78B-E036-48BC-887C-CA9D465A4A3A}"/>
    <cellStyle name="Normal 6 4 5 2 6 2" xfId="11520" xr:uid="{C6EC272D-0F5A-4A79-B0B2-2FA45A213BCF}"/>
    <cellStyle name="Normal 6 4 5 2 7" xfId="3064" xr:uid="{CB793364-5EA9-46F7-958B-4C6208EA9CD3}"/>
    <cellStyle name="Normal 6 4 5 2 8" xfId="6986" xr:uid="{9692D8D0-5443-400A-899F-CB96904A89FE}"/>
    <cellStyle name="Normal 6 4 5 2 9" xfId="8510" xr:uid="{AA065794-C2F0-4354-9E6F-BB05102599EC}"/>
    <cellStyle name="Normal 6 4 5 3" xfId="1598" xr:uid="{9EABF34E-6DB5-4DC6-BA58-2BB55503B02E}"/>
    <cellStyle name="Normal 6 4 5 3 2" xfId="4320" xr:uid="{C83E604E-B702-4375-97A4-CDF84DE9888F}"/>
    <cellStyle name="Normal 6 4 5 3 2 2" xfId="9766" xr:uid="{6203A14A-8949-4EB1-8E92-B8844D468F74}"/>
    <cellStyle name="Normal 6 4 5 3 3" xfId="3310" xr:uid="{23BEC8D0-8C93-4CDB-9257-513A42F2B754}"/>
    <cellStyle name="Normal 6 4 5 3 4" xfId="7244" xr:uid="{2E6C9F0D-3976-423B-9074-FE7D0CFE2F3E}"/>
    <cellStyle name="Normal 6 4 5 3 5" xfId="8758" xr:uid="{ED198476-BC87-4B2B-9081-F4F68AF4D013}"/>
    <cellStyle name="Normal 6 4 5 3 6" xfId="12378" xr:uid="{1A1245E2-CCCC-4268-A469-475D53BB29E4}"/>
    <cellStyle name="Normal 6 4 5 3 7" xfId="14123" xr:uid="{8105E5D3-BA10-406F-8557-503B4985850B}"/>
    <cellStyle name="Normal 6 4 5 4" xfId="2106" xr:uid="{C938E04E-EE7D-4B46-83A4-76AB28E3159C}"/>
    <cellStyle name="Normal 6 4 5 4 2" xfId="3826" xr:uid="{8262CE41-D16B-474A-961E-B5B10C24A8B0}"/>
    <cellStyle name="Normal 6 4 5 4 3" xfId="7752" xr:uid="{2433963D-94A3-4BCD-AF51-F56C23594CFA}"/>
    <cellStyle name="Normal 6 4 5 4 4" xfId="9270" xr:uid="{3903A56D-CCE1-4AB8-AF69-A13F8079B93C}"/>
    <cellStyle name="Normal 6 4 5 4 5" xfId="12884" xr:uid="{E9DC92DD-DC77-4672-9458-FB1AE92123C5}"/>
    <cellStyle name="Normal 6 4 5 4 6" xfId="14629" xr:uid="{B5BAEFEE-F740-4CD3-A0BB-17A66761F72C}"/>
    <cellStyle name="Normal 6 4 5 5" xfId="4812" xr:uid="{7DF18A37-1577-4737-81F7-1FE47B5F497C}"/>
    <cellStyle name="Normal 6 4 5 5 2" xfId="10268" xr:uid="{D0B77BAC-EAE1-4E6A-B782-7C322663E8B3}"/>
    <cellStyle name="Normal 6 4 5 6" xfId="5296" xr:uid="{438D0D26-7D0F-43C6-93D8-53B68AE90A1E}"/>
    <cellStyle name="Normal 6 4 5 6 2" xfId="10770" xr:uid="{495CBE14-A5FA-4951-B9FA-57109CD847C8}"/>
    <cellStyle name="Normal 6 4 5 7" xfId="5798" xr:uid="{E0FA8BFC-B802-4B96-8335-BD7DB7968284}"/>
    <cellStyle name="Normal 6 4 5 7 2" xfId="11272" xr:uid="{C88CFAA0-C95E-4A77-B854-2FD8AC4C65F5}"/>
    <cellStyle name="Normal 6 4 5 8" xfId="2828" xr:uid="{8A84EC24-1C5D-4C3A-81DE-6F4D5E499B31}"/>
    <cellStyle name="Normal 6 4 5 9" xfId="6738" xr:uid="{DCE64DA3-8033-429A-ACB2-4FA9EDB7DF75}"/>
    <cellStyle name="Normal 6 4 6" xfId="1216" xr:uid="{E69D2450-26F5-43A7-96D3-1EDF7DEB079C}"/>
    <cellStyle name="Normal 6 4 6 10" xfId="11996" xr:uid="{20B5A41B-2FB6-4C15-B401-A86F245A68A2}"/>
    <cellStyle name="Normal 6 4 6 11" xfId="13741" xr:uid="{65346A18-1D12-4E87-AC96-82028B0974DA}"/>
    <cellStyle name="Normal 6 4 6 2" xfId="1722" xr:uid="{C1EF40C5-4F6C-41D2-B0FB-40CEA4022DAD}"/>
    <cellStyle name="Normal 6 4 6 2 2" xfId="4444" xr:uid="{1E35A7D2-EEA9-486D-9B63-839A2B95BD1A}"/>
    <cellStyle name="Normal 6 4 6 2 2 2" xfId="9890" xr:uid="{275E2843-88A5-4B79-B10B-84E67CC7C40C}"/>
    <cellStyle name="Normal 6 4 6 2 3" xfId="3434" xr:uid="{E36B283C-EC7B-4A29-A2CA-7C172874078B}"/>
    <cellStyle name="Normal 6 4 6 2 4" xfId="7368" xr:uid="{61D62867-BECF-4823-80C6-8D625E82DB5B}"/>
    <cellStyle name="Normal 6 4 6 2 5" xfId="8882" xr:uid="{A2E608A9-A660-4700-8451-D9BA10F0F85C}"/>
    <cellStyle name="Normal 6 4 6 2 6" xfId="12502" xr:uid="{B319E8C0-1A80-4948-8454-EA90B23E4F0F}"/>
    <cellStyle name="Normal 6 4 6 2 7" xfId="14247" xr:uid="{0BA69EA4-D380-440F-9FB3-CE013AA711A7}"/>
    <cellStyle name="Normal 6 4 6 3" xfId="2230" xr:uid="{0190715B-62CA-44D3-9138-A50B4AC3E694}"/>
    <cellStyle name="Normal 6 4 6 3 2" xfId="3950" xr:uid="{EEC75B74-CFA4-48EF-A101-1B6B0412DD07}"/>
    <cellStyle name="Normal 6 4 6 3 3" xfId="7876" xr:uid="{101158AA-95C5-4DD8-A1B9-EA57E88B4DED}"/>
    <cellStyle name="Normal 6 4 6 3 4" xfId="9394" xr:uid="{D8F5C1BC-C1DB-471D-B365-AD3A63A2C6CB}"/>
    <cellStyle name="Normal 6 4 6 3 5" xfId="13008" xr:uid="{466C06BB-08AE-4E64-A6D7-470715B305E2}"/>
    <cellStyle name="Normal 6 4 6 3 6" xfId="14753" xr:uid="{7C9B245E-D00C-4CBF-A1B3-88FB37A74DCE}"/>
    <cellStyle name="Normal 6 4 6 4" xfId="4928" xr:uid="{AD37B398-0A99-4199-BAD9-237AFA178EEC}"/>
    <cellStyle name="Normal 6 4 6 4 2" xfId="10392" xr:uid="{631D62C4-27B1-4070-BCC0-1FEF744B109B}"/>
    <cellStyle name="Normal 6 4 6 5" xfId="5420" xr:uid="{7F0CF84F-812C-4DBF-AB76-0BAC9436C75E}"/>
    <cellStyle name="Normal 6 4 6 5 2" xfId="10894" xr:uid="{34ACFAFD-9B58-4050-87C1-ABF25AFD09C4}"/>
    <cellStyle name="Normal 6 4 6 6" xfId="5922" xr:uid="{1C828093-A6D2-464E-97D0-AB4D6A4748A1}"/>
    <cellStyle name="Normal 6 4 6 6 2" xfId="11396" xr:uid="{AAB866D4-2BD3-4094-AB1A-1C31AD880170}"/>
    <cellStyle name="Normal 6 4 6 7" xfId="2946" xr:uid="{61549D02-A9D1-4811-A66C-F757C4DF090C}"/>
    <cellStyle name="Normal 6 4 6 8" xfId="6862" xr:uid="{40774CF4-4618-4901-96C3-F79692674013}"/>
    <cellStyle name="Normal 6 4 6 9" xfId="8386" xr:uid="{764B869E-9422-404A-8C9D-10CC21783086}"/>
    <cellStyle name="Normal 6 4 7" xfId="1474" xr:uid="{328CE8EB-5AC5-4AAF-99BC-CB0996DB6D27}"/>
    <cellStyle name="Normal 6 4 7 2" xfId="4198" xr:uid="{0CEC67B1-FD98-4432-931B-E8E7D9ED6081}"/>
    <cellStyle name="Normal 6 4 7 2 2" xfId="9642" xr:uid="{A5E2562E-69DA-4FAC-9E55-95429F62D2D9}"/>
    <cellStyle name="Normal 6 4 7 3" xfId="3188" xr:uid="{9C8B5A77-5321-4822-BC01-03B9B37F08D9}"/>
    <cellStyle name="Normal 6 4 7 4" xfId="7120" xr:uid="{39CC4418-D180-486D-B718-243AFC85ED20}"/>
    <cellStyle name="Normal 6 4 7 5" xfId="8634" xr:uid="{45FCE69E-1588-4D04-84F6-2BA06FD5F131}"/>
    <cellStyle name="Normal 6 4 7 6" xfId="12254" xr:uid="{392B6964-A346-4DB2-9081-9B451C39A71F}"/>
    <cellStyle name="Normal 6 4 7 7" xfId="13999" xr:uid="{3721A091-FF14-4997-8E2D-8EA057EAA711}"/>
    <cellStyle name="Normal 6 4 8" xfId="1982" xr:uid="{8521BF31-823B-42B2-9820-371DBD185144}"/>
    <cellStyle name="Normal 6 4 8 2" xfId="3702" xr:uid="{38EE200A-DFCE-4D10-A897-ADB966D2763E}"/>
    <cellStyle name="Normal 6 4 8 3" xfId="7628" xr:uid="{2FDA3BBE-DB06-45DC-8240-E99F707D0C39}"/>
    <cellStyle name="Normal 6 4 8 4" xfId="9146" xr:uid="{CFE3F2EF-CB26-41E2-B5F0-E0F029379ED7}"/>
    <cellStyle name="Normal 6 4 8 5" xfId="12760" xr:uid="{69E33D06-FA48-4516-ABAB-E894569948A7}"/>
    <cellStyle name="Normal 6 4 8 6" xfId="14505" xr:uid="{AE98AB46-877B-4D54-A5F3-8E98DAE716A3}"/>
    <cellStyle name="Normal 6 4 9" xfId="4698" xr:uid="{20EFC9D2-B8BA-461D-9C34-0A430376355C}"/>
    <cellStyle name="Normal 6 4 9 2" xfId="10144" xr:uid="{BEBAF360-03D3-4E37-9994-D465E83DB940}"/>
    <cellStyle name="Normal 6 5" xfId="962" xr:uid="{A9447D43-C99C-4B76-94FC-69683D6553AF}"/>
    <cellStyle name="Normal 6 5 10" xfId="5176" xr:uid="{D6D53136-8A7E-42DE-875A-36C1781D8E02}"/>
    <cellStyle name="Normal 6 5 10 2" xfId="10648" xr:uid="{E6C91855-F9F8-461E-832E-E9610EF9D6F8}"/>
    <cellStyle name="Normal 6 5 11" xfId="5676" xr:uid="{5EFEBBAB-2DF5-4C6D-99E7-DD002FB2AFC8}"/>
    <cellStyle name="Normal 6 5 11 2" xfId="11150" xr:uid="{2A281D62-E01E-4581-8549-F71DC6C1E769}"/>
    <cellStyle name="Normal 6 5 12" xfId="2718" xr:uid="{538F2D3C-1BD6-466F-8E55-FF320C7B9787}"/>
    <cellStyle name="Normal 6 5 13" xfId="6613" xr:uid="{64EF0AF5-8DE1-4333-BC57-FBF0426A3B50}"/>
    <cellStyle name="Normal 6 5 14" xfId="8140" xr:uid="{411E45D3-F795-46F0-A1DB-19A743B7B255}"/>
    <cellStyle name="Normal 6 5 15" xfId="11750" xr:uid="{167B7E7E-1759-4B5D-802C-FA945FFF8014}"/>
    <cellStyle name="Normal 6 5 16" xfId="13495" xr:uid="{B011B5CF-2E3F-4AF9-9285-98570EC690A0}"/>
    <cellStyle name="Normal 6 5 2" xfId="992" xr:uid="{9FFAB9EA-3B9A-4C33-B65E-80D4FB4EBB96}"/>
    <cellStyle name="Normal 6 5 2 10" xfId="2738" xr:uid="{77AA93FB-2818-4014-B6B0-5A59850E7171}"/>
    <cellStyle name="Normal 6 5 2 11" xfId="6638" xr:uid="{48FE90AC-1CF9-4EAD-9169-AD6F7590F6C7}"/>
    <cellStyle name="Normal 6 5 2 12" xfId="8162" xr:uid="{FBA0817F-8CCD-4A0C-8E80-2A96072B4462}"/>
    <cellStyle name="Normal 6 5 2 13" xfId="11772" xr:uid="{DBD2651A-75BA-418F-9D76-2C543AB09254}"/>
    <cellStyle name="Normal 6 5 2 14" xfId="13517" xr:uid="{7119D1BA-7172-46BA-BC9D-F450525B1AFB}"/>
    <cellStyle name="Normal 6 5 2 2" xfId="1067" xr:uid="{5602CCA3-F087-4C96-B9E0-3961E1226B1C}"/>
    <cellStyle name="Normal 6 5 2 2 10" xfId="6713" xr:uid="{536E3EE0-2450-4B8B-A8E2-6A72F8246AB0}"/>
    <cellStyle name="Normal 6 5 2 2 11" xfId="8237" xr:uid="{E2883319-9EEA-4E06-AD8A-4980D7A144DF}"/>
    <cellStyle name="Normal 6 5 2 2 12" xfId="11847" xr:uid="{2102B016-3CB4-432E-A0FA-0D4E74770FB5}"/>
    <cellStyle name="Normal 6 5 2 2 13" xfId="13592" xr:uid="{3976388D-FBDF-4D92-9F60-0A6012868F69}"/>
    <cellStyle name="Normal 6 5 2 2 2" xfId="1191" xr:uid="{7AFE6989-58BD-4D15-ADA5-BF778DACBD83}"/>
    <cellStyle name="Normal 6 5 2 2 2 10" xfId="8361" xr:uid="{BC1C9494-0F51-44DE-9B6D-6FE8DB9D10E5}"/>
    <cellStyle name="Normal 6 5 2 2 2 11" xfId="11971" xr:uid="{0D2B857D-2DFA-4D52-B549-0B88E8B61D38}"/>
    <cellStyle name="Normal 6 5 2 2 2 12" xfId="13716" xr:uid="{3D260A43-6B51-478F-9A04-424A3C5A5922}"/>
    <cellStyle name="Normal 6 5 2 2 2 2" xfId="1439" xr:uid="{38062761-89CA-41AF-90BC-DA4374CD6204}"/>
    <cellStyle name="Normal 6 5 2 2 2 2 10" xfId="12219" xr:uid="{A0CDA414-D217-451C-A327-2D42B915C9E4}"/>
    <cellStyle name="Normal 6 5 2 2 2 2 11" xfId="13964" xr:uid="{2F174605-600D-4215-A649-133EF902322E}"/>
    <cellStyle name="Normal 6 5 2 2 2 2 2" xfId="1945" xr:uid="{E42620B4-C178-43E4-B7B1-0C0EE00DDBFF}"/>
    <cellStyle name="Normal 6 5 2 2 2 2 2 2" xfId="4667" xr:uid="{F68DE233-5961-4BE2-A2B5-8111E9834A19}"/>
    <cellStyle name="Normal 6 5 2 2 2 2 2 2 2" xfId="10113" xr:uid="{A00636EE-C3C3-440E-8CBF-F342F380939D}"/>
    <cellStyle name="Normal 6 5 2 2 2 2 2 3" xfId="3657" xr:uid="{D65C1430-DF42-4CEB-9F8A-E6907E17BDB5}"/>
    <cellStyle name="Normal 6 5 2 2 2 2 2 4" xfId="7591" xr:uid="{88E895C1-49E4-4326-ACA4-C96C13B1AB8A}"/>
    <cellStyle name="Normal 6 5 2 2 2 2 2 5" xfId="9105" xr:uid="{526D15DA-B9C4-49CC-A420-0A65818C0A47}"/>
    <cellStyle name="Normal 6 5 2 2 2 2 2 6" xfId="12725" xr:uid="{4FCA75EC-6376-4364-918C-549489AD2915}"/>
    <cellStyle name="Normal 6 5 2 2 2 2 2 7" xfId="14470" xr:uid="{4CC09ACD-D05C-410F-944D-DB879F555BAA}"/>
    <cellStyle name="Normal 6 5 2 2 2 2 3" xfId="2453" xr:uid="{35870DC4-25B6-4450-8A32-2D6CE852CECD}"/>
    <cellStyle name="Normal 6 5 2 2 2 2 3 2" xfId="4173" xr:uid="{F67A2297-218F-41AB-B149-8B8A19B07B2C}"/>
    <cellStyle name="Normal 6 5 2 2 2 2 3 3" xfId="8099" xr:uid="{163F7A5D-1FCA-4891-8B82-8D7A7DC5F6EB}"/>
    <cellStyle name="Normal 6 5 2 2 2 2 3 4" xfId="9617" xr:uid="{F54826C9-2D0E-4112-9960-B08E943F0861}"/>
    <cellStyle name="Normal 6 5 2 2 2 2 3 5" xfId="13231" xr:uid="{5DEDC6E9-B9AC-42AF-8CA4-1DBD18550577}"/>
    <cellStyle name="Normal 6 5 2 2 2 2 3 6" xfId="14976" xr:uid="{EB501A4C-0A69-468A-AB76-218AD78B51F5}"/>
    <cellStyle name="Normal 6 5 2 2 2 2 4" xfId="5145" xr:uid="{9F927717-7E93-4F66-8093-6151D03B553A}"/>
    <cellStyle name="Normal 6 5 2 2 2 2 4 2" xfId="10615" xr:uid="{F3F8FBF2-483D-49D4-8383-BC587FD2A669}"/>
    <cellStyle name="Normal 6 5 2 2 2 2 5" xfId="5643" xr:uid="{35A2D246-87F9-4F41-9893-F7F5E1605B4A}"/>
    <cellStyle name="Normal 6 5 2 2 2 2 5 2" xfId="11117" xr:uid="{C93CFE3C-106A-4A66-9210-8ADE21A1B278}"/>
    <cellStyle name="Normal 6 5 2 2 2 2 6" xfId="6145" xr:uid="{868AB707-E606-43E1-95D5-6749949305F8}"/>
    <cellStyle name="Normal 6 5 2 2 2 2 6 2" xfId="11619" xr:uid="{AF5B1D6A-63B2-468E-9266-C1A2291AF483}"/>
    <cellStyle name="Normal 6 5 2 2 2 2 7" xfId="3163" xr:uid="{804FFE15-E8EE-4D25-989B-BB3038AEA16B}"/>
    <cellStyle name="Normal 6 5 2 2 2 2 8" xfId="7085" xr:uid="{776C86A1-3C7B-4722-BF76-C9C754DF91F1}"/>
    <cellStyle name="Normal 6 5 2 2 2 2 9" xfId="8609" xr:uid="{67F06772-A248-4439-90BA-F3C6CA287216}"/>
    <cellStyle name="Normal 6 5 2 2 2 3" xfId="1697" xr:uid="{CD734803-9BDD-428F-81FC-B79069DC223B}"/>
    <cellStyle name="Normal 6 5 2 2 2 3 2" xfId="4419" xr:uid="{91048270-E4A9-4842-92F8-333C88FB3816}"/>
    <cellStyle name="Normal 6 5 2 2 2 3 2 2" xfId="9865" xr:uid="{AC5B5C20-D728-4BBB-ABFE-8AA47D00E481}"/>
    <cellStyle name="Normal 6 5 2 2 2 3 3" xfId="3409" xr:uid="{D22BEEB3-74ED-4578-B64E-7E7BED44DB13}"/>
    <cellStyle name="Normal 6 5 2 2 2 3 4" xfId="7343" xr:uid="{B0C0FD61-7619-4B38-A9BD-6158174D4CF3}"/>
    <cellStyle name="Normal 6 5 2 2 2 3 5" xfId="8857" xr:uid="{617E97B1-9D06-4ADB-BA53-9A1B755F7E8F}"/>
    <cellStyle name="Normal 6 5 2 2 2 3 6" xfId="12477" xr:uid="{6846127B-9DA7-4FBC-B06F-A2CB3E0CDA80}"/>
    <cellStyle name="Normal 6 5 2 2 2 3 7" xfId="14222" xr:uid="{3BBB4F98-BEDC-4BA2-983E-A9D90997AA25}"/>
    <cellStyle name="Normal 6 5 2 2 2 4" xfId="2205" xr:uid="{7F00B818-608B-46C5-97CF-ADFC1669B45E}"/>
    <cellStyle name="Normal 6 5 2 2 2 4 2" xfId="3925" xr:uid="{525B8DCA-BF3B-40CA-B818-33BC84AC53AE}"/>
    <cellStyle name="Normal 6 5 2 2 2 4 3" xfId="7851" xr:uid="{EB6B8021-1F9A-4A46-A495-CD2E754A3E7B}"/>
    <cellStyle name="Normal 6 5 2 2 2 4 4" xfId="9369" xr:uid="{19CDCA3C-52B3-4899-AB0F-387B946E072F}"/>
    <cellStyle name="Normal 6 5 2 2 2 4 5" xfId="12983" xr:uid="{3771084A-7E54-46F2-B0DF-4737FB513E30}"/>
    <cellStyle name="Normal 6 5 2 2 2 4 6" xfId="14728" xr:uid="{FC385AAB-AE23-406D-80F0-2EE187CD1CD6}"/>
    <cellStyle name="Normal 6 5 2 2 2 5" xfId="4905" xr:uid="{1F4D95A9-D045-4B94-BDC3-4FDC82FAE0FC}"/>
    <cellStyle name="Normal 6 5 2 2 2 5 2" xfId="10367" xr:uid="{1E2EE77A-E594-4D11-A727-8B13EB2C824C}"/>
    <cellStyle name="Normal 6 5 2 2 2 6" xfId="5395" xr:uid="{2D77F9FF-FC73-4BBB-880D-FF70037F4FD0}"/>
    <cellStyle name="Normal 6 5 2 2 2 6 2" xfId="10869" xr:uid="{27E820FC-E134-4C78-BE72-88B09331D0F0}"/>
    <cellStyle name="Normal 6 5 2 2 2 7" xfId="5897" xr:uid="{634459B5-7DB1-4425-B9CA-DFDD67245D67}"/>
    <cellStyle name="Normal 6 5 2 2 2 7 2" xfId="11371" xr:uid="{2C6729FB-E2C2-432A-BD5D-CF25F6E6799E}"/>
    <cellStyle name="Normal 6 5 2 2 2 8" xfId="2921" xr:uid="{646ABC55-B97E-4123-AFAC-A0CD07E6F460}"/>
    <cellStyle name="Normal 6 5 2 2 2 9" xfId="6837" xr:uid="{C5611142-5E3C-44FE-BBCC-28A7E89045FD}"/>
    <cellStyle name="Normal 6 5 2 2 3" xfId="1315" xr:uid="{57C0BD2D-A046-4464-978E-6C88E93EA1D4}"/>
    <cellStyle name="Normal 6 5 2 2 3 10" xfId="12095" xr:uid="{0B4CB5C7-7AC6-4401-9E8E-63ECDC3FD41C}"/>
    <cellStyle name="Normal 6 5 2 2 3 11" xfId="13840" xr:uid="{57FA0FCC-C985-43C2-9102-DB04A9607183}"/>
    <cellStyle name="Normal 6 5 2 2 3 2" xfId="1821" xr:uid="{005651BD-1840-46D2-9A79-E88CE2ABBCC8}"/>
    <cellStyle name="Normal 6 5 2 2 3 2 2" xfId="4543" xr:uid="{844D2710-DB8D-49A4-BAAD-0EA2CCC4010B}"/>
    <cellStyle name="Normal 6 5 2 2 3 2 2 2" xfId="9989" xr:uid="{B52D5DE6-FADC-4A50-A8A3-6147250A3E6C}"/>
    <cellStyle name="Normal 6 5 2 2 3 2 3" xfId="3533" xr:uid="{5F24921F-AE70-42F3-AFEE-8F5DEA81A106}"/>
    <cellStyle name="Normal 6 5 2 2 3 2 4" xfId="7467" xr:uid="{FD0A701E-B34F-4178-A91F-BCEAD4C876E6}"/>
    <cellStyle name="Normal 6 5 2 2 3 2 5" xfId="8981" xr:uid="{C936E038-9F94-4040-853E-AE36CC7A8D64}"/>
    <cellStyle name="Normal 6 5 2 2 3 2 6" xfId="12601" xr:uid="{8F321FE3-6301-4940-B3C5-57E799CD6C17}"/>
    <cellStyle name="Normal 6 5 2 2 3 2 7" xfId="14346" xr:uid="{A1B174DB-0D6D-4987-9D78-61D9C6E10D4A}"/>
    <cellStyle name="Normal 6 5 2 2 3 3" xfId="2329" xr:uid="{6BB08AA7-F5F8-4925-945D-D2A390A4FED0}"/>
    <cellStyle name="Normal 6 5 2 2 3 3 2" xfId="4049" xr:uid="{C2C476D8-2DA2-4308-84F7-8E51FF6131BC}"/>
    <cellStyle name="Normal 6 5 2 2 3 3 3" xfId="7975" xr:uid="{819B3C78-A84D-4217-89BA-F9D80240EA83}"/>
    <cellStyle name="Normal 6 5 2 2 3 3 4" xfId="9493" xr:uid="{98624AFB-4000-4212-BE86-0DDBB6423163}"/>
    <cellStyle name="Normal 6 5 2 2 3 3 5" xfId="13107" xr:uid="{76ED8106-D732-4B65-943B-75A49141C0C5}"/>
    <cellStyle name="Normal 6 5 2 2 3 3 6" xfId="14852" xr:uid="{92B748C1-95D2-4182-9341-5BE4201B4AEE}"/>
    <cellStyle name="Normal 6 5 2 2 3 4" xfId="5021" xr:uid="{9A39B362-BDB7-474E-96AB-4CAF275D1532}"/>
    <cellStyle name="Normal 6 5 2 2 3 4 2" xfId="10491" xr:uid="{936626FA-F148-4821-90C6-3B1352DEE41C}"/>
    <cellStyle name="Normal 6 5 2 2 3 5" xfId="5519" xr:uid="{E8DBF258-1BF6-4C0F-B96F-76836EE097B6}"/>
    <cellStyle name="Normal 6 5 2 2 3 5 2" xfId="10993" xr:uid="{9BBD500B-A940-4F9C-B6B0-4EB85C37A066}"/>
    <cellStyle name="Normal 6 5 2 2 3 6" xfId="6021" xr:uid="{67FC5A37-888A-4B55-8BC6-D9905EE9215E}"/>
    <cellStyle name="Normal 6 5 2 2 3 6 2" xfId="11495" xr:uid="{D4A59F2D-17B5-4122-BC32-4A26A8ED62E9}"/>
    <cellStyle name="Normal 6 5 2 2 3 7" xfId="3039" xr:uid="{964AB5D6-D7E4-4E21-87E7-7FA68D04504B}"/>
    <cellStyle name="Normal 6 5 2 2 3 8" xfId="6961" xr:uid="{8B8E8D83-13CE-4A74-B2B3-4044485B9563}"/>
    <cellStyle name="Normal 6 5 2 2 3 9" xfId="8485" xr:uid="{B36C83C6-DCB4-4600-A38C-C1641034B88B}"/>
    <cellStyle name="Normal 6 5 2 2 4" xfId="1573" xr:uid="{AB9B9F65-388A-4FAA-8E72-EFECBF85F1EC}"/>
    <cellStyle name="Normal 6 5 2 2 4 2" xfId="4295" xr:uid="{967FC432-6EA1-4D7B-AB9E-3C450ECE5B58}"/>
    <cellStyle name="Normal 6 5 2 2 4 2 2" xfId="9741" xr:uid="{9438715B-6E65-44D0-A138-D568A38337C3}"/>
    <cellStyle name="Normal 6 5 2 2 4 3" xfId="3285" xr:uid="{F71F9FFA-73CE-42A3-BEED-AED4A9C3AEEC}"/>
    <cellStyle name="Normal 6 5 2 2 4 4" xfId="7219" xr:uid="{7E0D7961-70F7-421E-8B71-3B9D5C318DA2}"/>
    <cellStyle name="Normal 6 5 2 2 4 5" xfId="8733" xr:uid="{E233A802-6181-4AC7-9ADD-95EEC458B80A}"/>
    <cellStyle name="Normal 6 5 2 2 4 6" xfId="12353" xr:uid="{A41F8F63-8A04-4AB6-84FA-FA70BF198EEA}"/>
    <cellStyle name="Normal 6 5 2 2 4 7" xfId="14098" xr:uid="{DD0D25F0-784B-4908-B447-67AE2FA12E7C}"/>
    <cellStyle name="Normal 6 5 2 2 5" xfId="2081" xr:uid="{1A34E2E0-01EB-43BE-B2FF-FA284DC1BFEA}"/>
    <cellStyle name="Normal 6 5 2 2 5 2" xfId="3801" xr:uid="{7329DF42-8187-4940-9E92-00CABDA219C0}"/>
    <cellStyle name="Normal 6 5 2 2 5 3" xfId="7727" xr:uid="{BEF6FA59-5823-4201-B92A-5C65E953B5F5}"/>
    <cellStyle name="Normal 6 5 2 2 5 4" xfId="9245" xr:uid="{36C7E609-1113-4D3C-9D57-59449556D5F9}"/>
    <cellStyle name="Normal 6 5 2 2 5 5" xfId="12859" xr:uid="{814C4DB6-BF04-4E08-A107-FAF307948AD0}"/>
    <cellStyle name="Normal 6 5 2 2 5 6" xfId="14604" xr:uid="{8C534F60-609A-43E8-8B22-02ADA0291E47}"/>
    <cellStyle name="Normal 6 5 2 2 6" xfId="4789" xr:uid="{BC2E202F-8947-448E-BA3E-D6221EE75F31}"/>
    <cellStyle name="Normal 6 5 2 2 6 2" xfId="10243" xr:uid="{7A357443-477F-45EB-909F-354FB940BCB7}"/>
    <cellStyle name="Normal 6 5 2 2 7" xfId="5271" xr:uid="{F1D2C8FA-F491-43CB-BADC-621D6096B5CC}"/>
    <cellStyle name="Normal 6 5 2 2 7 2" xfId="10745" xr:uid="{A892A295-D5EC-469D-9E9C-68D4139A772A}"/>
    <cellStyle name="Normal 6 5 2 2 8" xfId="5773" xr:uid="{ABFDC0B3-5130-4E56-80E3-EAF288ACD63F}"/>
    <cellStyle name="Normal 6 5 2 2 8 2" xfId="11247" xr:uid="{4477EA9A-5A09-40FF-8088-7A7607250ED6}"/>
    <cellStyle name="Normal 6 5 2 2 9" xfId="2805" xr:uid="{F868474B-26D4-496E-9374-25042BD65129}"/>
    <cellStyle name="Normal 6 5 2 3" xfId="1116" xr:uid="{C0BDB820-F8DD-4D96-A742-00A403FB2A81}"/>
    <cellStyle name="Normal 6 5 2 3 10" xfId="8286" xr:uid="{04227E4A-A36F-4C72-BBB0-BD7EF8E824FA}"/>
    <cellStyle name="Normal 6 5 2 3 11" xfId="11896" xr:uid="{AD2698B0-72A7-4B52-B7E3-851D4425E488}"/>
    <cellStyle name="Normal 6 5 2 3 12" xfId="13641" xr:uid="{6DB973AA-BF1D-4A94-8ED5-D753DF35D033}"/>
    <cellStyle name="Normal 6 5 2 3 2" xfId="1364" xr:uid="{DAA618C4-9C7C-42D1-9DB9-B5331F45896D}"/>
    <cellStyle name="Normal 6 5 2 3 2 10" xfId="12144" xr:uid="{80E1285E-8D8A-4E41-9CB0-F2492CAC046E}"/>
    <cellStyle name="Normal 6 5 2 3 2 11" xfId="13889" xr:uid="{662B709F-8BDD-4429-975B-FCDEE0FACA3D}"/>
    <cellStyle name="Normal 6 5 2 3 2 2" xfId="1870" xr:uid="{156FC5C0-9A34-44FE-A584-728FA6B12ADE}"/>
    <cellStyle name="Normal 6 5 2 3 2 2 2" xfId="4592" xr:uid="{9D9C02E8-9F4D-46B2-B6F1-FD84AACF906D}"/>
    <cellStyle name="Normal 6 5 2 3 2 2 2 2" xfId="10038" xr:uid="{A6F56708-C650-4DB4-95C6-0332D5D474A6}"/>
    <cellStyle name="Normal 6 5 2 3 2 2 3" xfId="3582" xr:uid="{8F8FB289-2440-4F9D-B908-7102DA3F7CB4}"/>
    <cellStyle name="Normal 6 5 2 3 2 2 4" xfId="7516" xr:uid="{C4D4487F-2459-44DF-BCA3-8982C92DFBCB}"/>
    <cellStyle name="Normal 6 5 2 3 2 2 5" xfId="9030" xr:uid="{86C7798A-133C-4D58-A649-06F6C8F99562}"/>
    <cellStyle name="Normal 6 5 2 3 2 2 6" xfId="12650" xr:uid="{29AD2E6E-B4DA-43B0-ACA1-AC11DA190D1D}"/>
    <cellStyle name="Normal 6 5 2 3 2 2 7" xfId="14395" xr:uid="{B7065A49-0C85-48F0-8D35-68A2C4566F33}"/>
    <cellStyle name="Normal 6 5 2 3 2 3" xfId="2378" xr:uid="{1C1CC351-213C-44BD-9C3F-E3288855B37C}"/>
    <cellStyle name="Normal 6 5 2 3 2 3 2" xfId="4098" xr:uid="{E7802828-8F2F-41B1-8086-2BAEB52AB500}"/>
    <cellStyle name="Normal 6 5 2 3 2 3 3" xfId="8024" xr:uid="{26D807BD-3157-4039-BFB5-EC9F9CCD2716}"/>
    <cellStyle name="Normal 6 5 2 3 2 3 4" xfId="9542" xr:uid="{C1A10A08-D4FD-4F4A-A9A2-7F51B5732606}"/>
    <cellStyle name="Normal 6 5 2 3 2 3 5" xfId="13156" xr:uid="{BA4AC243-677B-4F09-BDC9-4109D12792D2}"/>
    <cellStyle name="Normal 6 5 2 3 2 3 6" xfId="14901" xr:uid="{706B3BEE-E578-475E-9568-40C468832CB1}"/>
    <cellStyle name="Normal 6 5 2 3 2 4" xfId="5070" xr:uid="{8BF6918C-34D1-460D-94F9-109BEEB8A6E2}"/>
    <cellStyle name="Normal 6 5 2 3 2 4 2" xfId="10540" xr:uid="{9B09C701-C89C-4FC3-8A38-D2B02A03334A}"/>
    <cellStyle name="Normal 6 5 2 3 2 5" xfId="5568" xr:uid="{63281576-4BEE-45D5-9D4A-FD3DF68D704E}"/>
    <cellStyle name="Normal 6 5 2 3 2 5 2" xfId="11042" xr:uid="{69F49B2A-1423-4E1C-9A2B-5165EC531D18}"/>
    <cellStyle name="Normal 6 5 2 3 2 6" xfId="6070" xr:uid="{E7D8D010-FCBA-4EC3-9397-105EA2846AE8}"/>
    <cellStyle name="Normal 6 5 2 3 2 6 2" xfId="11544" xr:uid="{B6E69FF5-50EB-40E6-BB1C-1DB4A2BCF34B}"/>
    <cellStyle name="Normal 6 5 2 3 2 7" xfId="3088" xr:uid="{A79FB769-51AC-43B8-A49F-1D0FABB9573E}"/>
    <cellStyle name="Normal 6 5 2 3 2 8" xfId="7010" xr:uid="{6D6E645C-AA99-4489-A4F3-C07A98D2E44D}"/>
    <cellStyle name="Normal 6 5 2 3 2 9" xfId="8534" xr:uid="{30E5AF59-D75E-4C8D-8AD3-59B617E41540}"/>
    <cellStyle name="Normal 6 5 2 3 3" xfId="1622" xr:uid="{ECFAE2D8-CFA2-4DCF-AF51-7BE5412732BF}"/>
    <cellStyle name="Normal 6 5 2 3 3 2" xfId="4344" xr:uid="{1169AD1C-BD85-412F-8613-50DC662067DF}"/>
    <cellStyle name="Normal 6 5 2 3 3 2 2" xfId="9790" xr:uid="{C9CDF1F3-BAD5-402A-BA7F-CB38310FDE53}"/>
    <cellStyle name="Normal 6 5 2 3 3 3" xfId="3334" xr:uid="{877213B5-4D4B-46C5-A178-88CCA7D7FA4A}"/>
    <cellStyle name="Normal 6 5 2 3 3 4" xfId="7268" xr:uid="{2319F517-7639-4B3B-852C-1DF44FC4A2E7}"/>
    <cellStyle name="Normal 6 5 2 3 3 5" xfId="8782" xr:uid="{F9C897A7-7448-43A9-A5CE-5882282381A3}"/>
    <cellStyle name="Normal 6 5 2 3 3 6" xfId="12402" xr:uid="{0968CBF2-490E-477C-9E90-348A5289A8ED}"/>
    <cellStyle name="Normal 6 5 2 3 3 7" xfId="14147" xr:uid="{287D92AB-8032-432A-BFAA-17AD08571402}"/>
    <cellStyle name="Normal 6 5 2 3 4" xfId="2130" xr:uid="{18E682D7-D065-4580-A6D8-8A3C7C24EC87}"/>
    <cellStyle name="Normal 6 5 2 3 4 2" xfId="3850" xr:uid="{6EE62468-7DDD-4904-A903-3EE524CB690E}"/>
    <cellStyle name="Normal 6 5 2 3 4 3" xfId="7776" xr:uid="{487317A1-DF51-440E-A9E7-3AABF54F5E5F}"/>
    <cellStyle name="Normal 6 5 2 3 4 4" xfId="9294" xr:uid="{CFA042F5-A8ED-4611-BA27-605488B344D9}"/>
    <cellStyle name="Normal 6 5 2 3 4 5" xfId="12908" xr:uid="{714EFCD4-FE3C-42EE-B2B1-DB1D17B493B6}"/>
    <cellStyle name="Normal 6 5 2 3 4 6" xfId="14653" xr:uid="{25770164-1842-4B0F-A879-358268E8690C}"/>
    <cellStyle name="Normal 6 5 2 3 5" xfId="4834" xr:uid="{CDD4B384-A9B4-4C1C-954B-ADD78E35383F}"/>
    <cellStyle name="Normal 6 5 2 3 5 2" xfId="10292" xr:uid="{02ED4CF2-D6C3-47B6-A5B5-BDF44F72F354}"/>
    <cellStyle name="Normal 6 5 2 3 6" xfId="5320" xr:uid="{9F9388EE-0B99-4FF2-A397-11E38BB7E949}"/>
    <cellStyle name="Normal 6 5 2 3 6 2" xfId="10794" xr:uid="{832FDE63-C810-4661-8820-305086C9434B}"/>
    <cellStyle name="Normal 6 5 2 3 7" xfId="5822" xr:uid="{8C1302F6-C835-4216-ABC6-BAAB57361ED4}"/>
    <cellStyle name="Normal 6 5 2 3 7 2" xfId="11296" xr:uid="{3B744BC5-FBDA-4AB3-83FF-99A4DC51FDD9}"/>
    <cellStyle name="Normal 6 5 2 3 8" xfId="2850" xr:uid="{E247AD9B-3289-40EE-A5F0-1E0D0AEF0B05}"/>
    <cellStyle name="Normal 6 5 2 3 9" xfId="6762" xr:uid="{A87CE770-67A5-4600-949E-423BA0ABCDEF}"/>
    <cellStyle name="Normal 6 5 2 4" xfId="1240" xr:uid="{530299EC-2A0C-408E-A66A-7CE2FA7035AE}"/>
    <cellStyle name="Normal 6 5 2 4 10" xfId="12020" xr:uid="{A62AECB8-5606-45D8-AD22-B056EC02EEC0}"/>
    <cellStyle name="Normal 6 5 2 4 11" xfId="13765" xr:uid="{A51B55AE-D4B6-4D2A-8C3A-445CB6075FF7}"/>
    <cellStyle name="Normal 6 5 2 4 2" xfId="1746" xr:uid="{A02ECD8F-D581-4C84-A032-D7F149927B63}"/>
    <cellStyle name="Normal 6 5 2 4 2 2" xfId="4468" xr:uid="{98BD3C93-F87D-41B9-BF3D-E94AC7EB0E0E}"/>
    <cellStyle name="Normal 6 5 2 4 2 2 2" xfId="9914" xr:uid="{B5325E25-D688-4797-8481-6CF96EF3D1EE}"/>
    <cellStyle name="Normal 6 5 2 4 2 3" xfId="3458" xr:uid="{4928A98F-AB2D-428F-BD91-5A44E2091702}"/>
    <cellStyle name="Normal 6 5 2 4 2 4" xfId="7392" xr:uid="{ED753856-DFAA-400F-85F4-9AFE3819256C}"/>
    <cellStyle name="Normal 6 5 2 4 2 5" xfId="8906" xr:uid="{E538C928-14FB-48BB-A8AE-02E8ECA072F7}"/>
    <cellStyle name="Normal 6 5 2 4 2 6" xfId="12526" xr:uid="{AA140A42-55E4-42EE-95BF-40A6EF52E858}"/>
    <cellStyle name="Normal 6 5 2 4 2 7" xfId="14271" xr:uid="{C2235D81-ED08-41B7-9A5B-C5F9558BD4C6}"/>
    <cellStyle name="Normal 6 5 2 4 3" xfId="2254" xr:uid="{3DD49E7A-E230-49B5-86E1-25A48C46DB3E}"/>
    <cellStyle name="Normal 6 5 2 4 3 2" xfId="3974" xr:uid="{D7853503-C94D-47C8-909D-2632500E1B0A}"/>
    <cellStyle name="Normal 6 5 2 4 3 3" xfId="7900" xr:uid="{ECBC8FC4-412B-466C-8276-09D9A9663AAE}"/>
    <cellStyle name="Normal 6 5 2 4 3 4" xfId="9418" xr:uid="{6E54D154-EE2A-43FE-A727-E608DD13A2AA}"/>
    <cellStyle name="Normal 6 5 2 4 3 5" xfId="13032" xr:uid="{3FF02600-875F-4DD5-AD23-26655302C600}"/>
    <cellStyle name="Normal 6 5 2 4 3 6" xfId="14777" xr:uid="{D1C57483-D484-47A1-BFEE-91FFABCD3C86}"/>
    <cellStyle name="Normal 6 5 2 4 4" xfId="4950" xr:uid="{717AEEC4-BB46-4F1C-871C-57A77F61AC96}"/>
    <cellStyle name="Normal 6 5 2 4 4 2" xfId="10416" xr:uid="{C0037397-18AB-4C26-BED5-C166734FBB85}"/>
    <cellStyle name="Normal 6 5 2 4 5" xfId="5444" xr:uid="{CA701299-82AD-4E54-9FF9-EAC6B0D011A6}"/>
    <cellStyle name="Normal 6 5 2 4 5 2" xfId="10918" xr:uid="{45D9EE0D-9159-43D4-B834-0DA182045FB3}"/>
    <cellStyle name="Normal 6 5 2 4 6" xfId="5946" xr:uid="{B1D847C4-7BF8-4242-943C-7E2E96B30033}"/>
    <cellStyle name="Normal 6 5 2 4 6 2" xfId="11420" xr:uid="{548CA0BC-9B2E-46DA-99B4-8DC712ED9D58}"/>
    <cellStyle name="Normal 6 5 2 4 7" xfId="2968" xr:uid="{8ED27DD4-9AFB-4E1C-91A5-A76F0F89FA75}"/>
    <cellStyle name="Normal 6 5 2 4 8" xfId="6886" xr:uid="{2B76AEAF-B057-468F-88E3-36F3336B4406}"/>
    <cellStyle name="Normal 6 5 2 4 9" xfId="8410" xr:uid="{DB9BC687-4560-4F52-85DC-458A7CA988D4}"/>
    <cellStyle name="Normal 6 5 2 5" xfId="1498" xr:uid="{008FB570-E494-456F-BDD6-4F23FB444AE0}"/>
    <cellStyle name="Normal 6 5 2 5 2" xfId="4222" xr:uid="{00D249BF-E191-4F18-8DC0-EEEB9E9B338A}"/>
    <cellStyle name="Normal 6 5 2 5 2 2" xfId="9666" xr:uid="{F9C7B775-482D-41C3-B2FF-752DC300029C}"/>
    <cellStyle name="Normal 6 5 2 5 3" xfId="3212" xr:uid="{9252964A-EB03-4BDE-9656-8E3EB9116FAD}"/>
    <cellStyle name="Normal 6 5 2 5 4" xfId="7144" xr:uid="{B21427E4-9029-4A4E-A0FE-1C0D2EBBB7BF}"/>
    <cellStyle name="Normal 6 5 2 5 5" xfId="8658" xr:uid="{296F3106-8021-483F-9A35-E6FD7978EAAB}"/>
    <cellStyle name="Normal 6 5 2 5 6" xfId="12278" xr:uid="{296C01F3-32EE-4FEC-90DF-3FF17C7ECDC8}"/>
    <cellStyle name="Normal 6 5 2 5 7" xfId="14023" xr:uid="{DB8064DF-6916-417A-976C-759079F74DB3}"/>
    <cellStyle name="Normal 6 5 2 6" xfId="2006" xr:uid="{BD113247-9B06-4D75-A23B-5F004CC22E15}"/>
    <cellStyle name="Normal 6 5 2 6 2" xfId="3726" xr:uid="{6C0AF0B2-EE3E-44B9-A803-6CEB2D1E112B}"/>
    <cellStyle name="Normal 6 5 2 6 3" xfId="7652" xr:uid="{EA609835-1690-48E9-9C7A-A346DA0B7238}"/>
    <cellStyle name="Normal 6 5 2 6 4" xfId="9170" xr:uid="{32C91F65-5211-4D2F-B4A1-E9B6347BD7C4}"/>
    <cellStyle name="Normal 6 5 2 6 5" xfId="12784" xr:uid="{08B326E6-A2E9-4BCE-8DEB-61B5E71C4BA5}"/>
    <cellStyle name="Normal 6 5 2 6 6" xfId="14529" xr:uid="{FD37E186-E258-4374-89AC-A75316BF0460}"/>
    <cellStyle name="Normal 6 5 2 7" xfId="4722" xr:uid="{53C7B7E5-81F5-46E9-95A6-302F24F926E6}"/>
    <cellStyle name="Normal 6 5 2 7 2" xfId="10168" xr:uid="{36168B9B-885B-4532-BEF5-BC629431FBF6}"/>
    <cellStyle name="Normal 6 5 2 8" xfId="5196" xr:uid="{73ADF535-3C45-4457-9584-679140F91523}"/>
    <cellStyle name="Normal 6 5 2 8 2" xfId="10670" xr:uid="{8FBA136A-BF3D-4D36-993F-827745EB9530}"/>
    <cellStyle name="Normal 6 5 2 9" xfId="5698" xr:uid="{233D6AAA-D765-45D6-9619-B2540E31E36D}"/>
    <cellStyle name="Normal 6 5 2 9 2" xfId="11172" xr:uid="{F3CE3091-B6B2-4814-850D-1960CE684B63}"/>
    <cellStyle name="Normal 6 5 3" xfId="1012" xr:uid="{223A5B50-C645-4706-B007-391176DD09DD}"/>
    <cellStyle name="Normal 6 5 3 10" xfId="2756" xr:uid="{7BA4C302-4518-4B61-BFEC-272F41F26A19}"/>
    <cellStyle name="Normal 6 5 3 11" xfId="6658" xr:uid="{CC74A8DD-CACA-4967-899C-B8461514229C}"/>
    <cellStyle name="Normal 6 5 3 12" xfId="8182" xr:uid="{9E8109B1-AE7C-4F4E-BF9F-93CEB4AC3E00}"/>
    <cellStyle name="Normal 6 5 3 13" xfId="11792" xr:uid="{2033A84B-AE59-4BD3-9708-01E54F71EB2F}"/>
    <cellStyle name="Normal 6 5 3 14" xfId="13537" xr:uid="{2C294E3C-511D-4428-AAC8-A1E05F5DC26A}"/>
    <cellStyle name="Normal 6 5 3 2" xfId="1068" xr:uid="{7464FBC6-A96E-4E30-86E6-468334989074}"/>
    <cellStyle name="Normal 6 5 3 2 10" xfId="6714" xr:uid="{3779987D-299C-47C3-BC85-D0CF353D87B9}"/>
    <cellStyle name="Normal 6 5 3 2 11" xfId="8238" xr:uid="{ABE20A44-6F1F-4996-9DB1-6366B5CECFAB}"/>
    <cellStyle name="Normal 6 5 3 2 12" xfId="11848" xr:uid="{EEDFD902-DEF2-4240-AB76-96E89B3D6144}"/>
    <cellStyle name="Normal 6 5 3 2 13" xfId="13593" xr:uid="{4155ECB2-38FC-448A-B40B-9C5949B7C505}"/>
    <cellStyle name="Normal 6 5 3 2 2" xfId="1192" xr:uid="{B157E00A-F6C8-4F17-84CE-118855321B18}"/>
    <cellStyle name="Normal 6 5 3 2 2 10" xfId="8362" xr:uid="{DBD16B0F-6541-4F93-8066-65F796AE30E7}"/>
    <cellStyle name="Normal 6 5 3 2 2 11" xfId="11972" xr:uid="{65FE9319-83AD-4608-BAA5-C638D488C80F}"/>
    <cellStyle name="Normal 6 5 3 2 2 12" xfId="13717" xr:uid="{A077C20D-8E24-4041-9C8F-B534B6E24910}"/>
    <cellStyle name="Normal 6 5 3 2 2 2" xfId="1440" xr:uid="{D17BC5C6-821A-4092-88C3-CBD26A259A91}"/>
    <cellStyle name="Normal 6 5 3 2 2 2 10" xfId="12220" xr:uid="{589CE58A-5552-4114-AFDF-72B0DDD992C4}"/>
    <cellStyle name="Normal 6 5 3 2 2 2 11" xfId="13965" xr:uid="{F870D4A6-0E0E-454B-8DD9-1FC7384C336B}"/>
    <cellStyle name="Normal 6 5 3 2 2 2 2" xfId="1946" xr:uid="{4834C969-18CE-4765-8CC9-4FCCB519031E}"/>
    <cellStyle name="Normal 6 5 3 2 2 2 2 2" xfId="4668" xr:uid="{ED58A009-7838-4217-9675-D52AE84F82CF}"/>
    <cellStyle name="Normal 6 5 3 2 2 2 2 2 2" xfId="10114" xr:uid="{EA511892-D902-4A89-A46F-D45DFFED84B0}"/>
    <cellStyle name="Normal 6 5 3 2 2 2 2 3" xfId="3658" xr:uid="{CDDA1587-29C3-4000-809E-773813C952F9}"/>
    <cellStyle name="Normal 6 5 3 2 2 2 2 4" xfId="7592" xr:uid="{FA0CE4E2-8C02-4D19-ADE3-379E06CD9229}"/>
    <cellStyle name="Normal 6 5 3 2 2 2 2 5" xfId="9106" xr:uid="{993DFB4A-6359-4769-B0F9-FF18F6E7A24B}"/>
    <cellStyle name="Normal 6 5 3 2 2 2 2 6" xfId="12726" xr:uid="{ABE6858C-AF5F-4C4E-8C63-B45C05DC59E3}"/>
    <cellStyle name="Normal 6 5 3 2 2 2 2 7" xfId="14471" xr:uid="{207EF13F-D48C-4277-A84B-82AB13828B66}"/>
    <cellStyle name="Normal 6 5 3 2 2 2 3" xfId="2454" xr:uid="{B397CC2D-CD98-46ED-AA07-8CCB51563746}"/>
    <cellStyle name="Normal 6 5 3 2 2 2 3 2" xfId="4174" xr:uid="{E196E356-8203-4947-A2E8-E586A59E2078}"/>
    <cellStyle name="Normal 6 5 3 2 2 2 3 3" xfId="8100" xr:uid="{5DD33CCC-4EA4-4768-9D38-D6914D8A2822}"/>
    <cellStyle name="Normal 6 5 3 2 2 2 3 4" xfId="9618" xr:uid="{C22332F2-B210-4387-BF14-A7365ABA2B42}"/>
    <cellStyle name="Normal 6 5 3 2 2 2 3 5" xfId="13232" xr:uid="{85F2B80E-F876-4983-AB0D-1DA15D91656A}"/>
    <cellStyle name="Normal 6 5 3 2 2 2 3 6" xfId="14977" xr:uid="{61122205-0642-4B8F-B2CD-C8200CAA15C7}"/>
    <cellStyle name="Normal 6 5 3 2 2 2 4" xfId="5146" xr:uid="{299C82D2-7828-4EAE-B504-14A3535EFB13}"/>
    <cellStyle name="Normal 6 5 3 2 2 2 4 2" xfId="10616" xr:uid="{3B199856-D807-4005-A103-221A60A84C65}"/>
    <cellStyle name="Normal 6 5 3 2 2 2 5" xfId="5644" xr:uid="{CB9A272A-9540-4904-BC38-52E578F5A589}"/>
    <cellStyle name="Normal 6 5 3 2 2 2 5 2" xfId="11118" xr:uid="{545FE0A3-36D5-4D21-88ED-B483DA131B47}"/>
    <cellStyle name="Normal 6 5 3 2 2 2 6" xfId="6146" xr:uid="{2FF6696D-26F5-4F60-B9CB-62CF92FB6D07}"/>
    <cellStyle name="Normal 6 5 3 2 2 2 6 2" xfId="11620" xr:uid="{FAC4C27E-C68A-48BD-B26D-BB0D3CC53EEF}"/>
    <cellStyle name="Normal 6 5 3 2 2 2 7" xfId="3164" xr:uid="{7C315A31-8A1B-4506-BC3E-459B88E301F7}"/>
    <cellStyle name="Normal 6 5 3 2 2 2 8" xfId="7086" xr:uid="{CE5445B1-DA0B-4122-B7C2-B7CFE12FDA91}"/>
    <cellStyle name="Normal 6 5 3 2 2 2 9" xfId="8610" xr:uid="{1B3ECA14-17B7-4B0A-A94D-55A266713F1C}"/>
    <cellStyle name="Normal 6 5 3 2 2 3" xfId="1698" xr:uid="{998D56FD-26B2-4FB3-9EF1-DE2A13832431}"/>
    <cellStyle name="Normal 6 5 3 2 2 3 2" xfId="4420" xr:uid="{3D341EC0-B39E-4F37-9493-B1DF9FBB5CDC}"/>
    <cellStyle name="Normal 6 5 3 2 2 3 2 2" xfId="9866" xr:uid="{14673578-F6EB-419D-9022-68B959FC2CC8}"/>
    <cellStyle name="Normal 6 5 3 2 2 3 3" xfId="3410" xr:uid="{50F97D34-341F-42F2-88C4-F0941DF78E2A}"/>
    <cellStyle name="Normal 6 5 3 2 2 3 4" xfId="7344" xr:uid="{3AD69B1F-B3C0-49F1-BAB2-51B376BBEAD0}"/>
    <cellStyle name="Normal 6 5 3 2 2 3 5" xfId="8858" xr:uid="{A8B948C4-63FF-4A7A-B753-B2E92B7484EA}"/>
    <cellStyle name="Normal 6 5 3 2 2 3 6" xfId="12478" xr:uid="{3B568CD2-6B69-4F8F-862B-55174EB90636}"/>
    <cellStyle name="Normal 6 5 3 2 2 3 7" xfId="14223" xr:uid="{4CCC2BC4-3F49-4D4B-9F14-C5A8B285E772}"/>
    <cellStyle name="Normal 6 5 3 2 2 4" xfId="2206" xr:uid="{125F5EF4-2159-4F9C-B457-AA156274E204}"/>
    <cellStyle name="Normal 6 5 3 2 2 4 2" xfId="3926" xr:uid="{4CA6A253-DB8A-4F53-B948-E1A96ED0D78C}"/>
    <cellStyle name="Normal 6 5 3 2 2 4 3" xfId="7852" xr:uid="{7F72E2D3-6966-47BE-8A00-370585DD982C}"/>
    <cellStyle name="Normal 6 5 3 2 2 4 4" xfId="9370" xr:uid="{17CA04C1-19DC-41BF-9150-DF32544EDB22}"/>
    <cellStyle name="Normal 6 5 3 2 2 4 5" xfId="12984" xr:uid="{AE2CA47A-7E41-45C1-A40B-D20EAC60DAD3}"/>
    <cellStyle name="Normal 6 5 3 2 2 4 6" xfId="14729" xr:uid="{239748C2-5B22-4FE6-AFFF-B11BF03D5F6B}"/>
    <cellStyle name="Normal 6 5 3 2 2 5" xfId="4906" xr:uid="{63ACDF54-15E0-4F3A-BB4F-1ECD7E33F8BF}"/>
    <cellStyle name="Normal 6 5 3 2 2 5 2" xfId="10368" xr:uid="{5763BDC9-3646-4BC4-B130-8A1044BE0298}"/>
    <cellStyle name="Normal 6 5 3 2 2 6" xfId="5396" xr:uid="{3CDE2000-7C6F-4F7D-8527-5BF5CF12E9EB}"/>
    <cellStyle name="Normal 6 5 3 2 2 6 2" xfId="10870" xr:uid="{92325EF3-E365-4CA6-A585-7837DB26E780}"/>
    <cellStyle name="Normal 6 5 3 2 2 7" xfId="5898" xr:uid="{EA73887D-73C1-48BA-812D-57B191ED1370}"/>
    <cellStyle name="Normal 6 5 3 2 2 7 2" xfId="11372" xr:uid="{DCC9FB7B-723B-4258-9C65-5746A468EDCF}"/>
    <cellStyle name="Normal 6 5 3 2 2 8" xfId="2922" xr:uid="{9C61DF1B-81C4-4AA9-A3DD-3A6C1666C427}"/>
    <cellStyle name="Normal 6 5 3 2 2 9" xfId="6838" xr:uid="{4778E76A-341C-4FDF-93A4-B2A8E748EF54}"/>
    <cellStyle name="Normal 6 5 3 2 3" xfId="1316" xr:uid="{A456B3C1-6EEB-4BEE-81DD-144E4972AEFF}"/>
    <cellStyle name="Normal 6 5 3 2 3 10" xfId="12096" xr:uid="{86CF4BF6-26D9-430F-90DC-1D16D687F600}"/>
    <cellStyle name="Normal 6 5 3 2 3 11" xfId="13841" xr:uid="{B87E7BCF-0433-4AEC-AF04-0C02EC2BA70E}"/>
    <cellStyle name="Normal 6 5 3 2 3 2" xfId="1822" xr:uid="{F3A8A53B-3B02-4A2F-92D1-E76FB0C07F57}"/>
    <cellStyle name="Normal 6 5 3 2 3 2 2" xfId="4544" xr:uid="{55930BED-A078-4F48-9275-185B8FD0E161}"/>
    <cellStyle name="Normal 6 5 3 2 3 2 2 2" xfId="9990" xr:uid="{70C63032-3C71-4E99-9D46-EE9945B51D42}"/>
    <cellStyle name="Normal 6 5 3 2 3 2 3" xfId="3534" xr:uid="{5DED823E-9865-43E8-803C-69A75B918096}"/>
    <cellStyle name="Normal 6 5 3 2 3 2 4" xfId="7468" xr:uid="{3AB0EDE4-86EE-4996-84E4-5F5A171BF66A}"/>
    <cellStyle name="Normal 6 5 3 2 3 2 5" xfId="8982" xr:uid="{EB6C262C-0E11-4C24-A46B-95E651929821}"/>
    <cellStyle name="Normal 6 5 3 2 3 2 6" xfId="12602" xr:uid="{3965F3D6-F600-4C00-84DC-A4071F1CA224}"/>
    <cellStyle name="Normal 6 5 3 2 3 2 7" xfId="14347" xr:uid="{1C809287-484A-4648-A45D-351824F5FBBA}"/>
    <cellStyle name="Normal 6 5 3 2 3 3" xfId="2330" xr:uid="{927273F0-E9C9-42C1-B269-6EA57204EBEB}"/>
    <cellStyle name="Normal 6 5 3 2 3 3 2" xfId="4050" xr:uid="{44A49A96-2017-4753-B2C5-CCD743B18C19}"/>
    <cellStyle name="Normal 6 5 3 2 3 3 3" xfId="7976" xr:uid="{CCEEE4AE-41DB-45F6-913F-743745FE7852}"/>
    <cellStyle name="Normal 6 5 3 2 3 3 4" xfId="9494" xr:uid="{BBA1FF2D-67CC-40EC-9F44-D74DDF8F41AA}"/>
    <cellStyle name="Normal 6 5 3 2 3 3 5" xfId="13108" xr:uid="{C4A5B399-6431-4FA9-8DA9-9A554AE2EC0A}"/>
    <cellStyle name="Normal 6 5 3 2 3 3 6" xfId="14853" xr:uid="{8898D22E-0D63-462D-B5CB-280D38DDC24A}"/>
    <cellStyle name="Normal 6 5 3 2 3 4" xfId="5022" xr:uid="{8D2677C5-0CD9-49B1-926D-08D37E2C4F3B}"/>
    <cellStyle name="Normal 6 5 3 2 3 4 2" xfId="10492" xr:uid="{52C12D0C-7DFC-4D9A-A693-A45B09E15BDA}"/>
    <cellStyle name="Normal 6 5 3 2 3 5" xfId="5520" xr:uid="{16469ACB-AB59-4D44-84C9-3B5D6A48FF7A}"/>
    <cellStyle name="Normal 6 5 3 2 3 5 2" xfId="10994" xr:uid="{43A1CC15-B774-4810-8EC2-EA695B0675D7}"/>
    <cellStyle name="Normal 6 5 3 2 3 6" xfId="6022" xr:uid="{36F15BC1-118C-4ADF-ACE4-93F871C9B823}"/>
    <cellStyle name="Normal 6 5 3 2 3 6 2" xfId="11496" xr:uid="{BD9CEA81-1719-4C0B-A4FD-9576E33E9E2A}"/>
    <cellStyle name="Normal 6 5 3 2 3 7" xfId="3040" xr:uid="{EA62A51C-169B-4E00-BBE2-565EAE6A0DDB}"/>
    <cellStyle name="Normal 6 5 3 2 3 8" xfId="6962" xr:uid="{FB68F620-859B-4274-A9F4-80B41BF8C397}"/>
    <cellStyle name="Normal 6 5 3 2 3 9" xfId="8486" xr:uid="{6B5ADA59-9A31-4FE0-A2E4-092AD7DDC32D}"/>
    <cellStyle name="Normal 6 5 3 2 4" xfId="1574" xr:uid="{471EB239-2DC8-4572-87FD-CC385F4FBE6D}"/>
    <cellStyle name="Normal 6 5 3 2 4 2" xfId="4296" xr:uid="{1A4DD022-4345-4D65-A1C3-9FDAAD1CC100}"/>
    <cellStyle name="Normal 6 5 3 2 4 2 2" xfId="9742" xr:uid="{B465E32E-9B37-4130-A8CB-C285B4052AFF}"/>
    <cellStyle name="Normal 6 5 3 2 4 3" xfId="3286" xr:uid="{7D3A3CCA-73EE-4970-A71F-2C7FCB7CF6DB}"/>
    <cellStyle name="Normal 6 5 3 2 4 4" xfId="7220" xr:uid="{64E450DB-DE3F-4B79-823F-DD176EA7C1A6}"/>
    <cellStyle name="Normal 6 5 3 2 4 5" xfId="8734" xr:uid="{3F74D7DA-074D-4BCC-9DC7-19054B21CAFF}"/>
    <cellStyle name="Normal 6 5 3 2 4 6" xfId="12354" xr:uid="{089E76C8-BCF7-4FB9-8BBF-B859A0699DEE}"/>
    <cellStyle name="Normal 6 5 3 2 4 7" xfId="14099" xr:uid="{7B1C78C1-3909-4974-B7F6-F384B9CDDB09}"/>
    <cellStyle name="Normal 6 5 3 2 5" xfId="2082" xr:uid="{08F13E2F-C0C0-407B-BBC5-5B5A2FF0ECF5}"/>
    <cellStyle name="Normal 6 5 3 2 5 2" xfId="3802" xr:uid="{1B303BC5-B21F-4FAD-A277-5DBF349C9B09}"/>
    <cellStyle name="Normal 6 5 3 2 5 3" xfId="7728" xr:uid="{D67C3445-3332-4A31-8DD2-0F1A5F462CB7}"/>
    <cellStyle name="Normal 6 5 3 2 5 4" xfId="9246" xr:uid="{8C50F1CE-0DE2-49E6-9CB4-E022FCE69C17}"/>
    <cellStyle name="Normal 6 5 3 2 5 5" xfId="12860" xr:uid="{1C5CFE19-EE99-4C25-9D78-81A40DF15BCA}"/>
    <cellStyle name="Normal 6 5 3 2 5 6" xfId="14605" xr:uid="{3233CC0F-3635-473F-B0E4-53E72F38A460}"/>
    <cellStyle name="Normal 6 5 3 2 6" xfId="4790" xr:uid="{473E08F8-E133-44FE-9D75-3CABE2F3A459}"/>
    <cellStyle name="Normal 6 5 3 2 6 2" xfId="10244" xr:uid="{4A9F3C60-A1DD-4235-8066-160EF453BBDE}"/>
    <cellStyle name="Normal 6 5 3 2 7" xfId="5272" xr:uid="{2D4E43E7-1F20-4A2B-9B65-6C4766C35968}"/>
    <cellStyle name="Normal 6 5 3 2 7 2" xfId="10746" xr:uid="{CF82234E-1CD6-4B3E-827E-BC1498003D50}"/>
    <cellStyle name="Normal 6 5 3 2 8" xfId="5774" xr:uid="{057F5950-7D1C-46D8-8D5F-90029A734569}"/>
    <cellStyle name="Normal 6 5 3 2 8 2" xfId="11248" xr:uid="{0C003447-6A62-4FB3-A17D-2C7E0C035397}"/>
    <cellStyle name="Normal 6 5 3 2 9" xfId="2806" xr:uid="{E51096FD-98F6-4EDD-9C53-0A77E6C865DD}"/>
    <cellStyle name="Normal 6 5 3 3" xfId="1136" xr:uid="{27BBE2DE-F67F-4DC3-BBF0-8454052D0158}"/>
    <cellStyle name="Normal 6 5 3 3 10" xfId="8306" xr:uid="{692E7B4D-CB80-4CC8-B7B4-236A03B10466}"/>
    <cellStyle name="Normal 6 5 3 3 11" xfId="11916" xr:uid="{B18E7881-8BDC-4C38-BF7D-81CDAB818643}"/>
    <cellStyle name="Normal 6 5 3 3 12" xfId="13661" xr:uid="{06D2B8C3-BD43-49EA-B825-0F3236FD25CD}"/>
    <cellStyle name="Normal 6 5 3 3 2" xfId="1384" xr:uid="{0D024E69-77D1-4A55-869A-4AED609E5067}"/>
    <cellStyle name="Normal 6 5 3 3 2 10" xfId="12164" xr:uid="{5F54EFDC-E3B0-4E15-8DD2-625B9E3FDFAD}"/>
    <cellStyle name="Normal 6 5 3 3 2 11" xfId="13909" xr:uid="{9733E42D-3B90-4CE7-B40D-2C095A1A4261}"/>
    <cellStyle name="Normal 6 5 3 3 2 2" xfId="1890" xr:uid="{4042693A-B140-44A0-995F-3B2E68DE8906}"/>
    <cellStyle name="Normal 6 5 3 3 2 2 2" xfId="4612" xr:uid="{1018CBF1-DB8A-4557-AEF1-C0CDEC06F63C}"/>
    <cellStyle name="Normal 6 5 3 3 2 2 2 2" xfId="10058" xr:uid="{C63D1819-B559-4E0E-B4B6-C01E34020B97}"/>
    <cellStyle name="Normal 6 5 3 3 2 2 3" xfId="3602" xr:uid="{6BDBD6D7-82D5-4535-831A-42C69D0FF94E}"/>
    <cellStyle name="Normal 6 5 3 3 2 2 4" xfId="7536" xr:uid="{7AD7E308-4378-489C-B4D8-EEA4D8C332B7}"/>
    <cellStyle name="Normal 6 5 3 3 2 2 5" xfId="9050" xr:uid="{94CC7B76-8DB7-4CAF-BEA3-BD018554CAB7}"/>
    <cellStyle name="Normal 6 5 3 3 2 2 6" xfId="12670" xr:uid="{2F8F8F70-D58B-4CA8-A8DC-2FBF704BEF6E}"/>
    <cellStyle name="Normal 6 5 3 3 2 2 7" xfId="14415" xr:uid="{D90E700B-8E8B-46F3-BC97-7474BA2C5DAE}"/>
    <cellStyle name="Normal 6 5 3 3 2 3" xfId="2398" xr:uid="{477A3BB4-48CF-41C2-A3FE-7208DB7E86E3}"/>
    <cellStyle name="Normal 6 5 3 3 2 3 2" xfId="4118" xr:uid="{1671CE83-0D2F-4D33-A3B1-E7AE2199D7CE}"/>
    <cellStyle name="Normal 6 5 3 3 2 3 3" xfId="8044" xr:uid="{6A70051F-BFA1-445E-99F5-E1DFC0C20BA4}"/>
    <cellStyle name="Normal 6 5 3 3 2 3 4" xfId="9562" xr:uid="{0E98BAC0-3444-4645-AB0A-BB1124E6892F}"/>
    <cellStyle name="Normal 6 5 3 3 2 3 5" xfId="13176" xr:uid="{B05FDACE-6B5A-4E39-9F61-15D5B269C254}"/>
    <cellStyle name="Normal 6 5 3 3 2 3 6" xfId="14921" xr:uid="{3B0C1619-A2CB-4E02-A761-3BBC4E4EFC79}"/>
    <cellStyle name="Normal 6 5 3 3 2 4" xfId="5090" xr:uid="{E8037D47-52DE-42A8-A8CE-5F1CE66B0B08}"/>
    <cellStyle name="Normal 6 5 3 3 2 4 2" xfId="10560" xr:uid="{0E428653-8F21-4343-B53A-6CB75B72EF58}"/>
    <cellStyle name="Normal 6 5 3 3 2 5" xfId="5588" xr:uid="{D00206A4-BA1D-44CB-9047-368B7DC2A51E}"/>
    <cellStyle name="Normal 6 5 3 3 2 5 2" xfId="11062" xr:uid="{5E944356-7E67-4E5B-9EBA-6C34BC9DAF1F}"/>
    <cellStyle name="Normal 6 5 3 3 2 6" xfId="6090" xr:uid="{9F48B518-ABEA-4206-A4B3-6D1D48107B3B}"/>
    <cellStyle name="Normal 6 5 3 3 2 6 2" xfId="11564" xr:uid="{4EFF3C8B-C273-4DF9-AD23-E2F48A041717}"/>
    <cellStyle name="Normal 6 5 3 3 2 7" xfId="3108" xr:uid="{4B142575-6C06-4B7E-9B2D-CF3748D585E7}"/>
    <cellStyle name="Normal 6 5 3 3 2 8" xfId="7030" xr:uid="{EB0DE726-8FA3-4E0A-A369-0DE15E57A86B}"/>
    <cellStyle name="Normal 6 5 3 3 2 9" xfId="8554" xr:uid="{245A7D48-D977-4433-970D-D089890258C2}"/>
    <cellStyle name="Normal 6 5 3 3 3" xfId="1642" xr:uid="{B4238957-2F7A-428C-A7E0-744119256992}"/>
    <cellStyle name="Normal 6 5 3 3 3 2" xfId="4364" xr:uid="{95F85599-DA1B-48D2-BBC5-1EA178B50510}"/>
    <cellStyle name="Normal 6 5 3 3 3 2 2" xfId="9810" xr:uid="{9922F48B-AC20-4B82-9FDB-A91C7A2F1374}"/>
    <cellStyle name="Normal 6 5 3 3 3 3" xfId="3354" xr:uid="{5798C855-F8D0-4FC9-BD77-C50C39BF3D49}"/>
    <cellStyle name="Normal 6 5 3 3 3 4" xfId="7288" xr:uid="{ABBA96EA-F055-42C3-9E89-D7F94A358B63}"/>
    <cellStyle name="Normal 6 5 3 3 3 5" xfId="8802" xr:uid="{96018303-A87A-4F75-8608-4065FD90D68C}"/>
    <cellStyle name="Normal 6 5 3 3 3 6" xfId="12422" xr:uid="{D608B81C-204C-4875-BD34-B03057D081A3}"/>
    <cellStyle name="Normal 6 5 3 3 3 7" xfId="14167" xr:uid="{4C0D6488-E024-4754-B6A9-93AFA41A4230}"/>
    <cellStyle name="Normal 6 5 3 3 4" xfId="2150" xr:uid="{6CEBC914-4D7A-46B8-9E79-ADCB8E7A0EB1}"/>
    <cellStyle name="Normal 6 5 3 3 4 2" xfId="3870" xr:uid="{C5CAACAC-533E-4E3C-9912-72F97C062DA9}"/>
    <cellStyle name="Normal 6 5 3 3 4 3" xfId="7796" xr:uid="{31E5492A-9AFC-4953-9F57-22F76FE1457D}"/>
    <cellStyle name="Normal 6 5 3 3 4 4" xfId="9314" xr:uid="{08C3A546-5DAE-45B0-A5B7-FE8C6B7EAD0A}"/>
    <cellStyle name="Normal 6 5 3 3 4 5" xfId="12928" xr:uid="{3E3CE35B-781E-4CBB-83D0-96A4C472D053}"/>
    <cellStyle name="Normal 6 5 3 3 4 6" xfId="14673" xr:uid="{99B557FC-2B0D-421B-9477-F834B4413F56}"/>
    <cellStyle name="Normal 6 5 3 3 5" xfId="4852" xr:uid="{1F67C496-427E-4079-AD2F-B04C30DB17F2}"/>
    <cellStyle name="Normal 6 5 3 3 5 2" xfId="10312" xr:uid="{13F34EB1-F128-4BAA-BCE9-78A223D046FA}"/>
    <cellStyle name="Normal 6 5 3 3 6" xfId="5340" xr:uid="{CE1A47F6-5BE8-4B48-AC63-6B9F5FB11242}"/>
    <cellStyle name="Normal 6 5 3 3 6 2" xfId="10814" xr:uid="{D8AF62B2-77CF-4D1B-9F9E-25739EF344E0}"/>
    <cellStyle name="Normal 6 5 3 3 7" xfId="5842" xr:uid="{BD5BB5F3-B887-4CC5-8891-1F216EB33443}"/>
    <cellStyle name="Normal 6 5 3 3 7 2" xfId="11316" xr:uid="{04681F59-DA85-458B-94B5-D961B18A038F}"/>
    <cellStyle name="Normal 6 5 3 3 8" xfId="2868" xr:uid="{4D3A32FE-D4CD-468C-9FB6-4DF0C9D55AF9}"/>
    <cellStyle name="Normal 6 5 3 3 9" xfId="6782" xr:uid="{2160D175-BA13-4F8C-B481-1BB2AE60ED91}"/>
    <cellStyle name="Normal 6 5 3 4" xfId="1260" xr:uid="{C0780588-15F5-4B1D-9326-3DF1A8ADAA1F}"/>
    <cellStyle name="Normal 6 5 3 4 10" xfId="12040" xr:uid="{AB3D6199-AA0D-47FC-8F4A-6C1E28379F0F}"/>
    <cellStyle name="Normal 6 5 3 4 11" xfId="13785" xr:uid="{EF7E1AE5-D278-42F3-AC5C-6E166CFF70BF}"/>
    <cellStyle name="Normal 6 5 3 4 2" xfId="1766" xr:uid="{65E302F9-27C4-4A00-8DFC-841B7E4AC46F}"/>
    <cellStyle name="Normal 6 5 3 4 2 2" xfId="4488" xr:uid="{1AB05FAB-7DC1-41F7-9A8E-8F1F57437E89}"/>
    <cellStyle name="Normal 6 5 3 4 2 2 2" xfId="9934" xr:uid="{8DCE2AB4-E401-44DC-95EF-229CB1986D00}"/>
    <cellStyle name="Normal 6 5 3 4 2 3" xfId="3478" xr:uid="{11BD89C5-74A6-4B7F-8F88-038D5A85ECF1}"/>
    <cellStyle name="Normal 6 5 3 4 2 4" xfId="7412" xr:uid="{FEEB4942-4ED8-4701-B972-48136C2BDCC9}"/>
    <cellStyle name="Normal 6 5 3 4 2 5" xfId="8926" xr:uid="{5747AF7E-BAF1-4CD3-8C5C-2A62A9FD1166}"/>
    <cellStyle name="Normal 6 5 3 4 2 6" xfId="12546" xr:uid="{DA326229-EC77-4770-866B-D35A32EBE99E}"/>
    <cellStyle name="Normal 6 5 3 4 2 7" xfId="14291" xr:uid="{DD3CC000-AA09-499B-BDB7-12F812E0776E}"/>
    <cellStyle name="Normal 6 5 3 4 3" xfId="2274" xr:uid="{B5E2C817-6084-4926-83F2-066C660D73D0}"/>
    <cellStyle name="Normal 6 5 3 4 3 2" xfId="3994" xr:uid="{44B9BB7A-1B94-4E16-9A58-D58E8FC301CB}"/>
    <cellStyle name="Normal 6 5 3 4 3 3" xfId="7920" xr:uid="{98F83192-604D-4EE6-A0EF-DDA858AA3AC5}"/>
    <cellStyle name="Normal 6 5 3 4 3 4" xfId="9438" xr:uid="{7CA495FF-ABBB-4C87-ABA1-C9A6A5BC5AAD}"/>
    <cellStyle name="Normal 6 5 3 4 3 5" xfId="13052" xr:uid="{25ED8E7D-9A00-4F80-9AC1-F71361A1384B}"/>
    <cellStyle name="Normal 6 5 3 4 3 6" xfId="14797" xr:uid="{A6F097E9-557C-42E1-9258-861BC9803CED}"/>
    <cellStyle name="Normal 6 5 3 4 4" xfId="4968" xr:uid="{0E5C6DBB-FAB3-4F1C-921A-42A775171A13}"/>
    <cellStyle name="Normal 6 5 3 4 4 2" xfId="10436" xr:uid="{D755DB3F-7F4A-49A2-B193-087C51433DB8}"/>
    <cellStyle name="Normal 6 5 3 4 5" xfId="5464" xr:uid="{26927EC0-3911-454A-B6E5-DA3C552AF6A8}"/>
    <cellStyle name="Normal 6 5 3 4 5 2" xfId="10938" xr:uid="{C1D17A74-92DA-491E-B6D8-57E44F1DE917}"/>
    <cellStyle name="Normal 6 5 3 4 6" xfId="5966" xr:uid="{D1EA32B1-17E6-43DD-8536-8DBC5BE96426}"/>
    <cellStyle name="Normal 6 5 3 4 6 2" xfId="11440" xr:uid="{0467F4F0-13CA-4F02-A720-21F856FEF8C3}"/>
    <cellStyle name="Normal 6 5 3 4 7" xfId="2986" xr:uid="{3379F989-5D81-400C-BF3A-CEC60DACF97F}"/>
    <cellStyle name="Normal 6 5 3 4 8" xfId="6906" xr:uid="{C16EC00A-CD1E-4FEA-860F-B8A1B8CFB67E}"/>
    <cellStyle name="Normal 6 5 3 4 9" xfId="8430" xr:uid="{4613230F-1346-4A89-BEAE-FC93B86DD043}"/>
    <cellStyle name="Normal 6 5 3 5" xfId="1518" xr:uid="{4BC7F925-6AD1-429C-862B-B23820829198}"/>
    <cellStyle name="Normal 6 5 3 5 2" xfId="4242" xr:uid="{7E255121-14A3-4553-AF21-E893D24A8337}"/>
    <cellStyle name="Normal 6 5 3 5 2 2" xfId="9686" xr:uid="{6DE90E3D-5D3B-44AB-A371-E824BFAA6941}"/>
    <cellStyle name="Normal 6 5 3 5 3" xfId="3232" xr:uid="{9E862359-5F09-44CD-B6B6-639D9E959E0C}"/>
    <cellStyle name="Normal 6 5 3 5 4" xfId="7164" xr:uid="{D913DF05-1601-4873-8B19-D9C8A0001997}"/>
    <cellStyle name="Normal 6 5 3 5 5" xfId="8678" xr:uid="{184BA3E7-CFA3-45A3-B2D3-FB170EFBA5B6}"/>
    <cellStyle name="Normal 6 5 3 5 6" xfId="12298" xr:uid="{7A58CDB3-C7D5-4488-8469-C5C28D12F46B}"/>
    <cellStyle name="Normal 6 5 3 5 7" xfId="14043" xr:uid="{BF62492D-88DD-439A-B9C3-14266A96057C}"/>
    <cellStyle name="Normal 6 5 3 6" xfId="2026" xr:uid="{CD93AC05-9FB1-4B0B-9FCB-43C642E896B3}"/>
    <cellStyle name="Normal 6 5 3 6 2" xfId="3746" xr:uid="{846E12FE-4101-40D4-90CB-1519B46D18B6}"/>
    <cellStyle name="Normal 6 5 3 6 3" xfId="7672" xr:uid="{2DAC0889-62F4-40A4-B026-D56DB3C55D5D}"/>
    <cellStyle name="Normal 6 5 3 6 4" xfId="9190" xr:uid="{822FEA08-7413-459E-81D4-3268F9CEFE62}"/>
    <cellStyle name="Normal 6 5 3 6 5" xfId="12804" xr:uid="{753FCAAF-2CFA-4126-AE80-DADBAC2048A9}"/>
    <cellStyle name="Normal 6 5 3 6 6" xfId="14549" xr:uid="{417627B0-EDC7-46C3-8AB2-44FD6726C3A0}"/>
    <cellStyle name="Normal 6 5 3 7" xfId="4740" xr:uid="{872221A5-2A33-4EB0-97ED-3C294F9FA253}"/>
    <cellStyle name="Normal 6 5 3 7 2" xfId="10188" xr:uid="{149A6C4C-C858-4CC9-9B34-71170F763705}"/>
    <cellStyle name="Normal 6 5 3 8" xfId="5216" xr:uid="{C624E9F5-6A79-4EEE-B276-92E179762ECE}"/>
    <cellStyle name="Normal 6 5 3 8 2" xfId="10690" xr:uid="{88D10C93-4D9C-4A5E-A506-24CA8EA8A270}"/>
    <cellStyle name="Normal 6 5 3 9" xfId="5718" xr:uid="{940835A8-9CB1-4319-ACBB-88228541664A}"/>
    <cellStyle name="Normal 6 5 3 9 2" xfId="11192" xr:uid="{794CEE01-EB66-47EC-9384-0898146BA706}"/>
    <cellStyle name="Normal 6 5 4" xfId="1066" xr:uid="{78D10A38-2746-4581-A9C9-25814F305D7E}"/>
    <cellStyle name="Normal 6 5 4 10" xfId="6712" xr:uid="{7AB7488C-D770-47E8-9E6A-CCA18EFD42B5}"/>
    <cellStyle name="Normal 6 5 4 11" xfId="8236" xr:uid="{A86835BB-A5DA-474B-A833-9B79DC67C1DD}"/>
    <cellStyle name="Normal 6 5 4 12" xfId="11846" xr:uid="{A825D612-A885-48AA-83AE-57A98A2C4C4E}"/>
    <cellStyle name="Normal 6 5 4 13" xfId="13591" xr:uid="{868E7524-1F9C-439B-AF98-C39B95E96EAE}"/>
    <cellStyle name="Normal 6 5 4 2" xfId="1190" xr:uid="{F734EE62-9F55-402E-B850-5BDFF2082BAE}"/>
    <cellStyle name="Normal 6 5 4 2 10" xfId="8360" xr:uid="{37A20319-4A2B-4070-AB40-0294BD8482C7}"/>
    <cellStyle name="Normal 6 5 4 2 11" xfId="11970" xr:uid="{C0A124E6-D66A-4843-9457-38915693F792}"/>
    <cellStyle name="Normal 6 5 4 2 12" xfId="13715" xr:uid="{C3DBB680-BF7D-4F55-AB51-39A8FA4F07C1}"/>
    <cellStyle name="Normal 6 5 4 2 2" xfId="1438" xr:uid="{B5AC4BA4-468B-4EB9-A0BE-85A3CC9A848C}"/>
    <cellStyle name="Normal 6 5 4 2 2 10" xfId="12218" xr:uid="{CA0E1DB6-B0CD-4BDC-B2FD-D1287A7F344A}"/>
    <cellStyle name="Normal 6 5 4 2 2 11" xfId="13963" xr:uid="{7372E214-F4C3-4D1A-B443-EE7215F65815}"/>
    <cellStyle name="Normal 6 5 4 2 2 2" xfId="1944" xr:uid="{D9F00E34-391C-4CEA-BFD6-5966BB5952DF}"/>
    <cellStyle name="Normal 6 5 4 2 2 2 2" xfId="4666" xr:uid="{F494A7BF-9E94-400D-9044-5E17CE8E06A7}"/>
    <cellStyle name="Normal 6 5 4 2 2 2 2 2" xfId="10112" xr:uid="{79BFC6A6-478B-48BD-9DEE-CF2F15B80F37}"/>
    <cellStyle name="Normal 6 5 4 2 2 2 3" xfId="3656" xr:uid="{739B662E-0049-4479-83B9-2EE1B29A9159}"/>
    <cellStyle name="Normal 6 5 4 2 2 2 4" xfId="7590" xr:uid="{280AAB72-CF4D-495F-8129-D351E0358EB9}"/>
    <cellStyle name="Normal 6 5 4 2 2 2 5" xfId="9104" xr:uid="{0CBF0895-17D7-4B40-B89F-B1F7433FE205}"/>
    <cellStyle name="Normal 6 5 4 2 2 2 6" xfId="12724" xr:uid="{8B12552C-F8B7-44CD-B2E3-D491EC513A0E}"/>
    <cellStyle name="Normal 6 5 4 2 2 2 7" xfId="14469" xr:uid="{929F1BE7-1CB2-4C7D-B97C-E708A68FF245}"/>
    <cellStyle name="Normal 6 5 4 2 2 3" xfId="2452" xr:uid="{8FF0B09A-A1A6-400A-B92E-AE54B0D49A6F}"/>
    <cellStyle name="Normal 6 5 4 2 2 3 2" xfId="4172" xr:uid="{6CA03888-5070-4FD8-A42F-55F4C5070BA6}"/>
    <cellStyle name="Normal 6 5 4 2 2 3 3" xfId="8098" xr:uid="{D75FBAF3-DF75-4F73-9662-87E70B4D7265}"/>
    <cellStyle name="Normal 6 5 4 2 2 3 4" xfId="9616" xr:uid="{D0F111CA-90E2-4DDF-BA84-5A703F884896}"/>
    <cellStyle name="Normal 6 5 4 2 2 3 5" xfId="13230" xr:uid="{01C824D3-188E-45B0-94E8-D6CD83BD4482}"/>
    <cellStyle name="Normal 6 5 4 2 2 3 6" xfId="14975" xr:uid="{97B2FBA9-18F5-4E41-947D-13AFCA0C4BFF}"/>
    <cellStyle name="Normal 6 5 4 2 2 4" xfId="5144" xr:uid="{F6C117AC-3591-4B72-89B7-5962F27049A1}"/>
    <cellStyle name="Normal 6 5 4 2 2 4 2" xfId="10614" xr:uid="{826B2CA2-D17C-4E1A-9AE7-5D805DFDB901}"/>
    <cellStyle name="Normal 6 5 4 2 2 5" xfId="5642" xr:uid="{961CA528-AB9E-46FE-8E76-84E5578D5185}"/>
    <cellStyle name="Normal 6 5 4 2 2 5 2" xfId="11116" xr:uid="{8078D08F-E7AD-4C2A-BF27-95CB457CD59D}"/>
    <cellStyle name="Normal 6 5 4 2 2 6" xfId="6144" xr:uid="{60361C84-E594-4A34-A7CC-0C57B3ACA2FE}"/>
    <cellStyle name="Normal 6 5 4 2 2 6 2" xfId="11618" xr:uid="{ABA77F41-6846-4A6A-8BA5-911D53182BAF}"/>
    <cellStyle name="Normal 6 5 4 2 2 7" xfId="3162" xr:uid="{5FDC0862-387E-4360-9EA0-90D9A5CDC8DE}"/>
    <cellStyle name="Normal 6 5 4 2 2 8" xfId="7084" xr:uid="{52611181-4A71-4860-8CA3-C10019A4EE8A}"/>
    <cellStyle name="Normal 6 5 4 2 2 9" xfId="8608" xr:uid="{130E7841-8BCF-4890-865B-5AF606348BC9}"/>
    <cellStyle name="Normal 6 5 4 2 3" xfId="1696" xr:uid="{82692133-65B9-4606-B72A-78E019038045}"/>
    <cellStyle name="Normal 6 5 4 2 3 2" xfId="4418" xr:uid="{F637800A-3735-4357-AC65-38FF82F66372}"/>
    <cellStyle name="Normal 6 5 4 2 3 2 2" xfId="9864" xr:uid="{89E7F6E4-00A9-4BE5-AFB1-E16F88292CD1}"/>
    <cellStyle name="Normal 6 5 4 2 3 3" xfId="3408" xr:uid="{4F3F3FC3-56B7-4D89-A831-EA87774CD2FD}"/>
    <cellStyle name="Normal 6 5 4 2 3 4" xfId="7342" xr:uid="{76037DD4-7B2F-4701-B6E7-6F4173EFE91B}"/>
    <cellStyle name="Normal 6 5 4 2 3 5" xfId="8856" xr:uid="{ECDDB46F-BF32-4F8D-A45F-C7EE496F849A}"/>
    <cellStyle name="Normal 6 5 4 2 3 6" xfId="12476" xr:uid="{BB365792-DDBB-4388-8D9C-D6585DF757EF}"/>
    <cellStyle name="Normal 6 5 4 2 3 7" xfId="14221" xr:uid="{84DAF6B4-79B0-4277-9D9D-8F36F513D735}"/>
    <cellStyle name="Normal 6 5 4 2 4" xfId="2204" xr:uid="{55847CB1-829D-4EE3-AAC9-7F07F5B40947}"/>
    <cellStyle name="Normal 6 5 4 2 4 2" xfId="3924" xr:uid="{7B6F75AC-C3AE-4FD2-B8BF-1365BEF42851}"/>
    <cellStyle name="Normal 6 5 4 2 4 3" xfId="7850" xr:uid="{E9AB0CF4-8DF8-4321-A9CC-070B111DE58E}"/>
    <cellStyle name="Normal 6 5 4 2 4 4" xfId="9368" xr:uid="{9B7D15F9-2DFC-43E1-ADC5-CB0C8F0927DA}"/>
    <cellStyle name="Normal 6 5 4 2 4 5" xfId="12982" xr:uid="{D61CFEB9-C1F8-41AF-8C61-A758B3610F3F}"/>
    <cellStyle name="Normal 6 5 4 2 4 6" xfId="14727" xr:uid="{4C7E93F8-C270-48A0-8EF7-AADFF73F0DD3}"/>
    <cellStyle name="Normal 6 5 4 2 5" xfId="4904" xr:uid="{9B58634E-2BA8-4A44-9FCE-84F27CB934CB}"/>
    <cellStyle name="Normal 6 5 4 2 5 2" xfId="10366" xr:uid="{E2BAB505-B107-4BC1-9A28-4149D994D3FB}"/>
    <cellStyle name="Normal 6 5 4 2 6" xfId="5394" xr:uid="{74E98AC6-281B-4802-A759-8495B206A135}"/>
    <cellStyle name="Normal 6 5 4 2 6 2" xfId="10868" xr:uid="{7DF5CF66-94FA-47AB-A82C-605F41832FC7}"/>
    <cellStyle name="Normal 6 5 4 2 7" xfId="5896" xr:uid="{5307042B-FCAF-4209-98E1-41F443D57F20}"/>
    <cellStyle name="Normal 6 5 4 2 7 2" xfId="11370" xr:uid="{BFDA14E8-1BB3-4C3F-BA0D-636CD00CB29A}"/>
    <cellStyle name="Normal 6 5 4 2 8" xfId="2920" xr:uid="{572385F4-16A4-4F06-B38B-9B3C0F28C536}"/>
    <cellStyle name="Normal 6 5 4 2 9" xfId="6836" xr:uid="{79D80877-8537-49A3-AC9D-2DECDDC0C675}"/>
    <cellStyle name="Normal 6 5 4 3" xfId="1314" xr:uid="{51A3EE10-AC72-4DFB-BD40-FEA965FB4000}"/>
    <cellStyle name="Normal 6 5 4 3 10" xfId="12094" xr:uid="{4D3393D7-CD3D-460C-8EAB-0088E0C0F2E9}"/>
    <cellStyle name="Normal 6 5 4 3 11" xfId="13839" xr:uid="{38E52174-5F76-4B07-84AB-DDF7328CCCCD}"/>
    <cellStyle name="Normal 6 5 4 3 2" xfId="1820" xr:uid="{D10EBD03-327F-4DD1-8ADA-3B2E3CA77C85}"/>
    <cellStyle name="Normal 6 5 4 3 2 2" xfId="4542" xr:uid="{2CCE1E76-157E-4C82-8767-E67F9BDCE30C}"/>
    <cellStyle name="Normal 6 5 4 3 2 2 2" xfId="9988" xr:uid="{0DE9D1A8-D475-424A-B4BA-7F2A492DD72E}"/>
    <cellStyle name="Normal 6 5 4 3 2 3" xfId="3532" xr:uid="{E924ED0B-A614-4114-9EA5-7ADF69246E06}"/>
    <cellStyle name="Normal 6 5 4 3 2 4" xfId="7466" xr:uid="{D80DCB1E-D62D-483D-95C9-6F89DA2B4D86}"/>
    <cellStyle name="Normal 6 5 4 3 2 5" xfId="8980" xr:uid="{5BD9B5D3-2126-45CA-9B94-07831B20CB32}"/>
    <cellStyle name="Normal 6 5 4 3 2 6" xfId="12600" xr:uid="{F39A98DC-37B9-4FE6-A65C-570E59AB045F}"/>
    <cellStyle name="Normal 6 5 4 3 2 7" xfId="14345" xr:uid="{1D08F868-EC91-4FF4-A906-A0DD7C788E87}"/>
    <cellStyle name="Normal 6 5 4 3 3" xfId="2328" xr:uid="{909F2F3C-B010-4E21-ABF4-D15BF0148D1F}"/>
    <cellStyle name="Normal 6 5 4 3 3 2" xfId="4048" xr:uid="{B60BD0AD-931F-4A69-94DB-66560423163B}"/>
    <cellStyle name="Normal 6 5 4 3 3 3" xfId="7974" xr:uid="{64C89C68-3BF0-49EB-8625-264C0CC4D2E5}"/>
    <cellStyle name="Normal 6 5 4 3 3 4" xfId="9492" xr:uid="{76E943A8-B722-4334-AE15-607B6069D617}"/>
    <cellStyle name="Normal 6 5 4 3 3 5" xfId="13106" xr:uid="{B3F3BC3B-B0A4-4851-9C70-250D9BC66925}"/>
    <cellStyle name="Normal 6 5 4 3 3 6" xfId="14851" xr:uid="{C8F6FE80-3E0A-45D0-8442-602DE827BA19}"/>
    <cellStyle name="Normal 6 5 4 3 4" xfId="5020" xr:uid="{3BC6DD20-97CB-4CF4-838F-990CB40BC6B1}"/>
    <cellStyle name="Normal 6 5 4 3 4 2" xfId="10490" xr:uid="{1C06BC05-D3CF-4208-AA34-8B1CFA29335B}"/>
    <cellStyle name="Normal 6 5 4 3 5" xfId="5518" xr:uid="{8BF8E8A1-846F-4B54-BF87-9B3354C4F10F}"/>
    <cellStyle name="Normal 6 5 4 3 5 2" xfId="10992" xr:uid="{687E906E-0FF5-487A-8FB8-7F9982E3BF0F}"/>
    <cellStyle name="Normal 6 5 4 3 6" xfId="6020" xr:uid="{ADAD1E05-B239-46A9-B42C-823E46E79452}"/>
    <cellStyle name="Normal 6 5 4 3 6 2" xfId="11494" xr:uid="{FCCDB3C0-C811-44D8-9DC3-2AB688C52F2C}"/>
    <cellStyle name="Normal 6 5 4 3 7" xfId="3038" xr:uid="{BF4934A1-9CD3-46CD-A132-7C2EBED3CEF0}"/>
    <cellStyle name="Normal 6 5 4 3 8" xfId="6960" xr:uid="{058DD7CA-FBFC-42E7-A713-065ACC4201FA}"/>
    <cellStyle name="Normal 6 5 4 3 9" xfId="8484" xr:uid="{68345A02-6A40-4A49-8AB3-43563461C397}"/>
    <cellStyle name="Normal 6 5 4 4" xfId="1572" xr:uid="{3233156F-70B5-471D-A302-4014B2D24825}"/>
    <cellStyle name="Normal 6 5 4 4 2" xfId="4294" xr:uid="{BD55E92B-B30B-43A4-9348-83237EFF381C}"/>
    <cellStyle name="Normal 6 5 4 4 2 2" xfId="9740" xr:uid="{84E97CC0-1FF1-450C-BEBA-FB9781E807CB}"/>
    <cellStyle name="Normal 6 5 4 4 3" xfId="3284" xr:uid="{B447EB37-A299-4C2D-BDA6-801A01EB0BAC}"/>
    <cellStyle name="Normal 6 5 4 4 4" xfId="7218" xr:uid="{3EEC7429-3473-4950-BD88-FFDA5B1F2E61}"/>
    <cellStyle name="Normal 6 5 4 4 5" xfId="8732" xr:uid="{D0C022C0-03E6-442E-B05B-8BDD70B17B10}"/>
    <cellStyle name="Normal 6 5 4 4 6" xfId="12352" xr:uid="{2E34DE05-9BA5-49DD-A737-8D06396613EF}"/>
    <cellStyle name="Normal 6 5 4 4 7" xfId="14097" xr:uid="{D4D6A08A-5646-4CAE-AEE3-D93D253C3DD3}"/>
    <cellStyle name="Normal 6 5 4 5" xfId="2080" xr:uid="{B82B1650-F0C0-4EAB-9F7E-422957D168E9}"/>
    <cellStyle name="Normal 6 5 4 5 2" xfId="3800" xr:uid="{D8469003-9C74-46D6-8255-0FDD194F92B6}"/>
    <cellStyle name="Normal 6 5 4 5 3" xfId="7726" xr:uid="{1D618B18-5E4E-4178-A7C6-E2FB3532A204}"/>
    <cellStyle name="Normal 6 5 4 5 4" xfId="9244" xr:uid="{EAF2BC16-C035-4D4D-BC84-9D00A11296AC}"/>
    <cellStyle name="Normal 6 5 4 5 5" xfId="12858" xr:uid="{C1404FFA-DA1E-4573-BEDC-711266CB1282}"/>
    <cellStyle name="Normal 6 5 4 5 6" xfId="14603" xr:uid="{BD5801A8-4A3B-4029-8543-A8B3567D4E9B}"/>
    <cellStyle name="Normal 6 5 4 6" xfId="4788" xr:uid="{D087D084-589B-405E-9760-F76422373673}"/>
    <cellStyle name="Normal 6 5 4 6 2" xfId="10242" xr:uid="{5C98F3DC-79AC-4F5F-8F98-F73B2BC021E0}"/>
    <cellStyle name="Normal 6 5 4 7" xfId="5270" xr:uid="{0B7F4146-2F48-4274-A594-AD3FB74BADCB}"/>
    <cellStyle name="Normal 6 5 4 7 2" xfId="10744" xr:uid="{34BDF2B8-837F-4F3F-9A2E-AB3FEDECA1B7}"/>
    <cellStyle name="Normal 6 5 4 8" xfId="5772" xr:uid="{BF56515A-6801-49E9-930C-28EF4C91CA3E}"/>
    <cellStyle name="Normal 6 5 4 8 2" xfId="11246" xr:uid="{FCA7BF24-5A9D-4739-884C-85ECA961CD45}"/>
    <cellStyle name="Normal 6 5 4 9" xfId="2804" xr:uid="{C7B1A03D-D2A6-478E-B297-3E49EE0CAC83}"/>
    <cellStyle name="Normal 6 5 5" xfId="1094" xr:uid="{8CDA87CA-1595-4A43-8644-53CFA076749A}"/>
    <cellStyle name="Normal 6 5 5 10" xfId="8264" xr:uid="{77462866-73E9-4C0C-8E29-F63D32B120FD}"/>
    <cellStyle name="Normal 6 5 5 11" xfId="11874" xr:uid="{8BACA3CA-CFB3-41F7-BAF7-25F1DFCB97EB}"/>
    <cellStyle name="Normal 6 5 5 12" xfId="13619" xr:uid="{2F8E115E-420A-4DB1-835B-65F4F9805B47}"/>
    <cellStyle name="Normal 6 5 5 2" xfId="1342" xr:uid="{52C38391-074B-40A5-B82D-5AC330A9AD17}"/>
    <cellStyle name="Normal 6 5 5 2 10" xfId="12122" xr:uid="{460E94AA-D0AA-476B-BC4F-B4C277B8FDD3}"/>
    <cellStyle name="Normal 6 5 5 2 11" xfId="13867" xr:uid="{7F7BD936-5BD5-428C-84A2-46952CE5ADA5}"/>
    <cellStyle name="Normal 6 5 5 2 2" xfId="1848" xr:uid="{0102AFD0-EA00-47BE-9A46-72AF436A568F}"/>
    <cellStyle name="Normal 6 5 5 2 2 2" xfId="4570" xr:uid="{8DA70C48-3335-431C-9781-1CF775B9C0D2}"/>
    <cellStyle name="Normal 6 5 5 2 2 2 2" xfId="10016" xr:uid="{6EB3E2DD-0608-460C-9A68-42345F594283}"/>
    <cellStyle name="Normal 6 5 5 2 2 3" xfId="3560" xr:uid="{2579891F-F36A-42CF-AAF5-4283AFEFA14B}"/>
    <cellStyle name="Normal 6 5 5 2 2 4" xfId="7494" xr:uid="{2B6A4BC8-D22B-4DA2-B745-8091AF564755}"/>
    <cellStyle name="Normal 6 5 5 2 2 5" xfId="9008" xr:uid="{4D4CC73B-AB21-4451-948F-B8C8EB06EDBA}"/>
    <cellStyle name="Normal 6 5 5 2 2 6" xfId="12628" xr:uid="{DA716E85-F967-4A30-A869-C7DEC6805379}"/>
    <cellStyle name="Normal 6 5 5 2 2 7" xfId="14373" xr:uid="{7629A399-E30B-4957-BAB8-EF067F9F707D}"/>
    <cellStyle name="Normal 6 5 5 2 3" xfId="2356" xr:uid="{12FD042E-2974-4516-9B88-9AB2C8452DF1}"/>
    <cellStyle name="Normal 6 5 5 2 3 2" xfId="4076" xr:uid="{B8BCB35C-B61F-4A7E-A19A-C13244224966}"/>
    <cellStyle name="Normal 6 5 5 2 3 3" xfId="8002" xr:uid="{13CCC88B-8A4D-44BB-9046-8DB4E3FD738C}"/>
    <cellStyle name="Normal 6 5 5 2 3 4" xfId="9520" xr:uid="{2C7BAA48-0CFD-4C70-85A9-8C9180D726AD}"/>
    <cellStyle name="Normal 6 5 5 2 3 5" xfId="13134" xr:uid="{5D219B91-838D-4E4E-8B49-A93CD1C85A6A}"/>
    <cellStyle name="Normal 6 5 5 2 3 6" xfId="14879" xr:uid="{A663C258-7CD7-4BB6-8C49-4421E4711EFC}"/>
    <cellStyle name="Normal 6 5 5 2 4" xfId="5048" xr:uid="{D1E862B2-BE81-46AF-85D3-6D969FB06636}"/>
    <cellStyle name="Normal 6 5 5 2 4 2" xfId="10518" xr:uid="{A0BD4DCC-76EA-41B2-BD65-D312A8782BFE}"/>
    <cellStyle name="Normal 6 5 5 2 5" xfId="5546" xr:uid="{9FBF679C-1E4A-485E-B441-53067AB9BDF6}"/>
    <cellStyle name="Normal 6 5 5 2 5 2" xfId="11020" xr:uid="{7F3BA048-CEC2-4FE4-8294-A221C2C838BB}"/>
    <cellStyle name="Normal 6 5 5 2 6" xfId="6048" xr:uid="{C67FE17D-2D5B-4796-B759-2B3A49E9CD09}"/>
    <cellStyle name="Normal 6 5 5 2 6 2" xfId="11522" xr:uid="{B65C5AB1-8B7B-4FE8-9554-DDD79EA1F36C}"/>
    <cellStyle name="Normal 6 5 5 2 7" xfId="3066" xr:uid="{BBE9A10A-BBCA-4C0B-BA12-EA700AEA0118}"/>
    <cellStyle name="Normal 6 5 5 2 8" xfId="6988" xr:uid="{F4F71DDA-7973-4E5E-8E61-1DBED0D92859}"/>
    <cellStyle name="Normal 6 5 5 2 9" xfId="8512" xr:uid="{F6F87A6F-D5D8-455E-9BE0-8B869DE10043}"/>
    <cellStyle name="Normal 6 5 5 3" xfId="1600" xr:uid="{AC8D245B-22DD-419F-B94D-3CA944F42171}"/>
    <cellStyle name="Normal 6 5 5 3 2" xfId="4322" xr:uid="{A3983711-E3B4-4516-92AB-6E0A93490677}"/>
    <cellStyle name="Normal 6 5 5 3 2 2" xfId="9768" xr:uid="{225594C6-8D2A-4716-901C-DBCBA3D1095B}"/>
    <cellStyle name="Normal 6 5 5 3 3" xfId="3312" xr:uid="{6AAFD417-571B-43D7-B3A3-16464077BC24}"/>
    <cellStyle name="Normal 6 5 5 3 4" xfId="7246" xr:uid="{76FFF2B4-DF2F-4704-A027-63FF340F79BC}"/>
    <cellStyle name="Normal 6 5 5 3 5" xfId="8760" xr:uid="{39133ACB-2E69-4FEE-8DAB-8B9740C36AB1}"/>
    <cellStyle name="Normal 6 5 5 3 6" xfId="12380" xr:uid="{1247BBDA-4ECA-427D-9455-3AF04C62675A}"/>
    <cellStyle name="Normal 6 5 5 3 7" xfId="14125" xr:uid="{B1929841-60D0-43CF-898E-5B6E009AD834}"/>
    <cellStyle name="Normal 6 5 5 4" xfId="2108" xr:uid="{E33D67CC-F2A8-4DA0-9E51-DCCD7751C7F0}"/>
    <cellStyle name="Normal 6 5 5 4 2" xfId="3828" xr:uid="{E8CC1F97-E59E-4B9D-B478-651E933D4511}"/>
    <cellStyle name="Normal 6 5 5 4 3" xfId="7754" xr:uid="{D9683FCC-FE0D-48A2-B0C6-B33C5DB4E065}"/>
    <cellStyle name="Normal 6 5 5 4 4" xfId="9272" xr:uid="{360B71A4-20EA-44DD-AB4F-B8E4306D8E72}"/>
    <cellStyle name="Normal 6 5 5 4 5" xfId="12886" xr:uid="{1CC2CBBF-37FD-4180-B6E4-F9F2195461DE}"/>
    <cellStyle name="Normal 6 5 5 4 6" xfId="14631" xr:uid="{BA6B160D-9812-43E2-A8D8-C2CABB348A23}"/>
    <cellStyle name="Normal 6 5 5 5" xfId="4814" xr:uid="{FEF497C2-EA09-49C3-9345-0E63F4213E9F}"/>
    <cellStyle name="Normal 6 5 5 5 2" xfId="10270" xr:uid="{436F71A2-5E5C-4414-935E-1632D0C23795}"/>
    <cellStyle name="Normal 6 5 5 6" xfId="5298" xr:uid="{A9F3678A-B60A-42C4-A0EF-656DD77F5070}"/>
    <cellStyle name="Normal 6 5 5 6 2" xfId="10772" xr:uid="{8C9DCE46-7FF4-4ED6-8D01-ECD109EAC20E}"/>
    <cellStyle name="Normal 6 5 5 7" xfId="5800" xr:uid="{0D0253E2-CCA5-4C21-B4EF-551043ECD97D}"/>
    <cellStyle name="Normal 6 5 5 7 2" xfId="11274" xr:uid="{1F08631A-7200-46EB-8153-0A15F2CB7504}"/>
    <cellStyle name="Normal 6 5 5 8" xfId="2830" xr:uid="{2B1D467B-5C81-45ED-A383-72C8712F23EA}"/>
    <cellStyle name="Normal 6 5 5 9" xfId="6740" xr:uid="{72786313-9A40-4F83-AA63-35656524765E}"/>
    <cellStyle name="Normal 6 5 6" xfId="1218" xr:uid="{C70AC883-754B-4C44-87C9-596E54928BF3}"/>
    <cellStyle name="Normal 6 5 6 10" xfId="11998" xr:uid="{10FFA4B5-FA3C-4F5E-BAA9-960D2A9449EE}"/>
    <cellStyle name="Normal 6 5 6 11" xfId="13743" xr:uid="{033BF18C-ACF1-4480-8E2A-568460E5CF71}"/>
    <cellStyle name="Normal 6 5 6 2" xfId="1724" xr:uid="{6256BCB2-F210-46EB-BA3C-1C46CA37979E}"/>
    <cellStyle name="Normal 6 5 6 2 2" xfId="4446" xr:uid="{4E0699AB-4F48-4F27-A9D1-E16D698345FA}"/>
    <cellStyle name="Normal 6 5 6 2 2 2" xfId="9892" xr:uid="{30A30B99-8A1B-4CE0-950C-871DEDCCD86B}"/>
    <cellStyle name="Normal 6 5 6 2 3" xfId="3436" xr:uid="{1AA2E11B-3CFD-4BF4-A96A-EAD7F28E52C1}"/>
    <cellStyle name="Normal 6 5 6 2 4" xfId="7370" xr:uid="{4E9FEA4D-E486-4760-A73E-93CEC0557B58}"/>
    <cellStyle name="Normal 6 5 6 2 5" xfId="8884" xr:uid="{6C40F57A-977E-449A-B661-2ABBA06C9E3B}"/>
    <cellStyle name="Normal 6 5 6 2 6" xfId="12504" xr:uid="{426F2C72-287C-4BC2-89F2-DD203FD78A42}"/>
    <cellStyle name="Normal 6 5 6 2 7" xfId="14249" xr:uid="{4436872E-802B-4FA7-BA48-FAFA7449D182}"/>
    <cellStyle name="Normal 6 5 6 3" xfId="2232" xr:uid="{C2AC1838-C6CB-4055-9F9A-CD2602EAFD5C}"/>
    <cellStyle name="Normal 6 5 6 3 2" xfId="3952" xr:uid="{40DD4B26-BC20-4D69-BD6B-9DC08CB49B15}"/>
    <cellStyle name="Normal 6 5 6 3 3" xfId="7878" xr:uid="{2989A5A8-C855-4494-88E4-A0FA904677B5}"/>
    <cellStyle name="Normal 6 5 6 3 4" xfId="9396" xr:uid="{CB80C920-F2D0-4A28-841A-B64A5EBC6C64}"/>
    <cellStyle name="Normal 6 5 6 3 5" xfId="13010" xr:uid="{EA122154-BB4F-409F-BAF5-218BFA60935A}"/>
    <cellStyle name="Normal 6 5 6 3 6" xfId="14755" xr:uid="{83F33334-4344-4A58-9102-BE3BB95FC62A}"/>
    <cellStyle name="Normal 6 5 6 4" xfId="4930" xr:uid="{FDA5F675-ADB1-41A5-B342-7CCBA2653F8D}"/>
    <cellStyle name="Normal 6 5 6 4 2" xfId="10394" xr:uid="{5B2DE194-F799-4DC1-87B3-C3DE59312667}"/>
    <cellStyle name="Normal 6 5 6 5" xfId="5422" xr:uid="{E0021430-81E2-41CD-9D65-B4634F1AB454}"/>
    <cellStyle name="Normal 6 5 6 5 2" xfId="10896" xr:uid="{898EBC4A-4CD0-4D0D-AFAA-59E3431A8533}"/>
    <cellStyle name="Normal 6 5 6 6" xfId="5924" xr:uid="{B1603530-DB94-4359-B2DD-4938E819B933}"/>
    <cellStyle name="Normal 6 5 6 6 2" xfId="11398" xr:uid="{F9E13780-C7CF-4979-8682-6C9DFE7403DD}"/>
    <cellStyle name="Normal 6 5 6 7" xfId="2948" xr:uid="{0933DA87-FD3F-44A5-B33B-25B602942E4B}"/>
    <cellStyle name="Normal 6 5 6 8" xfId="6864" xr:uid="{6AD6F89E-D1E3-4697-A175-61DEED6CAF9C}"/>
    <cellStyle name="Normal 6 5 6 9" xfId="8388" xr:uid="{C2C30AEE-3251-48EA-B8F6-6576985BB82D}"/>
    <cellStyle name="Normal 6 5 7" xfId="1476" xr:uid="{3D4ADC66-DC24-4A7E-A2D9-73823B37F8F0}"/>
    <cellStyle name="Normal 6 5 7 2" xfId="4200" xr:uid="{E72435EE-33AE-4695-8072-786C0D04AA73}"/>
    <cellStyle name="Normal 6 5 7 2 2" xfId="9644" xr:uid="{0B3FC958-09C5-44D0-AAD1-6D8A3A0C9937}"/>
    <cellStyle name="Normal 6 5 7 3" xfId="3190" xr:uid="{2FCB2383-C009-427B-9128-3444DA7F3367}"/>
    <cellStyle name="Normal 6 5 7 4" xfId="7122" xr:uid="{DF6487A5-15A1-4622-BD80-A42D83CE1C04}"/>
    <cellStyle name="Normal 6 5 7 5" xfId="8636" xr:uid="{96142661-C50F-4810-A4F2-11DFA1BE7CEA}"/>
    <cellStyle name="Normal 6 5 7 6" xfId="12256" xr:uid="{06F228C1-EA9F-44E5-A3B0-716864C5A06B}"/>
    <cellStyle name="Normal 6 5 7 7" xfId="14001" xr:uid="{C80009A6-EA32-4BE6-BB23-006DEC321932}"/>
    <cellStyle name="Normal 6 5 8" xfId="1984" xr:uid="{1DC51CF0-AC34-4B60-9F5B-6ACC6BA08715}"/>
    <cellStyle name="Normal 6 5 8 2" xfId="3704" xr:uid="{6CC18634-E60A-4BD8-9A9C-755322D15A46}"/>
    <cellStyle name="Normal 6 5 8 3" xfId="7630" xr:uid="{D3262B0C-BB6D-43DA-AAC2-82E5387C4333}"/>
    <cellStyle name="Normal 6 5 8 4" xfId="9148" xr:uid="{EB24B214-F0C1-4DC2-A071-41279D075D59}"/>
    <cellStyle name="Normal 6 5 8 5" xfId="12762" xr:uid="{9FE0A045-C9C0-43B0-AD43-07D68FEEECF9}"/>
    <cellStyle name="Normal 6 5 8 6" xfId="14507" xr:uid="{515B4D9A-BCDE-4C47-AF87-05FA111BED31}"/>
    <cellStyle name="Normal 6 5 9" xfId="4700" xr:uid="{D0713498-447F-48DC-AC2B-ADB32D496AB7}"/>
    <cellStyle name="Normal 6 5 9 2" xfId="10146" xr:uid="{54D9EE44-8FE3-49B8-8E9E-06C2237128E5}"/>
    <cellStyle name="Normal 6 6" xfId="964" xr:uid="{CF428EBE-59F3-41A2-AF7B-00391EB9021E}"/>
    <cellStyle name="Normal 6 6 10" xfId="5178" xr:uid="{8CF8FA47-92DB-4457-AB88-3A48C366E8BB}"/>
    <cellStyle name="Normal 6 6 10 2" xfId="10650" xr:uid="{31C67AFC-8408-40B6-86E2-4C6ED02BDEF8}"/>
    <cellStyle name="Normal 6 6 11" xfId="5678" xr:uid="{40B7E62F-DA7C-4A80-8ABD-7F3A68CBAD99}"/>
    <cellStyle name="Normal 6 6 11 2" xfId="11152" xr:uid="{093CC5E8-460B-4D10-832A-937E7EB2032C}"/>
    <cellStyle name="Normal 6 6 12" xfId="2720" xr:uid="{E7EEF524-56B1-4EB8-8E17-CF58687E5D90}"/>
    <cellStyle name="Normal 6 6 13" xfId="6615" xr:uid="{4CCFEBEC-44C7-4AC3-8D3F-250D71ECC18D}"/>
    <cellStyle name="Normal 6 6 14" xfId="8142" xr:uid="{52584288-5AB7-4F9F-A860-4C71DF425A33}"/>
    <cellStyle name="Normal 6 6 15" xfId="11752" xr:uid="{0B106D90-64D4-46EF-A8D2-F5BAA6DD69FC}"/>
    <cellStyle name="Normal 6 6 16" xfId="13497" xr:uid="{C112EB5C-976B-4B48-90D4-FACDB46B96A8}"/>
    <cellStyle name="Normal 6 6 2" xfId="994" xr:uid="{1DD89298-599C-4CAB-89E0-915ADD91EBBC}"/>
    <cellStyle name="Normal 6 6 2 10" xfId="2740" xr:uid="{E57B36E9-40BC-4F62-8798-CE5ED6937284}"/>
    <cellStyle name="Normal 6 6 2 11" xfId="6640" xr:uid="{3ACDEA63-A87E-4275-979F-20DB11CDA33C}"/>
    <cellStyle name="Normal 6 6 2 12" xfId="8164" xr:uid="{1CAD35A1-FA6D-4F27-B05A-00944A526CB0}"/>
    <cellStyle name="Normal 6 6 2 13" xfId="11774" xr:uid="{63B7F11E-29F2-4C96-A554-F56839635061}"/>
    <cellStyle name="Normal 6 6 2 14" xfId="13519" xr:uid="{9405129B-7454-482A-8711-3ADE7D9E6476}"/>
    <cellStyle name="Normal 6 6 2 2" xfId="1070" xr:uid="{8AFD2364-6AF4-4D7A-9A71-258D53AF54EE}"/>
    <cellStyle name="Normal 6 6 2 2 10" xfId="6716" xr:uid="{6F9E7C3C-D253-42D3-AF4D-B21B3D7A6875}"/>
    <cellStyle name="Normal 6 6 2 2 11" xfId="8240" xr:uid="{4FDBBD5C-B42B-4128-B2EC-763E56258EE3}"/>
    <cellStyle name="Normal 6 6 2 2 12" xfId="11850" xr:uid="{E9654AF6-D0FA-4E10-98C7-FCB2F0FC0997}"/>
    <cellStyle name="Normal 6 6 2 2 13" xfId="13595" xr:uid="{6F64C0B7-B3F4-41E8-AA76-FCF6BC583DB2}"/>
    <cellStyle name="Normal 6 6 2 2 2" xfId="1194" xr:uid="{45953DAD-BEC0-43CF-94A5-3920D697B83C}"/>
    <cellStyle name="Normal 6 6 2 2 2 10" xfId="8364" xr:uid="{9A6883E5-1A66-45CF-AFDB-79F768F615FA}"/>
    <cellStyle name="Normal 6 6 2 2 2 11" xfId="11974" xr:uid="{24EE7E5D-0708-4EF8-9380-DA5C56BF7126}"/>
    <cellStyle name="Normal 6 6 2 2 2 12" xfId="13719" xr:uid="{D578B603-726B-4DE3-8693-5A05BCE6A155}"/>
    <cellStyle name="Normal 6 6 2 2 2 2" xfId="1442" xr:uid="{0A50C750-697B-4D3D-A604-ECE00B947D97}"/>
    <cellStyle name="Normal 6 6 2 2 2 2 10" xfId="12222" xr:uid="{36DCA087-3C3F-4FA0-B041-A0EF13DE954F}"/>
    <cellStyle name="Normal 6 6 2 2 2 2 11" xfId="13967" xr:uid="{08FB8EBA-51E1-4B7E-BC9A-3B4E7C2DFED5}"/>
    <cellStyle name="Normal 6 6 2 2 2 2 2" xfId="1948" xr:uid="{ED90E089-64B8-4118-8143-E95B452AAD7B}"/>
    <cellStyle name="Normal 6 6 2 2 2 2 2 2" xfId="4670" xr:uid="{2887CF06-28DC-47D5-88C2-AE53CA20504F}"/>
    <cellStyle name="Normal 6 6 2 2 2 2 2 2 2" xfId="10116" xr:uid="{33C03E5F-C9B0-4F1E-BE25-66CC241FF0E9}"/>
    <cellStyle name="Normal 6 6 2 2 2 2 2 3" xfId="3660" xr:uid="{BD766172-ED47-4CD9-BF12-416F2BF988F7}"/>
    <cellStyle name="Normal 6 6 2 2 2 2 2 4" xfId="7594" xr:uid="{131CB37B-C5F6-4956-8C56-8D1F7429DB21}"/>
    <cellStyle name="Normal 6 6 2 2 2 2 2 5" xfId="9108" xr:uid="{8D120CF8-768C-4467-8072-54E049D3DD2A}"/>
    <cellStyle name="Normal 6 6 2 2 2 2 2 6" xfId="12728" xr:uid="{EC853569-3FA5-4C17-A8B3-4E10FED7B6F1}"/>
    <cellStyle name="Normal 6 6 2 2 2 2 2 7" xfId="14473" xr:uid="{F1816D97-4BCF-470C-A2E8-A61E48474A80}"/>
    <cellStyle name="Normal 6 6 2 2 2 2 3" xfId="2456" xr:uid="{3151A534-CDF4-4C32-824A-EC2F8D34EA13}"/>
    <cellStyle name="Normal 6 6 2 2 2 2 3 2" xfId="4176" xr:uid="{81733C43-AA3E-42D9-A562-0F79B0994C97}"/>
    <cellStyle name="Normal 6 6 2 2 2 2 3 3" xfId="8102" xr:uid="{CFA2B8F4-BCBC-46B0-AD88-C61DAF8E5CAE}"/>
    <cellStyle name="Normal 6 6 2 2 2 2 3 4" xfId="9620" xr:uid="{A9D39F5C-FD3F-42C4-849D-4E507DB23A60}"/>
    <cellStyle name="Normal 6 6 2 2 2 2 3 5" xfId="13234" xr:uid="{7EFB2BBD-0497-41C6-9BC2-2237ADC2EF4B}"/>
    <cellStyle name="Normal 6 6 2 2 2 2 3 6" xfId="14979" xr:uid="{D0F5247B-64EA-4338-9ED6-85413DC664BC}"/>
    <cellStyle name="Normal 6 6 2 2 2 2 4" xfId="5148" xr:uid="{B77FFC00-E1F4-4CEB-934E-45E166F9E593}"/>
    <cellStyle name="Normal 6 6 2 2 2 2 4 2" xfId="10618" xr:uid="{80388F1F-C757-49CB-9B50-58FFABF2C84C}"/>
    <cellStyle name="Normal 6 6 2 2 2 2 5" xfId="5646" xr:uid="{538618EC-4B3C-44AE-83C6-764F9596710E}"/>
    <cellStyle name="Normal 6 6 2 2 2 2 5 2" xfId="11120" xr:uid="{8F1F05A3-0473-4B61-B16A-6EF08FB17C61}"/>
    <cellStyle name="Normal 6 6 2 2 2 2 6" xfId="6148" xr:uid="{087711D8-0C29-4F28-AF4D-522F1E3B25E8}"/>
    <cellStyle name="Normal 6 6 2 2 2 2 6 2" xfId="11622" xr:uid="{52B083CD-736B-449F-9258-71B73331FBA5}"/>
    <cellStyle name="Normal 6 6 2 2 2 2 7" xfId="3166" xr:uid="{D985DD39-CDE0-407A-B2E2-755B9901590D}"/>
    <cellStyle name="Normal 6 6 2 2 2 2 8" xfId="7088" xr:uid="{86D3FE9A-7FCC-4907-BAC2-C90C98CE459E}"/>
    <cellStyle name="Normal 6 6 2 2 2 2 9" xfId="8612" xr:uid="{53AE386C-16B8-4E50-A522-18894D467E4A}"/>
    <cellStyle name="Normal 6 6 2 2 2 3" xfId="1700" xr:uid="{516061DE-44BB-4E1F-A75B-74000B907457}"/>
    <cellStyle name="Normal 6 6 2 2 2 3 2" xfId="4422" xr:uid="{009C75C0-587D-48E2-B165-178EBE9CFC5C}"/>
    <cellStyle name="Normal 6 6 2 2 2 3 2 2" xfId="9868" xr:uid="{00495AFD-EF08-4093-8EA3-2DD429CACBF1}"/>
    <cellStyle name="Normal 6 6 2 2 2 3 3" xfId="3412" xr:uid="{B05F573C-7A3A-4EFE-AC15-5F6282BE55C8}"/>
    <cellStyle name="Normal 6 6 2 2 2 3 4" xfId="7346" xr:uid="{1DE2ADFE-CC65-40D8-B4EE-A3550B7B7911}"/>
    <cellStyle name="Normal 6 6 2 2 2 3 5" xfId="8860" xr:uid="{A5F06E57-B052-4733-978C-4560F435B20E}"/>
    <cellStyle name="Normal 6 6 2 2 2 3 6" xfId="12480" xr:uid="{FD4D8E0D-776E-4979-BE1D-ABABEFC0044E}"/>
    <cellStyle name="Normal 6 6 2 2 2 3 7" xfId="14225" xr:uid="{D8AB3D77-2195-44AC-A281-ECE00E70D7D0}"/>
    <cellStyle name="Normal 6 6 2 2 2 4" xfId="2208" xr:uid="{36A89DC0-DFA2-4665-BB59-9166328F8738}"/>
    <cellStyle name="Normal 6 6 2 2 2 4 2" xfId="3928" xr:uid="{133F290C-1DC5-4790-9387-218D26B97D96}"/>
    <cellStyle name="Normal 6 6 2 2 2 4 3" xfId="7854" xr:uid="{10810017-14D1-471C-8616-3BC42643E8E7}"/>
    <cellStyle name="Normal 6 6 2 2 2 4 4" xfId="9372" xr:uid="{60109151-D4EA-4AD3-AA6B-DB120254494C}"/>
    <cellStyle name="Normal 6 6 2 2 2 4 5" xfId="12986" xr:uid="{1FBEE41A-F405-44FE-9B73-66999AA3D42C}"/>
    <cellStyle name="Normal 6 6 2 2 2 4 6" xfId="14731" xr:uid="{CDCFF359-6051-4F55-8FD5-AA9F1A7EFB5F}"/>
    <cellStyle name="Normal 6 6 2 2 2 5" xfId="4908" xr:uid="{6D7EC975-8C9F-4C49-8964-C4CEBAFB1E58}"/>
    <cellStyle name="Normal 6 6 2 2 2 5 2" xfId="10370" xr:uid="{264E7A26-992C-40E1-AE33-4CCC0D7CA205}"/>
    <cellStyle name="Normal 6 6 2 2 2 6" xfId="5398" xr:uid="{E546703D-D260-48FD-A3D9-F1949B34D874}"/>
    <cellStyle name="Normal 6 6 2 2 2 6 2" xfId="10872" xr:uid="{4EBC8024-71FA-4962-BF3E-8D6D867B84FC}"/>
    <cellStyle name="Normal 6 6 2 2 2 7" xfId="5900" xr:uid="{6E91405F-DC60-44AC-ABB0-C6519FA890BD}"/>
    <cellStyle name="Normal 6 6 2 2 2 7 2" xfId="11374" xr:uid="{A7C5B28F-597D-4120-9F12-0888698D7B69}"/>
    <cellStyle name="Normal 6 6 2 2 2 8" xfId="2924" xr:uid="{9BD8C617-CBBE-4BCC-8ADD-066CA66FA376}"/>
    <cellStyle name="Normal 6 6 2 2 2 9" xfId="6840" xr:uid="{10715ECF-CF96-4772-95A3-8D0F63B73B49}"/>
    <cellStyle name="Normal 6 6 2 2 3" xfId="1318" xr:uid="{7E0C1E92-0805-4111-8786-CA568D1CF267}"/>
    <cellStyle name="Normal 6 6 2 2 3 10" xfId="12098" xr:uid="{9BCA96D3-09D0-4F84-842E-A10760F9BAB4}"/>
    <cellStyle name="Normal 6 6 2 2 3 11" xfId="13843" xr:uid="{D16B83CF-69B8-4596-B88C-84F9B0A577DA}"/>
    <cellStyle name="Normal 6 6 2 2 3 2" xfId="1824" xr:uid="{72081A69-C3FD-41DF-B75F-573D07D482DF}"/>
    <cellStyle name="Normal 6 6 2 2 3 2 2" xfId="4546" xr:uid="{0C9BEA84-789A-45A0-A12F-79300A8BAE2C}"/>
    <cellStyle name="Normal 6 6 2 2 3 2 2 2" xfId="9992" xr:uid="{ED44C619-0A9F-4C62-AB78-D57F3C9ED860}"/>
    <cellStyle name="Normal 6 6 2 2 3 2 3" xfId="3536" xr:uid="{A5483E6B-A30D-4C84-A34C-C67AA0220C47}"/>
    <cellStyle name="Normal 6 6 2 2 3 2 4" xfId="7470" xr:uid="{383656DB-3E4F-41FD-83AF-78E4BF569C93}"/>
    <cellStyle name="Normal 6 6 2 2 3 2 5" xfId="8984" xr:uid="{88471663-3D63-4A20-AFCF-8DE8BF288BFC}"/>
    <cellStyle name="Normal 6 6 2 2 3 2 6" xfId="12604" xr:uid="{9A3CBCD5-F053-481E-BFEE-2726F4E4EE86}"/>
    <cellStyle name="Normal 6 6 2 2 3 2 7" xfId="14349" xr:uid="{CA9C32BA-2D6A-4BC4-BF69-0B3BEB0F22B4}"/>
    <cellStyle name="Normal 6 6 2 2 3 3" xfId="2332" xr:uid="{2F5CFCD8-E830-4EB3-BA4C-0515DF725DF5}"/>
    <cellStyle name="Normal 6 6 2 2 3 3 2" xfId="4052" xr:uid="{E9EE4705-8653-413E-9A6B-EA176D98631A}"/>
    <cellStyle name="Normal 6 6 2 2 3 3 3" xfId="7978" xr:uid="{EB02EA28-33FE-4A59-A946-842799E691AB}"/>
    <cellStyle name="Normal 6 6 2 2 3 3 4" xfId="9496" xr:uid="{6F7AD05B-A6F5-4184-A816-9E6D9EA9AB3D}"/>
    <cellStyle name="Normal 6 6 2 2 3 3 5" xfId="13110" xr:uid="{17EE347B-F753-408F-96C4-37205C2D20A2}"/>
    <cellStyle name="Normal 6 6 2 2 3 3 6" xfId="14855" xr:uid="{8C7DB92F-4A63-48CC-90E6-F61C5EC28E0D}"/>
    <cellStyle name="Normal 6 6 2 2 3 4" xfId="5024" xr:uid="{1304BC1F-E139-41A1-81AC-1DF71AB75327}"/>
    <cellStyle name="Normal 6 6 2 2 3 4 2" xfId="10494" xr:uid="{9FA0EEB7-0A37-4747-8FCC-8BF443B2E67A}"/>
    <cellStyle name="Normal 6 6 2 2 3 5" xfId="5522" xr:uid="{270A2145-A878-434D-B763-164D70F7C4AA}"/>
    <cellStyle name="Normal 6 6 2 2 3 5 2" xfId="10996" xr:uid="{545EAEA4-16F9-49AA-AEFF-53DEFF211C28}"/>
    <cellStyle name="Normal 6 6 2 2 3 6" xfId="6024" xr:uid="{9F0CA5B8-EF0A-40A9-9F48-C98D93C0FA3E}"/>
    <cellStyle name="Normal 6 6 2 2 3 6 2" xfId="11498" xr:uid="{52EC9512-3218-4DDE-B76C-ED2133661E6B}"/>
    <cellStyle name="Normal 6 6 2 2 3 7" xfId="3042" xr:uid="{9B7CDE37-AB64-40BB-8CEC-CA28FDEE8F2C}"/>
    <cellStyle name="Normal 6 6 2 2 3 8" xfId="6964" xr:uid="{7971DF89-4BDE-423A-8BDE-51332FFD7E32}"/>
    <cellStyle name="Normal 6 6 2 2 3 9" xfId="8488" xr:uid="{606CC2D7-49B6-4F99-81E7-DF737FFED830}"/>
    <cellStyle name="Normal 6 6 2 2 4" xfId="1576" xr:uid="{4C758D9A-F65F-414B-9181-706A016683CA}"/>
    <cellStyle name="Normal 6 6 2 2 4 2" xfId="4298" xr:uid="{9D5FC673-C4AA-4C32-B952-037974FE3B28}"/>
    <cellStyle name="Normal 6 6 2 2 4 2 2" xfId="9744" xr:uid="{53B60562-4633-4312-AA90-7D015DEDE633}"/>
    <cellStyle name="Normal 6 6 2 2 4 3" xfId="3288" xr:uid="{1BA63A2D-6D3E-44F5-9255-0C076BC5F64F}"/>
    <cellStyle name="Normal 6 6 2 2 4 4" xfId="7222" xr:uid="{101841E1-A05D-4B1F-BD7E-1FC95D95D382}"/>
    <cellStyle name="Normal 6 6 2 2 4 5" xfId="8736" xr:uid="{C68199D0-4FDE-4B1F-BDB8-0D5B046CF565}"/>
    <cellStyle name="Normal 6 6 2 2 4 6" xfId="12356" xr:uid="{5E6AFE5B-EB62-41AE-A7B5-0E3F78BBC8F9}"/>
    <cellStyle name="Normal 6 6 2 2 4 7" xfId="14101" xr:uid="{EF38F81F-A9CF-4B6B-9820-27DDBA6BF166}"/>
    <cellStyle name="Normal 6 6 2 2 5" xfId="2084" xr:uid="{92EE9C90-4A2A-4A89-AAC4-E99F5F7F1241}"/>
    <cellStyle name="Normal 6 6 2 2 5 2" xfId="3804" xr:uid="{44B95FD4-744E-401F-8F2B-A4E7E1C08CFD}"/>
    <cellStyle name="Normal 6 6 2 2 5 3" xfId="7730" xr:uid="{3B905C27-2EBB-4492-A134-D4156433BE61}"/>
    <cellStyle name="Normal 6 6 2 2 5 4" xfId="9248" xr:uid="{EDE617D8-B016-4B4A-9B4F-C2C5B696968A}"/>
    <cellStyle name="Normal 6 6 2 2 5 5" xfId="12862" xr:uid="{0ADF9312-2483-42F6-833A-20509A2715A8}"/>
    <cellStyle name="Normal 6 6 2 2 5 6" xfId="14607" xr:uid="{9D663060-57D2-42D8-A830-8FCCB2ED705E}"/>
    <cellStyle name="Normal 6 6 2 2 6" xfId="4792" xr:uid="{C7843AD4-F1B6-450C-9C37-7FD5E0C1A7D3}"/>
    <cellStyle name="Normal 6 6 2 2 6 2" xfId="10246" xr:uid="{8DB091B1-995D-4E44-8B57-141E59533FBF}"/>
    <cellStyle name="Normal 6 6 2 2 7" xfId="5274" xr:uid="{9C45CA24-F7D7-4842-BBDD-733FBC5645D5}"/>
    <cellStyle name="Normal 6 6 2 2 7 2" xfId="10748" xr:uid="{5D2785ED-6193-4615-9D6C-FFBD7483D109}"/>
    <cellStyle name="Normal 6 6 2 2 8" xfId="5776" xr:uid="{B99D070E-2DB4-4C26-A957-47547DBA3028}"/>
    <cellStyle name="Normal 6 6 2 2 8 2" xfId="11250" xr:uid="{66477150-5B45-4CE3-8251-2D564F496802}"/>
    <cellStyle name="Normal 6 6 2 2 9" xfId="2808" xr:uid="{C2314B6C-B949-45BC-9A12-E0384BEF1E86}"/>
    <cellStyle name="Normal 6 6 2 3" xfId="1118" xr:uid="{796D4316-804E-49D8-A496-EF1F959D0E18}"/>
    <cellStyle name="Normal 6 6 2 3 10" xfId="8288" xr:uid="{0C51BF25-D2B6-4300-8D7E-7D4240096C3D}"/>
    <cellStyle name="Normal 6 6 2 3 11" xfId="11898" xr:uid="{EC3B5814-041A-4900-848E-5733C11AC242}"/>
    <cellStyle name="Normal 6 6 2 3 12" xfId="13643" xr:uid="{5596776F-7FF2-4BCA-B7C1-E94A8CED7D78}"/>
    <cellStyle name="Normal 6 6 2 3 2" xfId="1366" xr:uid="{7605A9A5-C686-46BF-9B6F-3D87B0AD0469}"/>
    <cellStyle name="Normal 6 6 2 3 2 10" xfId="12146" xr:uid="{053E5690-3665-4384-8130-305F7D310601}"/>
    <cellStyle name="Normal 6 6 2 3 2 11" xfId="13891" xr:uid="{2AF034EA-C282-4C8C-8B89-BEBD8B3BB4C1}"/>
    <cellStyle name="Normal 6 6 2 3 2 2" xfId="1872" xr:uid="{7BBAC124-21CB-4042-AE9A-17140E524DE7}"/>
    <cellStyle name="Normal 6 6 2 3 2 2 2" xfId="4594" xr:uid="{49996700-45A7-48A9-A88A-CA4FD3849787}"/>
    <cellStyle name="Normal 6 6 2 3 2 2 2 2" xfId="10040" xr:uid="{E1C9C7AB-94F4-455A-BFCA-08CC35359049}"/>
    <cellStyle name="Normal 6 6 2 3 2 2 3" xfId="3584" xr:uid="{2FB9D5D0-6149-4FC5-A15A-69B14045613C}"/>
    <cellStyle name="Normal 6 6 2 3 2 2 4" xfId="7518" xr:uid="{ADE60344-4EEF-41DF-B700-903D4A73C184}"/>
    <cellStyle name="Normal 6 6 2 3 2 2 5" xfId="9032" xr:uid="{CCB5E973-EB26-410F-B595-5CDD5400CBF6}"/>
    <cellStyle name="Normal 6 6 2 3 2 2 6" xfId="12652" xr:uid="{6E7045E4-9E6B-41ED-A665-171A4A7C8254}"/>
    <cellStyle name="Normal 6 6 2 3 2 2 7" xfId="14397" xr:uid="{D2C83E55-4104-4DEA-8CC5-B790A43C1135}"/>
    <cellStyle name="Normal 6 6 2 3 2 3" xfId="2380" xr:uid="{204579BA-7593-4B1E-945A-C4D600590751}"/>
    <cellStyle name="Normal 6 6 2 3 2 3 2" xfId="4100" xr:uid="{FAA1A74F-0ED6-4FF9-ACEA-6A6F00FD76A7}"/>
    <cellStyle name="Normal 6 6 2 3 2 3 3" xfId="8026" xr:uid="{3F685BD5-7CCD-4251-BB36-132E0BD697E2}"/>
    <cellStyle name="Normal 6 6 2 3 2 3 4" xfId="9544" xr:uid="{AF45788F-CDF1-406C-8DB7-29ED735805C1}"/>
    <cellStyle name="Normal 6 6 2 3 2 3 5" xfId="13158" xr:uid="{ABAF2BAC-AD7A-4E1E-8460-09AF544FC079}"/>
    <cellStyle name="Normal 6 6 2 3 2 3 6" xfId="14903" xr:uid="{EFA9AD94-BCBF-45F4-88D5-464E90421DCE}"/>
    <cellStyle name="Normal 6 6 2 3 2 4" xfId="5072" xr:uid="{813C1C9F-198C-4B48-A8D7-7DB7F375420B}"/>
    <cellStyle name="Normal 6 6 2 3 2 4 2" xfId="10542" xr:uid="{F6F5A9BF-E592-4C4E-BAB6-756DAFFA54F3}"/>
    <cellStyle name="Normal 6 6 2 3 2 5" xfId="5570" xr:uid="{B27B5915-4AFC-483E-BB52-DCEDA969C81E}"/>
    <cellStyle name="Normal 6 6 2 3 2 5 2" xfId="11044" xr:uid="{932B24AB-0002-4CC7-8A4D-6E61F296BCAA}"/>
    <cellStyle name="Normal 6 6 2 3 2 6" xfId="6072" xr:uid="{B49880E0-6426-4D1A-A21C-5F606A7AD4EA}"/>
    <cellStyle name="Normal 6 6 2 3 2 6 2" xfId="11546" xr:uid="{DA12BEF9-AFCE-4C42-B7E1-D492DC835FF7}"/>
    <cellStyle name="Normal 6 6 2 3 2 7" xfId="3090" xr:uid="{030159EC-BDF9-4D15-A7E1-846FF93EB8E0}"/>
    <cellStyle name="Normal 6 6 2 3 2 8" xfId="7012" xr:uid="{4E06C8A2-FBED-4DDF-92B1-517F45F711BB}"/>
    <cellStyle name="Normal 6 6 2 3 2 9" xfId="8536" xr:uid="{F0058ED1-0FB7-4D6F-B675-DE99D63C1CAE}"/>
    <cellStyle name="Normal 6 6 2 3 3" xfId="1624" xr:uid="{E8601A16-1713-42A2-BCEF-C6F4F5556A14}"/>
    <cellStyle name="Normal 6 6 2 3 3 2" xfId="4346" xr:uid="{FFA67F94-6EC5-4F29-9485-77D759D15822}"/>
    <cellStyle name="Normal 6 6 2 3 3 2 2" xfId="9792" xr:uid="{4038CF87-0E66-4AB0-9699-BDA0DC4AC701}"/>
    <cellStyle name="Normal 6 6 2 3 3 3" xfId="3336" xr:uid="{E8825A74-EC88-42BC-A68D-7C5560240A17}"/>
    <cellStyle name="Normal 6 6 2 3 3 4" xfId="7270" xr:uid="{D2324370-0986-483C-AC50-413BEA73E2A5}"/>
    <cellStyle name="Normal 6 6 2 3 3 5" xfId="8784" xr:uid="{9138BE81-B93B-4D71-B88E-6EF8380783D5}"/>
    <cellStyle name="Normal 6 6 2 3 3 6" xfId="12404" xr:uid="{9DF4F249-0E23-444C-B084-D4CA2120113E}"/>
    <cellStyle name="Normal 6 6 2 3 3 7" xfId="14149" xr:uid="{BC525713-BA60-4685-872E-62CD6E6F7430}"/>
    <cellStyle name="Normal 6 6 2 3 4" xfId="2132" xr:uid="{D6AFE8FC-133F-4FC4-9A19-255D40B9B295}"/>
    <cellStyle name="Normal 6 6 2 3 4 2" xfId="3852" xr:uid="{2F7BC0A4-B0A0-4ACD-9072-BF447D75B83D}"/>
    <cellStyle name="Normal 6 6 2 3 4 3" xfId="7778" xr:uid="{C5D96C69-FF04-4063-8DD8-E8C78AEC4C6C}"/>
    <cellStyle name="Normal 6 6 2 3 4 4" xfId="9296" xr:uid="{50DB651D-4463-4E26-9708-0B0CFF138A3A}"/>
    <cellStyle name="Normal 6 6 2 3 4 5" xfId="12910" xr:uid="{D1272C6C-9123-46DC-8CAA-935C6439DA8F}"/>
    <cellStyle name="Normal 6 6 2 3 4 6" xfId="14655" xr:uid="{618CC42E-C19A-4DF2-847C-63366B162204}"/>
    <cellStyle name="Normal 6 6 2 3 5" xfId="4836" xr:uid="{78857713-80A6-4CE4-B9DC-13C0DBFF68A1}"/>
    <cellStyle name="Normal 6 6 2 3 5 2" xfId="10294" xr:uid="{BA223520-82D8-4EE0-B47A-DFC7638DCE64}"/>
    <cellStyle name="Normal 6 6 2 3 6" xfId="5322" xr:uid="{59F3946D-C746-4C07-A634-A42954BD0593}"/>
    <cellStyle name="Normal 6 6 2 3 6 2" xfId="10796" xr:uid="{FF4AA9E4-A6CD-46F3-A93C-671D6D16D162}"/>
    <cellStyle name="Normal 6 6 2 3 7" xfId="5824" xr:uid="{FA584C1A-2836-41CD-B1E0-76F8B274CFE1}"/>
    <cellStyle name="Normal 6 6 2 3 7 2" xfId="11298" xr:uid="{A2A9A872-6391-4714-B876-F73FF196B3B2}"/>
    <cellStyle name="Normal 6 6 2 3 8" xfId="2852" xr:uid="{4A24DDBE-1500-4258-8145-E1B8330E27BB}"/>
    <cellStyle name="Normal 6 6 2 3 9" xfId="6764" xr:uid="{82D42645-DE8B-475A-A719-FFE84CAAAB3C}"/>
    <cellStyle name="Normal 6 6 2 4" xfId="1242" xr:uid="{1B2CDB97-17ED-4E50-957F-63E86E84FBB1}"/>
    <cellStyle name="Normal 6 6 2 4 10" xfId="12022" xr:uid="{B8439BAD-4619-4C16-ABD0-D6DA83055E97}"/>
    <cellStyle name="Normal 6 6 2 4 11" xfId="13767" xr:uid="{C506E3AE-9914-4E77-BA40-83270B75010D}"/>
    <cellStyle name="Normal 6 6 2 4 2" xfId="1748" xr:uid="{1E4BE17D-6186-4C65-80BD-B618BAB4019B}"/>
    <cellStyle name="Normal 6 6 2 4 2 2" xfId="4470" xr:uid="{4440BEC8-36E0-43B8-BFF1-C69DE67A6483}"/>
    <cellStyle name="Normal 6 6 2 4 2 2 2" xfId="9916" xr:uid="{ACF92520-2BE0-4FEB-AF40-527E4A7D590A}"/>
    <cellStyle name="Normal 6 6 2 4 2 3" xfId="3460" xr:uid="{48409EB2-0E87-433C-B772-BB14509F9F6C}"/>
    <cellStyle name="Normal 6 6 2 4 2 4" xfId="7394" xr:uid="{EBF0C409-5413-4173-8C7E-4A57592E0DAE}"/>
    <cellStyle name="Normal 6 6 2 4 2 5" xfId="8908" xr:uid="{2B660B4D-0273-467F-84A7-9E0FD2CE0842}"/>
    <cellStyle name="Normal 6 6 2 4 2 6" xfId="12528" xr:uid="{BE035FDC-871C-4EC5-B743-1D2C0111BCDA}"/>
    <cellStyle name="Normal 6 6 2 4 2 7" xfId="14273" xr:uid="{611AF423-16BB-4416-9812-3DBFDADDB158}"/>
    <cellStyle name="Normal 6 6 2 4 3" xfId="2256" xr:uid="{8B6039F3-C326-448C-9075-50D3366B33E6}"/>
    <cellStyle name="Normal 6 6 2 4 3 2" xfId="3976" xr:uid="{520C6E5A-9204-4E54-9603-4923F982705A}"/>
    <cellStyle name="Normal 6 6 2 4 3 3" xfId="7902" xr:uid="{FA9A6BFD-66B4-4946-ABA8-FDBDE76D7F50}"/>
    <cellStyle name="Normal 6 6 2 4 3 4" xfId="9420" xr:uid="{1DD24B92-902C-4025-A4D4-D1DD4FFB3C95}"/>
    <cellStyle name="Normal 6 6 2 4 3 5" xfId="13034" xr:uid="{462ED1C6-3779-4BB4-B872-D4482CB17D9C}"/>
    <cellStyle name="Normal 6 6 2 4 3 6" xfId="14779" xr:uid="{D037EAFC-9D6C-44D3-A649-6E38C4901228}"/>
    <cellStyle name="Normal 6 6 2 4 4" xfId="4952" xr:uid="{BA6C44A2-0F90-49C8-86C6-C296C243FA08}"/>
    <cellStyle name="Normal 6 6 2 4 4 2" xfId="10418" xr:uid="{C1836D4E-A6E4-4A45-B82C-50B23A87F054}"/>
    <cellStyle name="Normal 6 6 2 4 5" xfId="5446" xr:uid="{CC907759-3729-4823-AD28-A2AEF7F045AB}"/>
    <cellStyle name="Normal 6 6 2 4 5 2" xfId="10920" xr:uid="{FF1F79A9-998E-44F0-BB5E-47555271529E}"/>
    <cellStyle name="Normal 6 6 2 4 6" xfId="5948" xr:uid="{E528CA7F-ACB4-48E5-A109-53DF8325FA83}"/>
    <cellStyle name="Normal 6 6 2 4 6 2" xfId="11422" xr:uid="{E1F5A66F-859B-43E8-9642-E2038D9663F4}"/>
    <cellStyle name="Normal 6 6 2 4 7" xfId="2970" xr:uid="{D38C9406-3E43-46DF-B4F7-8C6F611BAC67}"/>
    <cellStyle name="Normal 6 6 2 4 8" xfId="6888" xr:uid="{CBB2AE44-509D-440B-8536-0B525E51E019}"/>
    <cellStyle name="Normal 6 6 2 4 9" xfId="8412" xr:uid="{8DCB6969-D927-4714-8052-2032D5D89B86}"/>
    <cellStyle name="Normal 6 6 2 5" xfId="1500" xr:uid="{12C4946F-9A04-4319-AC75-B20A39318299}"/>
    <cellStyle name="Normal 6 6 2 5 2" xfId="4224" xr:uid="{64CBE75F-0525-45FC-A6BE-9E128792FE13}"/>
    <cellStyle name="Normal 6 6 2 5 2 2" xfId="9668" xr:uid="{AB042B72-61B4-4A7B-B481-C27A81938AD8}"/>
    <cellStyle name="Normal 6 6 2 5 3" xfId="3214" xr:uid="{74416638-2794-4264-8C75-AAF9CCFAA2E2}"/>
    <cellStyle name="Normal 6 6 2 5 4" xfId="7146" xr:uid="{53D8F7BC-E35F-49BC-A78E-D6DB5930F8BB}"/>
    <cellStyle name="Normal 6 6 2 5 5" xfId="8660" xr:uid="{33FC0B17-D9C9-4212-8395-98B0FCEC96EA}"/>
    <cellStyle name="Normal 6 6 2 5 6" xfId="12280" xr:uid="{38D01E6E-212B-479A-BF43-F979FF22E700}"/>
    <cellStyle name="Normal 6 6 2 5 7" xfId="14025" xr:uid="{5428A812-45BA-4EC9-9F3F-CD130652DACB}"/>
    <cellStyle name="Normal 6 6 2 6" xfId="2008" xr:uid="{531E3EF9-5BE7-48A7-A10E-5B8278F07657}"/>
    <cellStyle name="Normal 6 6 2 6 2" xfId="3728" xr:uid="{47476CBB-0C30-46F8-B3FC-A716FA5DA844}"/>
    <cellStyle name="Normal 6 6 2 6 3" xfId="7654" xr:uid="{C600F1B6-BD19-4C4A-8963-F977C125734A}"/>
    <cellStyle name="Normal 6 6 2 6 4" xfId="9172" xr:uid="{B9CF6E91-7FA8-4EE0-8A7C-759702D67052}"/>
    <cellStyle name="Normal 6 6 2 6 5" xfId="12786" xr:uid="{BD6CE936-B887-4805-B06A-DA476C1B5980}"/>
    <cellStyle name="Normal 6 6 2 6 6" xfId="14531" xr:uid="{07F52B67-03FE-409A-BF5C-A9EFD2F25E84}"/>
    <cellStyle name="Normal 6 6 2 7" xfId="4724" xr:uid="{0AE1EC17-F260-4515-8810-700EA1EFF92A}"/>
    <cellStyle name="Normal 6 6 2 7 2" xfId="10170" xr:uid="{565EE0D7-DED8-44F7-8B09-21C1345576DB}"/>
    <cellStyle name="Normal 6 6 2 8" xfId="5198" xr:uid="{F9343102-9B90-4712-9EEF-0704AFE2D184}"/>
    <cellStyle name="Normal 6 6 2 8 2" xfId="10672" xr:uid="{78A01BAF-D503-4955-9B06-EB553B8B0D86}"/>
    <cellStyle name="Normal 6 6 2 9" xfId="5700" xr:uid="{A7345B81-C62F-4693-9D26-C5213E124836}"/>
    <cellStyle name="Normal 6 6 2 9 2" xfId="11174" xr:uid="{148E494D-3C9C-4954-A266-882E6D95257D}"/>
    <cellStyle name="Normal 6 6 3" xfId="1014" xr:uid="{E6493D9B-285F-4AE1-9723-63E000AD1872}"/>
    <cellStyle name="Normal 6 6 3 10" xfId="2758" xr:uid="{33962DDB-E6CD-4F2A-99BA-750D3266CE3F}"/>
    <cellStyle name="Normal 6 6 3 11" xfId="6660" xr:uid="{48796C3F-3BB7-44C3-AF58-1CF3D973F514}"/>
    <cellStyle name="Normal 6 6 3 12" xfId="8184" xr:uid="{8B81C695-937A-4E43-8B54-5A9C3CB0D6F6}"/>
    <cellStyle name="Normal 6 6 3 13" xfId="11794" xr:uid="{BB104ECE-FF3A-4F62-9CE2-F5B500E3432A}"/>
    <cellStyle name="Normal 6 6 3 14" xfId="13539" xr:uid="{A312F213-7F95-451A-913F-194B8CD1CF4B}"/>
    <cellStyle name="Normal 6 6 3 2" xfId="1071" xr:uid="{BA764863-AFBE-4927-A21F-F8C454B9EDE1}"/>
    <cellStyle name="Normal 6 6 3 2 10" xfId="6717" xr:uid="{B57DDB7B-35EE-42FC-9678-4AA081323F93}"/>
    <cellStyle name="Normal 6 6 3 2 11" xfId="8241" xr:uid="{004A64A7-207C-4453-8E17-3D92C2380E24}"/>
    <cellStyle name="Normal 6 6 3 2 12" xfId="11851" xr:uid="{FC3C1AF0-82D1-462F-960F-601D7A34B22B}"/>
    <cellStyle name="Normal 6 6 3 2 13" xfId="13596" xr:uid="{28FB8E02-AD3A-489F-81BF-2FF8C70E5B60}"/>
    <cellStyle name="Normal 6 6 3 2 2" xfId="1195" xr:uid="{6A823DDC-ECC1-4D77-B7D2-570D13BF683D}"/>
    <cellStyle name="Normal 6 6 3 2 2 10" xfId="8365" xr:uid="{1546A921-A30A-4C9A-925F-4F7CED13FB86}"/>
    <cellStyle name="Normal 6 6 3 2 2 11" xfId="11975" xr:uid="{5AD0DBFF-6A90-4881-9809-495BCACC8ADF}"/>
    <cellStyle name="Normal 6 6 3 2 2 12" xfId="13720" xr:uid="{54493B79-AE0F-4E05-9D24-27A0182F3A93}"/>
    <cellStyle name="Normal 6 6 3 2 2 2" xfId="1443" xr:uid="{AC6B35A2-A999-4B3E-8723-D256574078D7}"/>
    <cellStyle name="Normal 6 6 3 2 2 2 10" xfId="12223" xr:uid="{2FE82179-8563-47D1-A3D7-30BF7A81E01C}"/>
    <cellStyle name="Normal 6 6 3 2 2 2 11" xfId="13968" xr:uid="{7AFDA849-F865-4456-84F8-257311F95C72}"/>
    <cellStyle name="Normal 6 6 3 2 2 2 2" xfId="1949" xr:uid="{64317999-0196-41AC-9CA1-13F2FD41E797}"/>
    <cellStyle name="Normal 6 6 3 2 2 2 2 2" xfId="4671" xr:uid="{EDCB9A8B-4AC4-44D4-AACC-068E76DD1E66}"/>
    <cellStyle name="Normal 6 6 3 2 2 2 2 2 2" xfId="10117" xr:uid="{CF521A5D-9557-4481-A83A-84B83403344C}"/>
    <cellStyle name="Normal 6 6 3 2 2 2 2 3" xfId="3661" xr:uid="{7F487E9A-7913-4323-AC4E-4C591998A19F}"/>
    <cellStyle name="Normal 6 6 3 2 2 2 2 4" xfId="7595" xr:uid="{4E8FF2C7-3A0A-4B7C-BC4E-E439E168BEC0}"/>
    <cellStyle name="Normal 6 6 3 2 2 2 2 5" xfId="9109" xr:uid="{2103D8DB-4CBE-4701-8DA8-2BBD8ACC75F7}"/>
    <cellStyle name="Normal 6 6 3 2 2 2 2 6" xfId="12729" xr:uid="{BE7A978F-6E27-482A-B54F-62F94B5D4A9B}"/>
    <cellStyle name="Normal 6 6 3 2 2 2 2 7" xfId="14474" xr:uid="{2B0EE661-B12C-4DAA-BD9F-6DB6AA1BE600}"/>
    <cellStyle name="Normal 6 6 3 2 2 2 3" xfId="2457" xr:uid="{0C5BA7FC-6374-4B4C-8600-4AC666F6FF5F}"/>
    <cellStyle name="Normal 6 6 3 2 2 2 3 2" xfId="4177" xr:uid="{516938DB-C0B1-43D4-A531-FEC76CB2184A}"/>
    <cellStyle name="Normal 6 6 3 2 2 2 3 3" xfId="8103" xr:uid="{8435EB07-32FA-4111-93B2-0E93EF00E8C8}"/>
    <cellStyle name="Normal 6 6 3 2 2 2 3 4" xfId="9621" xr:uid="{6E73D3CF-EF8A-4B56-B6A7-984D3BC4ECA0}"/>
    <cellStyle name="Normal 6 6 3 2 2 2 3 5" xfId="13235" xr:uid="{9071ABCD-9300-4524-B57E-49D62232F353}"/>
    <cellStyle name="Normal 6 6 3 2 2 2 3 6" xfId="14980" xr:uid="{91497779-FD2B-48A8-94D8-D07CA8D71614}"/>
    <cellStyle name="Normal 6 6 3 2 2 2 4" xfId="5149" xr:uid="{0C25B800-A1E4-49E6-BB4E-BEDE8707088C}"/>
    <cellStyle name="Normal 6 6 3 2 2 2 4 2" xfId="10619" xr:uid="{5DCC05F4-F47C-4CC4-A6B2-7F541E9EF2DB}"/>
    <cellStyle name="Normal 6 6 3 2 2 2 5" xfId="5647" xr:uid="{F50D9E5B-C404-49C2-80C1-7432AFDE8356}"/>
    <cellStyle name="Normal 6 6 3 2 2 2 5 2" xfId="11121" xr:uid="{4A7B00F4-79BC-47C6-891E-2CE75501EB39}"/>
    <cellStyle name="Normal 6 6 3 2 2 2 6" xfId="6149" xr:uid="{A56EFF2C-2060-4DD7-AD92-F98A74322C65}"/>
    <cellStyle name="Normal 6 6 3 2 2 2 6 2" xfId="11623" xr:uid="{C0285F47-C91C-4B3E-AD8C-942E1D55D0CF}"/>
    <cellStyle name="Normal 6 6 3 2 2 2 7" xfId="3167" xr:uid="{A3A3ED33-B031-4286-8BD4-B650D74EFDDF}"/>
    <cellStyle name="Normal 6 6 3 2 2 2 8" xfId="7089" xr:uid="{2990F808-6B76-4D79-9B1B-9A240D6DF7C8}"/>
    <cellStyle name="Normal 6 6 3 2 2 2 9" xfId="8613" xr:uid="{3849DD4E-7216-4232-BDBA-7831A1EECB40}"/>
    <cellStyle name="Normal 6 6 3 2 2 3" xfId="1701" xr:uid="{FAC703B7-C270-4BC0-BDF1-99C47BE80F92}"/>
    <cellStyle name="Normal 6 6 3 2 2 3 2" xfId="4423" xr:uid="{DB52EB93-E365-4EBC-9676-F713554287FA}"/>
    <cellStyle name="Normal 6 6 3 2 2 3 2 2" xfId="9869" xr:uid="{51DEE5C6-412F-4871-A6EE-9EF6C5883BBC}"/>
    <cellStyle name="Normal 6 6 3 2 2 3 3" xfId="3413" xr:uid="{F0794F72-E3CA-4687-BC54-07C2225EAB85}"/>
    <cellStyle name="Normal 6 6 3 2 2 3 4" xfId="7347" xr:uid="{D3EE1BC3-ACA0-4854-90EC-EDA16EE1A469}"/>
    <cellStyle name="Normal 6 6 3 2 2 3 5" xfId="8861" xr:uid="{484ADA3D-CC57-4794-BC0B-0805508B41F9}"/>
    <cellStyle name="Normal 6 6 3 2 2 3 6" xfId="12481" xr:uid="{8BCEDC5A-158B-451F-882F-409AE3C5C2F6}"/>
    <cellStyle name="Normal 6 6 3 2 2 3 7" xfId="14226" xr:uid="{D7D12C8E-CE9E-4707-89CA-92470C7B51B2}"/>
    <cellStyle name="Normal 6 6 3 2 2 4" xfId="2209" xr:uid="{B01D88A7-834E-4D98-99BD-6F1D7FEA3A23}"/>
    <cellStyle name="Normal 6 6 3 2 2 4 2" xfId="3929" xr:uid="{56DC3D20-6E3B-466C-AF3C-E718C5B15916}"/>
    <cellStyle name="Normal 6 6 3 2 2 4 3" xfId="7855" xr:uid="{5B14C439-EBD3-4E73-86E6-A2B6A0638729}"/>
    <cellStyle name="Normal 6 6 3 2 2 4 4" xfId="9373" xr:uid="{78DE8674-D205-4FB2-949B-B0B00486C35B}"/>
    <cellStyle name="Normal 6 6 3 2 2 4 5" xfId="12987" xr:uid="{6F5D9F67-3A9E-4CF9-96A1-B7152C03A058}"/>
    <cellStyle name="Normal 6 6 3 2 2 4 6" xfId="14732" xr:uid="{C5441CE2-CA40-480D-9C19-1D9F9ABD8311}"/>
    <cellStyle name="Normal 6 6 3 2 2 5" xfId="4909" xr:uid="{D9E96998-7EA1-4363-B2AE-55171A281FF5}"/>
    <cellStyle name="Normal 6 6 3 2 2 5 2" xfId="10371" xr:uid="{5A59ABD8-2CBD-43C7-8809-8FEAEA1DDC5E}"/>
    <cellStyle name="Normal 6 6 3 2 2 6" xfId="5399" xr:uid="{D3C6F5BE-2F07-49EB-877B-AC2DA608CA7F}"/>
    <cellStyle name="Normal 6 6 3 2 2 6 2" xfId="10873" xr:uid="{399A163B-C522-414D-880E-E5EF4DB43E15}"/>
    <cellStyle name="Normal 6 6 3 2 2 7" xfId="5901" xr:uid="{B1B6BB09-3601-4D4C-A833-727EDE1F1D92}"/>
    <cellStyle name="Normal 6 6 3 2 2 7 2" xfId="11375" xr:uid="{908DFF0C-E4B6-4A48-81BC-6567FD9E3985}"/>
    <cellStyle name="Normal 6 6 3 2 2 8" xfId="2925" xr:uid="{BBE877A4-6B51-4EC3-AECB-FD66E263330C}"/>
    <cellStyle name="Normal 6 6 3 2 2 9" xfId="6841" xr:uid="{AABAA160-764D-43E8-A4F1-4EC3774E057D}"/>
    <cellStyle name="Normal 6 6 3 2 3" xfId="1319" xr:uid="{45FECF3E-5CBC-466F-9885-9DEB8FFE2F45}"/>
    <cellStyle name="Normal 6 6 3 2 3 10" xfId="12099" xr:uid="{85D43064-DA1F-478C-BA01-FFD1E642DCFF}"/>
    <cellStyle name="Normal 6 6 3 2 3 11" xfId="13844" xr:uid="{57FD66A5-80B4-41EC-AC50-BDF622B759D4}"/>
    <cellStyle name="Normal 6 6 3 2 3 2" xfId="1825" xr:uid="{976EFA2B-FE8A-4631-BCB3-86471722139C}"/>
    <cellStyle name="Normal 6 6 3 2 3 2 2" xfId="4547" xr:uid="{7851D9C0-1C06-4B38-8D30-187141B9C65B}"/>
    <cellStyle name="Normal 6 6 3 2 3 2 2 2" xfId="9993" xr:uid="{3E93C04D-9FDF-408F-BED0-692A79657169}"/>
    <cellStyle name="Normal 6 6 3 2 3 2 3" xfId="3537" xr:uid="{62048073-D112-4B71-80DB-82F934D2D954}"/>
    <cellStyle name="Normal 6 6 3 2 3 2 4" xfId="7471" xr:uid="{C579AFB5-AD99-47E8-94C5-E98DE28FC0E6}"/>
    <cellStyle name="Normal 6 6 3 2 3 2 5" xfId="8985" xr:uid="{AE906850-06AC-494D-87A7-832BBFFAC029}"/>
    <cellStyle name="Normal 6 6 3 2 3 2 6" xfId="12605" xr:uid="{AA969969-1BDB-417E-93B4-C45783D85091}"/>
    <cellStyle name="Normal 6 6 3 2 3 2 7" xfId="14350" xr:uid="{AB306F3D-0A3E-4EBB-B138-C1CE3FA2ABB3}"/>
    <cellStyle name="Normal 6 6 3 2 3 3" xfId="2333" xr:uid="{1C1E6FA8-F978-4DAB-80F8-5B2AE30C77D1}"/>
    <cellStyle name="Normal 6 6 3 2 3 3 2" xfId="4053" xr:uid="{3216A5FD-6902-46B0-9CDD-0FC51D5F83D6}"/>
    <cellStyle name="Normal 6 6 3 2 3 3 3" xfId="7979" xr:uid="{D0E85496-C141-4B45-901F-5E2663D5D996}"/>
    <cellStyle name="Normal 6 6 3 2 3 3 4" xfId="9497" xr:uid="{B8B6B646-A7AB-4AF7-AA14-181A54AA0165}"/>
    <cellStyle name="Normal 6 6 3 2 3 3 5" xfId="13111" xr:uid="{ACB542A6-D3C6-4561-8148-2F7AE088CD90}"/>
    <cellStyle name="Normal 6 6 3 2 3 3 6" xfId="14856" xr:uid="{5C2FCFF7-8B06-4852-BD63-54C6A4B6BCB7}"/>
    <cellStyle name="Normal 6 6 3 2 3 4" xfId="5025" xr:uid="{B229B886-F6A5-4CB4-8A8F-C27C53D52F80}"/>
    <cellStyle name="Normal 6 6 3 2 3 4 2" xfId="10495" xr:uid="{9E61843E-689C-4D32-A292-086E62128449}"/>
    <cellStyle name="Normal 6 6 3 2 3 5" xfId="5523" xr:uid="{B922F993-CB73-47F7-AB4B-5EDBA164E4F0}"/>
    <cellStyle name="Normal 6 6 3 2 3 5 2" xfId="10997" xr:uid="{20F736FA-F6A7-4596-B021-0BB43985882D}"/>
    <cellStyle name="Normal 6 6 3 2 3 6" xfId="6025" xr:uid="{19B86701-77CC-49BF-AC6C-A66DA65AC70B}"/>
    <cellStyle name="Normal 6 6 3 2 3 6 2" xfId="11499" xr:uid="{00418E04-7AA4-41B3-9449-E14E057D0374}"/>
    <cellStyle name="Normal 6 6 3 2 3 7" xfId="3043" xr:uid="{984A0350-6153-448D-AF2B-4EB8AC9F99E0}"/>
    <cellStyle name="Normal 6 6 3 2 3 8" xfId="6965" xr:uid="{C3DE0F7A-4827-4963-A363-2CC824CE4498}"/>
    <cellStyle name="Normal 6 6 3 2 3 9" xfId="8489" xr:uid="{A3183E65-5FAA-43E1-B7B9-12F758460BCF}"/>
    <cellStyle name="Normal 6 6 3 2 4" xfId="1577" xr:uid="{3546DB44-806A-4232-89A3-4B3A5D72EFF4}"/>
    <cellStyle name="Normal 6 6 3 2 4 2" xfId="4299" xr:uid="{26A91A88-927F-455F-A759-B6ADD5EF9B1E}"/>
    <cellStyle name="Normal 6 6 3 2 4 2 2" xfId="9745" xr:uid="{FDA6891B-32A9-4406-A0C5-23C44947AEE4}"/>
    <cellStyle name="Normal 6 6 3 2 4 3" xfId="3289" xr:uid="{4E26F855-B84D-4341-B1D2-0F166CC52964}"/>
    <cellStyle name="Normal 6 6 3 2 4 4" xfId="7223" xr:uid="{7E81DB28-22EB-48D1-B083-4CB3D0A71D35}"/>
    <cellStyle name="Normal 6 6 3 2 4 5" xfId="8737" xr:uid="{12EEC5CB-11AE-4820-A15F-194605485886}"/>
    <cellStyle name="Normal 6 6 3 2 4 6" xfId="12357" xr:uid="{BB6D928F-D7C5-473B-9418-6A86C6C0CDD6}"/>
    <cellStyle name="Normal 6 6 3 2 4 7" xfId="14102" xr:uid="{CB2F6014-FA10-44BA-99A3-F7777490A787}"/>
    <cellStyle name="Normal 6 6 3 2 5" xfId="2085" xr:uid="{AD7B2507-CF8C-4833-A6CB-03703E7964B6}"/>
    <cellStyle name="Normal 6 6 3 2 5 2" xfId="3805" xr:uid="{B11687BB-6C84-4EB2-8DB4-6457890E221A}"/>
    <cellStyle name="Normal 6 6 3 2 5 3" xfId="7731" xr:uid="{7B637203-ACD7-4F84-BC29-3B819C6A72C9}"/>
    <cellStyle name="Normal 6 6 3 2 5 4" xfId="9249" xr:uid="{56A7C981-D32E-4662-A2EA-941FB418FB18}"/>
    <cellStyle name="Normal 6 6 3 2 5 5" xfId="12863" xr:uid="{319DD696-72F3-47BA-B8E5-C77D40206FF0}"/>
    <cellStyle name="Normal 6 6 3 2 5 6" xfId="14608" xr:uid="{02C5A736-2735-42BF-9CB3-154569712DF0}"/>
    <cellStyle name="Normal 6 6 3 2 6" xfId="4793" xr:uid="{11A8E0BE-3CEB-450F-BDF1-55700F59DE3A}"/>
    <cellStyle name="Normal 6 6 3 2 6 2" xfId="10247" xr:uid="{F583B837-D5C5-4995-B67C-21C07AC45D38}"/>
    <cellStyle name="Normal 6 6 3 2 7" xfId="5275" xr:uid="{D29498F0-6B2B-406B-9D33-E8A71ED059A3}"/>
    <cellStyle name="Normal 6 6 3 2 7 2" xfId="10749" xr:uid="{267AE51D-BC74-422F-9AAF-2EBFF0123D67}"/>
    <cellStyle name="Normal 6 6 3 2 8" xfId="5777" xr:uid="{14A4B0D6-69DA-4881-8EDD-2CE71A08A0E7}"/>
    <cellStyle name="Normal 6 6 3 2 8 2" xfId="11251" xr:uid="{7F7C79AB-3E28-4210-ACF5-ED429D1A2698}"/>
    <cellStyle name="Normal 6 6 3 2 9" xfId="2809" xr:uid="{7A6E705E-0B05-47F0-A244-C7C42051CBB1}"/>
    <cellStyle name="Normal 6 6 3 3" xfId="1138" xr:uid="{B2712071-C595-4D75-AADC-4A6F691C56A9}"/>
    <cellStyle name="Normal 6 6 3 3 10" xfId="8308" xr:uid="{CD0DCB33-F09A-4B3C-B08E-D7776191CA99}"/>
    <cellStyle name="Normal 6 6 3 3 11" xfId="11918" xr:uid="{7DE2D11A-10B3-4655-9B15-BA275AF2CA8E}"/>
    <cellStyle name="Normal 6 6 3 3 12" xfId="13663" xr:uid="{E8153AA8-6525-4A78-868A-FA6F85B84662}"/>
    <cellStyle name="Normal 6 6 3 3 2" xfId="1386" xr:uid="{4EF4B7C6-9EE2-426D-BC15-DE67D4F30568}"/>
    <cellStyle name="Normal 6 6 3 3 2 10" xfId="12166" xr:uid="{AE109621-B70D-4C47-9A76-5E8EDD14EDA3}"/>
    <cellStyle name="Normal 6 6 3 3 2 11" xfId="13911" xr:uid="{9FA75DD7-3321-4A2C-A778-B5A0D69CC9FE}"/>
    <cellStyle name="Normal 6 6 3 3 2 2" xfId="1892" xr:uid="{62C6C72E-CD61-4EA6-A331-D97FB37CBFAF}"/>
    <cellStyle name="Normal 6 6 3 3 2 2 2" xfId="4614" xr:uid="{3B9F908C-01B2-4803-A4A2-165703DA2FDF}"/>
    <cellStyle name="Normal 6 6 3 3 2 2 2 2" xfId="10060" xr:uid="{8EB6A8AD-4F78-46E9-89A0-35E494E28091}"/>
    <cellStyle name="Normal 6 6 3 3 2 2 3" xfId="3604" xr:uid="{27D5F1EC-47CC-43EC-B13F-7B1CCBE6AE23}"/>
    <cellStyle name="Normal 6 6 3 3 2 2 4" xfId="7538" xr:uid="{C2AAB012-0B73-4BFB-9A0A-F848F8EA2BE1}"/>
    <cellStyle name="Normal 6 6 3 3 2 2 5" xfId="9052" xr:uid="{71F6F772-0639-4A39-8D8B-C910FDD498D1}"/>
    <cellStyle name="Normal 6 6 3 3 2 2 6" xfId="12672" xr:uid="{E04FA80D-FC9A-470D-9331-8B55D80A32BA}"/>
    <cellStyle name="Normal 6 6 3 3 2 2 7" xfId="14417" xr:uid="{C35EAB63-6870-48BF-BFA7-E9BF8AD763C9}"/>
    <cellStyle name="Normal 6 6 3 3 2 3" xfId="2400" xr:uid="{70D077A1-F9CB-4CC3-83E6-E3CFE2769308}"/>
    <cellStyle name="Normal 6 6 3 3 2 3 2" xfId="4120" xr:uid="{8BE808CC-29AA-4C95-AFA8-07134235E04D}"/>
    <cellStyle name="Normal 6 6 3 3 2 3 3" xfId="8046" xr:uid="{8CD7D5C3-F1D5-4A68-BE76-4146370D6D2D}"/>
    <cellStyle name="Normal 6 6 3 3 2 3 4" xfId="9564" xr:uid="{A11EE4E4-34F6-45A7-80CE-05B771EA7347}"/>
    <cellStyle name="Normal 6 6 3 3 2 3 5" xfId="13178" xr:uid="{6789BBF8-AF42-4CB8-99DD-135908D216F5}"/>
    <cellStyle name="Normal 6 6 3 3 2 3 6" xfId="14923" xr:uid="{5B2C28B5-2C8A-4958-8944-4C0FB36E45C5}"/>
    <cellStyle name="Normal 6 6 3 3 2 4" xfId="5092" xr:uid="{AA3440B9-52ED-4177-8F4B-79552DE41423}"/>
    <cellStyle name="Normal 6 6 3 3 2 4 2" xfId="10562" xr:uid="{ED1A6E3A-B4F0-4AFA-983B-3FADE021857F}"/>
    <cellStyle name="Normal 6 6 3 3 2 5" xfId="5590" xr:uid="{1D7322B4-2CD6-4292-8677-BDC48AB15C5F}"/>
    <cellStyle name="Normal 6 6 3 3 2 5 2" xfId="11064" xr:uid="{B662F78F-3E80-4238-9B2F-7A7E4B21297A}"/>
    <cellStyle name="Normal 6 6 3 3 2 6" xfId="6092" xr:uid="{4EC62E4C-B0A1-446B-918B-B4448098180E}"/>
    <cellStyle name="Normal 6 6 3 3 2 6 2" xfId="11566" xr:uid="{EA7E7796-310B-4F24-A990-D360F57894E2}"/>
    <cellStyle name="Normal 6 6 3 3 2 7" xfId="3110" xr:uid="{63A9BF41-D7D5-42A5-A5F4-ECFF8201B166}"/>
    <cellStyle name="Normal 6 6 3 3 2 8" xfId="7032" xr:uid="{E71BFB7E-A523-4538-B450-FBDFC5B69C20}"/>
    <cellStyle name="Normal 6 6 3 3 2 9" xfId="8556" xr:uid="{FEE62A1F-ADA3-4049-9581-9EF875A03344}"/>
    <cellStyle name="Normal 6 6 3 3 3" xfId="1644" xr:uid="{F57195DA-ED9F-4C79-9FCC-4EB5476DB4EF}"/>
    <cellStyle name="Normal 6 6 3 3 3 2" xfId="4366" xr:uid="{7C7F15CF-1D00-4867-AECF-11295703D78B}"/>
    <cellStyle name="Normal 6 6 3 3 3 2 2" xfId="9812" xr:uid="{C95CA93E-B11C-4C8C-9759-606AEF944614}"/>
    <cellStyle name="Normal 6 6 3 3 3 3" xfId="3356" xr:uid="{39E2D30E-15FE-4D5E-B201-93A06DA9329C}"/>
    <cellStyle name="Normal 6 6 3 3 3 4" xfId="7290" xr:uid="{31B6C044-1D54-4978-BA06-F4BE6CFFCE51}"/>
    <cellStyle name="Normal 6 6 3 3 3 5" xfId="8804" xr:uid="{D423C581-015C-4F6B-BECB-2668203CDA6E}"/>
    <cellStyle name="Normal 6 6 3 3 3 6" xfId="12424" xr:uid="{6A0497B6-F103-40FF-B485-DD1DC7DD2AE3}"/>
    <cellStyle name="Normal 6 6 3 3 3 7" xfId="14169" xr:uid="{6F187332-00E0-456B-B705-2F76028D87C6}"/>
    <cellStyle name="Normal 6 6 3 3 4" xfId="2152" xr:uid="{FE74C281-E0B8-4E35-BE58-25FE52FEC135}"/>
    <cellStyle name="Normal 6 6 3 3 4 2" xfId="3872" xr:uid="{6CEDFE55-C61B-47ED-A7AD-036D6A08A140}"/>
    <cellStyle name="Normal 6 6 3 3 4 3" xfId="7798" xr:uid="{872B277C-ABC9-43DC-85DA-2B1933820137}"/>
    <cellStyle name="Normal 6 6 3 3 4 4" xfId="9316" xr:uid="{8721B8FB-89B0-486F-8B6D-8AA75259B2D1}"/>
    <cellStyle name="Normal 6 6 3 3 4 5" xfId="12930" xr:uid="{C241E5CE-222F-48E6-B5E4-E974EAD7B522}"/>
    <cellStyle name="Normal 6 6 3 3 4 6" xfId="14675" xr:uid="{D0CE1AEF-4ED1-478F-A243-ABE175BF1351}"/>
    <cellStyle name="Normal 6 6 3 3 5" xfId="4854" xr:uid="{66DCC25E-60D8-4849-93D0-D096385DD5A8}"/>
    <cellStyle name="Normal 6 6 3 3 5 2" xfId="10314" xr:uid="{F972BDFE-383B-4E2C-B42C-A0DB11F0EF7F}"/>
    <cellStyle name="Normal 6 6 3 3 6" xfId="5342" xr:uid="{3F696FEB-DA73-4701-8E2F-1A6CD77ABB81}"/>
    <cellStyle name="Normal 6 6 3 3 6 2" xfId="10816" xr:uid="{4AC940F7-5202-462A-B104-610F54A1D72C}"/>
    <cellStyle name="Normal 6 6 3 3 7" xfId="5844" xr:uid="{3117B3A8-F993-4271-8DDF-7E734E9674E6}"/>
    <cellStyle name="Normal 6 6 3 3 7 2" xfId="11318" xr:uid="{3AC61C0B-218A-4354-A2F4-0B01522EE8FD}"/>
    <cellStyle name="Normal 6 6 3 3 8" xfId="2870" xr:uid="{4DE0474E-1588-4C4E-9F1B-FF5360CCA5F8}"/>
    <cellStyle name="Normal 6 6 3 3 9" xfId="6784" xr:uid="{55CC6DD5-FB88-4D06-8155-BA3840D0B581}"/>
    <cellStyle name="Normal 6 6 3 4" xfId="1262" xr:uid="{094BC947-E1FF-47D1-9777-80DA1DD3C876}"/>
    <cellStyle name="Normal 6 6 3 4 10" xfId="12042" xr:uid="{A7D66E59-8F4D-442A-9DFD-378BF5841DA0}"/>
    <cellStyle name="Normal 6 6 3 4 11" xfId="13787" xr:uid="{92EFCF4F-4DA1-4407-8498-3793A0CCB58B}"/>
    <cellStyle name="Normal 6 6 3 4 2" xfId="1768" xr:uid="{D98DFC82-61A5-46E9-A8B2-33B7208FFCAD}"/>
    <cellStyle name="Normal 6 6 3 4 2 2" xfId="4490" xr:uid="{82BFEF3F-E45B-4D0D-86AE-69095BC0C4A1}"/>
    <cellStyle name="Normal 6 6 3 4 2 2 2" xfId="9936" xr:uid="{72D51A7E-8D88-44FE-8816-0E88A2EC6865}"/>
    <cellStyle name="Normal 6 6 3 4 2 3" xfId="3480" xr:uid="{A7280301-A9BB-40CC-958A-C38927A4558A}"/>
    <cellStyle name="Normal 6 6 3 4 2 4" xfId="7414" xr:uid="{8C01255B-775E-4039-8E51-CAD772BD702F}"/>
    <cellStyle name="Normal 6 6 3 4 2 5" xfId="8928" xr:uid="{786CFDB5-2705-470D-8307-A195C85F57BB}"/>
    <cellStyle name="Normal 6 6 3 4 2 6" xfId="12548" xr:uid="{6B5D2782-E09D-495C-A629-4E9D04554E8D}"/>
    <cellStyle name="Normal 6 6 3 4 2 7" xfId="14293" xr:uid="{FBFC4716-A316-4EE1-94B0-910376C9CB39}"/>
    <cellStyle name="Normal 6 6 3 4 3" xfId="2276" xr:uid="{340A5B13-1153-4911-A9CA-592E25187604}"/>
    <cellStyle name="Normal 6 6 3 4 3 2" xfId="3996" xr:uid="{78BF909F-931A-493C-99D2-48F4DB9D0F84}"/>
    <cellStyle name="Normal 6 6 3 4 3 3" xfId="7922" xr:uid="{09DA3146-906A-47B2-8389-F4FF9EEACF5E}"/>
    <cellStyle name="Normal 6 6 3 4 3 4" xfId="9440" xr:uid="{2F52B976-08DB-4ACD-AD6E-CD511A63CC7A}"/>
    <cellStyle name="Normal 6 6 3 4 3 5" xfId="13054" xr:uid="{AA82C5EB-78D8-41F9-949C-66DFDBF6F61C}"/>
    <cellStyle name="Normal 6 6 3 4 3 6" xfId="14799" xr:uid="{80BEB89D-AA60-459B-A160-CB9F07F86D92}"/>
    <cellStyle name="Normal 6 6 3 4 4" xfId="4970" xr:uid="{E43D6583-FD34-4CFC-B85A-A0D5824A5869}"/>
    <cellStyle name="Normal 6 6 3 4 4 2" xfId="10438" xr:uid="{B908623D-E20F-431E-A360-1082B703B313}"/>
    <cellStyle name="Normal 6 6 3 4 5" xfId="5466" xr:uid="{4EA5E9BD-C679-4DAE-8D0D-3B50B47C8DB7}"/>
    <cellStyle name="Normal 6 6 3 4 5 2" xfId="10940" xr:uid="{4B7467BF-8124-4F3A-9BC0-CDFE976CBA9C}"/>
    <cellStyle name="Normal 6 6 3 4 6" xfId="5968" xr:uid="{4C8D30BA-7F6C-4D2A-9255-6172A7BBBD2A}"/>
    <cellStyle name="Normal 6 6 3 4 6 2" xfId="11442" xr:uid="{97D52E4E-FE56-45FF-9667-4A1A8B2520A3}"/>
    <cellStyle name="Normal 6 6 3 4 7" xfId="2988" xr:uid="{D169E089-F600-4E3F-B6C1-67F9EA1CE5C0}"/>
    <cellStyle name="Normal 6 6 3 4 8" xfId="6908" xr:uid="{A98DB92B-CC0B-4C97-8291-25042D32856A}"/>
    <cellStyle name="Normal 6 6 3 4 9" xfId="8432" xr:uid="{3F5053D2-AEA5-49E3-8846-077A2006EB7E}"/>
    <cellStyle name="Normal 6 6 3 5" xfId="1520" xr:uid="{6CD79A53-5D99-4649-BEA8-3BA972FF6DCE}"/>
    <cellStyle name="Normal 6 6 3 5 2" xfId="4244" xr:uid="{C6C7D393-6ED5-41B8-A0F0-A4C269790F4F}"/>
    <cellStyle name="Normal 6 6 3 5 2 2" xfId="9688" xr:uid="{D2D57444-B5F1-4615-95AF-523CE0350DCF}"/>
    <cellStyle name="Normal 6 6 3 5 3" xfId="3234" xr:uid="{AB9F7AEF-A54B-42B6-81CA-23F0CEB9F6CB}"/>
    <cellStyle name="Normal 6 6 3 5 4" xfId="7166" xr:uid="{E68ED6FC-B0FF-4ABF-AA00-2289AAAA804F}"/>
    <cellStyle name="Normal 6 6 3 5 5" xfId="8680" xr:uid="{551F07CA-5CED-4ACA-8E17-BC24D1D7FA56}"/>
    <cellStyle name="Normal 6 6 3 5 6" xfId="12300" xr:uid="{CC062229-D39A-4A7F-B9D1-73360CD997AB}"/>
    <cellStyle name="Normal 6 6 3 5 7" xfId="14045" xr:uid="{C81AED99-96D4-4364-B180-93C14DAED288}"/>
    <cellStyle name="Normal 6 6 3 6" xfId="2028" xr:uid="{628AED0B-739D-4243-BB73-6857F4FDA242}"/>
    <cellStyle name="Normal 6 6 3 6 2" xfId="3748" xr:uid="{61FA1F75-2936-4F3D-B137-22F0C290DE50}"/>
    <cellStyle name="Normal 6 6 3 6 3" xfId="7674" xr:uid="{E6F191E5-096A-47CE-9516-FB59FFB08605}"/>
    <cellStyle name="Normal 6 6 3 6 4" xfId="9192" xr:uid="{630024FC-CEAB-40D2-A7BA-3D627775A552}"/>
    <cellStyle name="Normal 6 6 3 6 5" xfId="12806" xr:uid="{FC072E75-041F-43A2-B90D-9474F8D9E207}"/>
    <cellStyle name="Normal 6 6 3 6 6" xfId="14551" xr:uid="{501AA35C-4DF7-4460-9AF8-369DA096A0EA}"/>
    <cellStyle name="Normal 6 6 3 7" xfId="4742" xr:uid="{7F5612FC-DA06-4986-9D05-BA0A944F8E36}"/>
    <cellStyle name="Normal 6 6 3 7 2" xfId="10190" xr:uid="{2C73DFEE-9ECF-4289-A671-3145E099BA33}"/>
    <cellStyle name="Normal 6 6 3 8" xfId="5218" xr:uid="{80B2D6D9-83FC-4C95-B483-F72629032F63}"/>
    <cellStyle name="Normal 6 6 3 8 2" xfId="10692" xr:uid="{5325895B-0F48-447F-970D-8E99777D7C2C}"/>
    <cellStyle name="Normal 6 6 3 9" xfId="5720" xr:uid="{5149EB8A-3EA9-418C-8F4F-C5576268B763}"/>
    <cellStyle name="Normal 6 6 3 9 2" xfId="11194" xr:uid="{E8E2CC74-26FC-4CE6-B402-4387CACE877D}"/>
    <cellStyle name="Normal 6 6 4" xfId="1069" xr:uid="{EF6E2868-0CD8-46CF-82A4-A0FC87903367}"/>
    <cellStyle name="Normal 6 6 4 10" xfId="6715" xr:uid="{F802363F-DE08-4CC1-A5FF-084B073C9B3E}"/>
    <cellStyle name="Normal 6 6 4 11" xfId="8239" xr:uid="{2D5C239C-6AD5-4C35-919D-586789848382}"/>
    <cellStyle name="Normal 6 6 4 12" xfId="11849" xr:uid="{E385B3E0-2B8B-4613-A18B-2D63300F3F4F}"/>
    <cellStyle name="Normal 6 6 4 13" xfId="13594" xr:uid="{9084D593-88D9-40A8-871A-BBF4A8C277AA}"/>
    <cellStyle name="Normal 6 6 4 2" xfId="1193" xr:uid="{062F1107-9763-4761-8D26-D7D996EC94B3}"/>
    <cellStyle name="Normal 6 6 4 2 10" xfId="8363" xr:uid="{D8236F58-4EC2-48D4-8D56-63DE41DFFCD9}"/>
    <cellStyle name="Normal 6 6 4 2 11" xfId="11973" xr:uid="{DCD693EF-077F-44FB-BE3B-2E85028BC93A}"/>
    <cellStyle name="Normal 6 6 4 2 12" xfId="13718" xr:uid="{65805D65-A041-4F63-BD17-3E021B3418B2}"/>
    <cellStyle name="Normal 6 6 4 2 2" xfId="1441" xr:uid="{47A16FD8-192C-485E-AB05-30CBE1BBBB5E}"/>
    <cellStyle name="Normal 6 6 4 2 2 10" xfId="12221" xr:uid="{1CF43B96-64A1-46A7-BA83-4D1F8453AAB0}"/>
    <cellStyle name="Normal 6 6 4 2 2 11" xfId="13966" xr:uid="{E09B4F40-EFB6-412D-98A8-0EDCFCD95594}"/>
    <cellStyle name="Normal 6 6 4 2 2 2" xfId="1947" xr:uid="{65943E47-1DC3-4B23-9C2D-19CF78F233B3}"/>
    <cellStyle name="Normal 6 6 4 2 2 2 2" xfId="4669" xr:uid="{3764EA28-3D8E-4C76-A3D3-D2EC62461B96}"/>
    <cellStyle name="Normal 6 6 4 2 2 2 2 2" xfId="10115" xr:uid="{34087A6D-7423-410A-A1E0-3B2BEB947167}"/>
    <cellStyle name="Normal 6 6 4 2 2 2 3" xfId="3659" xr:uid="{230442A7-FFA8-41FB-9514-7AE1B7577252}"/>
    <cellStyle name="Normal 6 6 4 2 2 2 4" xfId="7593" xr:uid="{4F1512B5-53F1-4AE5-9FA5-7C8AE1E6A439}"/>
    <cellStyle name="Normal 6 6 4 2 2 2 5" xfId="9107" xr:uid="{153893BF-E57D-47CC-804F-7F636F4D74C2}"/>
    <cellStyle name="Normal 6 6 4 2 2 2 6" xfId="12727" xr:uid="{C050E632-C399-418F-BDAF-646D2ED6B5CA}"/>
    <cellStyle name="Normal 6 6 4 2 2 2 7" xfId="14472" xr:uid="{71C0D0B7-1470-42A5-877D-E68949DE14EA}"/>
    <cellStyle name="Normal 6 6 4 2 2 3" xfId="2455" xr:uid="{1A3727C0-6ED7-48D5-BE6A-6423281678BB}"/>
    <cellStyle name="Normal 6 6 4 2 2 3 2" xfId="4175" xr:uid="{727BF076-6D0F-4601-AA18-34F22517221C}"/>
    <cellStyle name="Normal 6 6 4 2 2 3 3" xfId="8101" xr:uid="{0B2BEB97-465F-4F09-8B11-A06CF992390A}"/>
    <cellStyle name="Normal 6 6 4 2 2 3 4" xfId="9619" xr:uid="{49ED7DEF-1045-4037-98C2-B8B6487F3858}"/>
    <cellStyle name="Normal 6 6 4 2 2 3 5" xfId="13233" xr:uid="{DBAAEA87-7461-435B-A151-BEDCCF5FBC2C}"/>
    <cellStyle name="Normal 6 6 4 2 2 3 6" xfId="14978" xr:uid="{73B88A8F-0A9F-421E-B9CA-55E8E36944CD}"/>
    <cellStyle name="Normal 6 6 4 2 2 4" xfId="5147" xr:uid="{8C5668BE-6780-4D0C-B693-30831C40BDFE}"/>
    <cellStyle name="Normal 6 6 4 2 2 4 2" xfId="10617" xr:uid="{94042930-5884-4A28-B86C-60BDAD7ED8CE}"/>
    <cellStyle name="Normal 6 6 4 2 2 5" xfId="5645" xr:uid="{93C3A98B-FCD6-43E8-8D47-A21B7501AAC8}"/>
    <cellStyle name="Normal 6 6 4 2 2 5 2" xfId="11119" xr:uid="{A5F58090-3EC0-4BD5-BD69-BAD46308D479}"/>
    <cellStyle name="Normal 6 6 4 2 2 6" xfId="6147" xr:uid="{3668E4FD-867E-464C-A919-774DA1CA855C}"/>
    <cellStyle name="Normal 6 6 4 2 2 6 2" xfId="11621" xr:uid="{0315DA4F-4759-4233-BFF3-A9AB2E1150DC}"/>
    <cellStyle name="Normal 6 6 4 2 2 7" xfId="3165" xr:uid="{E94EE218-A768-45E1-A248-A97038129F2A}"/>
    <cellStyle name="Normal 6 6 4 2 2 8" xfId="7087" xr:uid="{D9845924-2ECB-484D-A6E1-768726FD8643}"/>
    <cellStyle name="Normal 6 6 4 2 2 9" xfId="8611" xr:uid="{82468A34-DE72-4C20-A94A-F535B0268608}"/>
    <cellStyle name="Normal 6 6 4 2 3" xfId="1699" xr:uid="{3460C7F8-95E1-43F5-AAEE-A4EC7F206545}"/>
    <cellStyle name="Normal 6 6 4 2 3 2" xfId="4421" xr:uid="{877859A1-9521-457D-B454-5A95F31FA102}"/>
    <cellStyle name="Normal 6 6 4 2 3 2 2" xfId="9867" xr:uid="{9559CD8B-2F65-4533-AB68-ECFCE4F6B50D}"/>
    <cellStyle name="Normal 6 6 4 2 3 3" xfId="3411" xr:uid="{DB32C16E-0C0B-49A6-887E-E6C1A82E0F97}"/>
    <cellStyle name="Normal 6 6 4 2 3 4" xfId="7345" xr:uid="{5F1ED5FA-5810-419A-912D-6971165722E1}"/>
    <cellStyle name="Normal 6 6 4 2 3 5" xfId="8859" xr:uid="{AB935292-1F67-43BF-9050-1D0816A3A7E0}"/>
    <cellStyle name="Normal 6 6 4 2 3 6" xfId="12479" xr:uid="{C0836283-5FCE-4E94-B4FB-F18E89A8ECB4}"/>
    <cellStyle name="Normal 6 6 4 2 3 7" xfId="14224" xr:uid="{C6ED212B-6677-4A18-BB2C-8C9921D1447F}"/>
    <cellStyle name="Normal 6 6 4 2 4" xfId="2207" xr:uid="{56074624-5CF8-4445-8F85-2D6E3B4FB11A}"/>
    <cellStyle name="Normal 6 6 4 2 4 2" xfId="3927" xr:uid="{8BCFE532-E77C-49B8-9BD7-C50B9CB8ACB8}"/>
    <cellStyle name="Normal 6 6 4 2 4 3" xfId="7853" xr:uid="{30CE5136-4BE1-47B9-B246-403E1C7F6F5E}"/>
    <cellStyle name="Normal 6 6 4 2 4 4" xfId="9371" xr:uid="{558B117E-893B-45E6-839B-396D5892584C}"/>
    <cellStyle name="Normal 6 6 4 2 4 5" xfId="12985" xr:uid="{F6F50DD3-34A5-4FF2-B356-EDC41D2AFA00}"/>
    <cellStyle name="Normal 6 6 4 2 4 6" xfId="14730" xr:uid="{53B90401-137D-4EA9-ABAA-BF851F82F74F}"/>
    <cellStyle name="Normal 6 6 4 2 5" xfId="4907" xr:uid="{E5C99C92-BD47-4B47-8053-FFB2AB4965D0}"/>
    <cellStyle name="Normal 6 6 4 2 5 2" xfId="10369" xr:uid="{AF6474B4-1914-4680-9644-AC9475424854}"/>
    <cellStyle name="Normal 6 6 4 2 6" xfId="5397" xr:uid="{1445B0CA-3FAA-4B7E-8B73-AF23E4DEF8D5}"/>
    <cellStyle name="Normal 6 6 4 2 6 2" xfId="10871" xr:uid="{953C4DC4-2F4F-4DB1-A52E-AE83BEECCB92}"/>
    <cellStyle name="Normal 6 6 4 2 7" xfId="5899" xr:uid="{DFC543B2-97B8-4350-A5B5-B4A30D0B8065}"/>
    <cellStyle name="Normal 6 6 4 2 7 2" xfId="11373" xr:uid="{74CE125E-B81A-4776-9012-22C30D39ACAB}"/>
    <cellStyle name="Normal 6 6 4 2 8" xfId="2923" xr:uid="{91A05381-F0FC-4F41-A4C6-186EAA29F849}"/>
    <cellStyle name="Normal 6 6 4 2 9" xfId="6839" xr:uid="{38775300-EB21-42B0-AB3B-1336B5244BEB}"/>
    <cellStyle name="Normal 6 6 4 3" xfId="1317" xr:uid="{3D36CC02-4E5A-4759-BF62-30B68B33F4E1}"/>
    <cellStyle name="Normal 6 6 4 3 10" xfId="12097" xr:uid="{2AE02AFC-DAF6-4DB7-A407-C23C71738879}"/>
    <cellStyle name="Normal 6 6 4 3 11" xfId="13842" xr:uid="{05F20D37-2AAA-41FB-9A65-04765A55677E}"/>
    <cellStyle name="Normal 6 6 4 3 2" xfId="1823" xr:uid="{06EB6F0A-BD3A-496A-85EE-AC9C2D24FBA0}"/>
    <cellStyle name="Normal 6 6 4 3 2 2" xfId="4545" xr:uid="{0DB67F30-ABC4-48E6-B9FF-71C00524BD6C}"/>
    <cellStyle name="Normal 6 6 4 3 2 2 2" xfId="9991" xr:uid="{7A926950-E787-43F4-9379-58F19055F11F}"/>
    <cellStyle name="Normal 6 6 4 3 2 3" xfId="3535" xr:uid="{9DEFAC55-B5FC-4002-88F2-980699B4CEEA}"/>
    <cellStyle name="Normal 6 6 4 3 2 4" xfId="7469" xr:uid="{08E65190-64DA-4953-BA5B-9CB2AF54AABE}"/>
    <cellStyle name="Normal 6 6 4 3 2 5" xfId="8983" xr:uid="{609C9F9E-6089-417B-AB2D-E0FE7B0B7506}"/>
    <cellStyle name="Normal 6 6 4 3 2 6" xfId="12603" xr:uid="{D34C97D0-19EB-441C-8BB0-40E2C87507A8}"/>
    <cellStyle name="Normal 6 6 4 3 2 7" xfId="14348" xr:uid="{7DFC5B17-AECA-4AFA-AB36-35A6812165F6}"/>
    <cellStyle name="Normal 6 6 4 3 3" xfId="2331" xr:uid="{5882D86D-5142-4CB7-949F-24C3538E3BCE}"/>
    <cellStyle name="Normal 6 6 4 3 3 2" xfId="4051" xr:uid="{FCF6AFB6-C2C1-4CAD-8AB3-A6526F025822}"/>
    <cellStyle name="Normal 6 6 4 3 3 3" xfId="7977" xr:uid="{D5BDC85F-2A45-4185-A397-618707DE148A}"/>
    <cellStyle name="Normal 6 6 4 3 3 4" xfId="9495" xr:uid="{A0598114-1E58-4318-A11F-615A8EA3C532}"/>
    <cellStyle name="Normal 6 6 4 3 3 5" xfId="13109" xr:uid="{5C5B8B09-F8DE-4115-B171-47E6AC0DC4F5}"/>
    <cellStyle name="Normal 6 6 4 3 3 6" xfId="14854" xr:uid="{F8E8AC42-DB2F-4492-9448-FB554FFC826F}"/>
    <cellStyle name="Normal 6 6 4 3 4" xfId="5023" xr:uid="{1118EDDB-E4F3-4943-B1B9-B64800B28566}"/>
    <cellStyle name="Normal 6 6 4 3 4 2" xfId="10493" xr:uid="{1148EEC5-2056-4393-A252-4804C33ACC6B}"/>
    <cellStyle name="Normal 6 6 4 3 5" xfId="5521" xr:uid="{6BE634AD-2D2D-448E-9A56-2708A7106BB7}"/>
    <cellStyle name="Normal 6 6 4 3 5 2" xfId="10995" xr:uid="{DE4D4F08-475D-4F64-A23A-DF0F74502D75}"/>
    <cellStyle name="Normal 6 6 4 3 6" xfId="6023" xr:uid="{8429AB19-9B81-4EA9-86A7-E1DAD707330B}"/>
    <cellStyle name="Normal 6 6 4 3 6 2" xfId="11497" xr:uid="{91B5C324-849D-4568-BD3F-1544A2112BEB}"/>
    <cellStyle name="Normal 6 6 4 3 7" xfId="3041" xr:uid="{19DB6344-324E-481F-A7D0-E5985C535B3E}"/>
    <cellStyle name="Normal 6 6 4 3 8" xfId="6963" xr:uid="{F53B8E88-0420-4557-83BB-B29BFFA24135}"/>
    <cellStyle name="Normal 6 6 4 3 9" xfId="8487" xr:uid="{11188F0B-490B-4BA5-AAAE-82D04B1BADF5}"/>
    <cellStyle name="Normal 6 6 4 4" xfId="1575" xr:uid="{B523C3CD-2E37-48B3-ADE1-90E6845F7DDE}"/>
    <cellStyle name="Normal 6 6 4 4 2" xfId="4297" xr:uid="{13EAA8F2-EDF2-4081-9D08-55A09DF2D598}"/>
    <cellStyle name="Normal 6 6 4 4 2 2" xfId="9743" xr:uid="{88EE8AE2-5A88-47D4-96E7-AC8047A43B42}"/>
    <cellStyle name="Normal 6 6 4 4 3" xfId="3287" xr:uid="{AE873EE9-E2C6-4049-BD26-B9847B21E699}"/>
    <cellStyle name="Normal 6 6 4 4 4" xfId="7221" xr:uid="{A9F80E43-A6BD-4294-A6C1-527E7F7ED97B}"/>
    <cellStyle name="Normal 6 6 4 4 5" xfId="8735" xr:uid="{C7E87B34-174E-4815-96E1-5DB38F8D52AE}"/>
    <cellStyle name="Normal 6 6 4 4 6" xfId="12355" xr:uid="{B29AFE30-3946-4168-AF04-A4FBC5E7694A}"/>
    <cellStyle name="Normal 6 6 4 4 7" xfId="14100" xr:uid="{10C8AB90-215C-446C-B133-375521FF3ED7}"/>
    <cellStyle name="Normal 6 6 4 5" xfId="2083" xr:uid="{7EF0C798-6C42-44F7-9FCC-9EEB7A9017C1}"/>
    <cellStyle name="Normal 6 6 4 5 2" xfId="3803" xr:uid="{88E89AAC-0943-4AD3-AF47-40545B8070C0}"/>
    <cellStyle name="Normal 6 6 4 5 3" xfId="7729" xr:uid="{18DA6ED3-9361-47C7-BAAE-53DE14A20675}"/>
    <cellStyle name="Normal 6 6 4 5 4" xfId="9247" xr:uid="{019AAE0F-1201-4669-9E42-3C51CB99ADBF}"/>
    <cellStyle name="Normal 6 6 4 5 5" xfId="12861" xr:uid="{AD957E53-EE7C-49A8-B637-703B6F88D42B}"/>
    <cellStyle name="Normal 6 6 4 5 6" xfId="14606" xr:uid="{2F72E798-40F3-486B-884A-595A1A95408A}"/>
    <cellStyle name="Normal 6 6 4 6" xfId="4791" xr:uid="{921C9E88-01D7-4794-A4DC-6925160A7458}"/>
    <cellStyle name="Normal 6 6 4 6 2" xfId="10245" xr:uid="{07462319-8726-4B68-93E8-8400D7D3C72D}"/>
    <cellStyle name="Normal 6 6 4 7" xfId="5273" xr:uid="{5EE1223C-2765-4A9A-9724-7F63685FA335}"/>
    <cellStyle name="Normal 6 6 4 7 2" xfId="10747" xr:uid="{9BBDB461-5A62-49AE-B4CD-1E8356EE8896}"/>
    <cellStyle name="Normal 6 6 4 8" xfId="5775" xr:uid="{16954DB2-F8F9-4499-A29A-8F8C8D39BF93}"/>
    <cellStyle name="Normal 6 6 4 8 2" xfId="11249" xr:uid="{8E94B3FD-75AC-4047-BE67-8BFB1CDED68C}"/>
    <cellStyle name="Normal 6 6 4 9" xfId="2807" xr:uid="{454B81C8-1112-4750-BBBF-44AE6CE365AC}"/>
    <cellStyle name="Normal 6 6 5" xfId="1096" xr:uid="{E8DF2AF2-747F-45F5-AC54-0C92816FBF94}"/>
    <cellStyle name="Normal 6 6 5 10" xfId="8266" xr:uid="{D36FC82C-1FEA-4F73-BF19-02B340C91E25}"/>
    <cellStyle name="Normal 6 6 5 11" xfId="11876" xr:uid="{709092B2-4CFA-4593-847A-F8D43AF7F0BB}"/>
    <cellStyle name="Normal 6 6 5 12" xfId="13621" xr:uid="{BF6C3DF6-3876-4BD1-A400-9C704E39AC0B}"/>
    <cellStyle name="Normal 6 6 5 2" xfId="1344" xr:uid="{1BCFF571-7A08-4A3C-83E6-39A77FC66180}"/>
    <cellStyle name="Normal 6 6 5 2 10" xfId="12124" xr:uid="{19E3D798-758B-4947-81EE-98F301EAB963}"/>
    <cellStyle name="Normal 6 6 5 2 11" xfId="13869" xr:uid="{56A0DF82-625F-41E4-8548-2A5B5A0BAE4B}"/>
    <cellStyle name="Normal 6 6 5 2 2" xfId="1850" xr:uid="{A38CAFBC-AEB5-49EB-AD04-55F50816BCE0}"/>
    <cellStyle name="Normal 6 6 5 2 2 2" xfId="4572" xr:uid="{878B510D-148C-4C5A-BDD5-F2BE7335F1F7}"/>
    <cellStyle name="Normal 6 6 5 2 2 2 2" xfId="10018" xr:uid="{9C333140-9802-4478-BF3B-343F4CA8AD79}"/>
    <cellStyle name="Normal 6 6 5 2 2 3" xfId="3562" xr:uid="{3CA77450-10B2-4D6B-A6D8-5B8FD463275E}"/>
    <cellStyle name="Normal 6 6 5 2 2 4" xfId="7496" xr:uid="{71975E4C-34C2-4500-A647-6E38CC00CD71}"/>
    <cellStyle name="Normal 6 6 5 2 2 5" xfId="9010" xr:uid="{D56C60EE-4C30-40E9-960C-3C5B397144D1}"/>
    <cellStyle name="Normal 6 6 5 2 2 6" xfId="12630" xr:uid="{2A862C89-CC26-4A90-BB38-45E465D752C8}"/>
    <cellStyle name="Normal 6 6 5 2 2 7" xfId="14375" xr:uid="{FEE3FDD4-4C91-48B6-B750-B0D19DB0CFB9}"/>
    <cellStyle name="Normal 6 6 5 2 3" xfId="2358" xr:uid="{F0FFD173-9B84-4EBB-BA79-58E71EEAA4D6}"/>
    <cellStyle name="Normal 6 6 5 2 3 2" xfId="4078" xr:uid="{33310668-00E3-4145-8347-9964F42A5DAE}"/>
    <cellStyle name="Normal 6 6 5 2 3 3" xfId="8004" xr:uid="{05774215-75B6-4065-80FE-0CD967ACEF13}"/>
    <cellStyle name="Normal 6 6 5 2 3 4" xfId="9522" xr:uid="{58F6CFB4-CC96-4BC8-ACFC-B95AC9BA358B}"/>
    <cellStyle name="Normal 6 6 5 2 3 5" xfId="13136" xr:uid="{F23A14D1-04AE-4F7B-86B3-CA6AEBD2FB3E}"/>
    <cellStyle name="Normal 6 6 5 2 3 6" xfId="14881" xr:uid="{34DFBA48-6432-41EC-A4EA-F38AC6243A8C}"/>
    <cellStyle name="Normal 6 6 5 2 4" xfId="5050" xr:uid="{40B0EC39-D2B3-435B-ACD9-C75FA5088D51}"/>
    <cellStyle name="Normal 6 6 5 2 4 2" xfId="10520" xr:uid="{1BE792BD-D1DA-469B-8CA7-8CF62081DEAB}"/>
    <cellStyle name="Normal 6 6 5 2 5" xfId="5548" xr:uid="{069CB3B7-1FD6-4900-983B-983FDC5EE82F}"/>
    <cellStyle name="Normal 6 6 5 2 5 2" xfId="11022" xr:uid="{04698CD7-9AD0-43A0-B78D-2C0DE88A70C1}"/>
    <cellStyle name="Normal 6 6 5 2 6" xfId="6050" xr:uid="{A08F2328-8534-4D8C-ACFE-AEB87C611376}"/>
    <cellStyle name="Normal 6 6 5 2 6 2" xfId="11524" xr:uid="{CE01C8BB-AC90-4B52-A356-DC7A0455161F}"/>
    <cellStyle name="Normal 6 6 5 2 7" xfId="3068" xr:uid="{489EB054-2B9C-4243-9EE4-8268F50FDB17}"/>
    <cellStyle name="Normal 6 6 5 2 8" xfId="6990" xr:uid="{361A5B99-5AFE-406F-AB13-17639EF5B570}"/>
    <cellStyle name="Normal 6 6 5 2 9" xfId="8514" xr:uid="{14AFB77A-5875-4590-9820-124EE182AF0F}"/>
    <cellStyle name="Normal 6 6 5 3" xfId="1602" xr:uid="{8F0C41AD-A140-4841-93D1-3FB26568A81B}"/>
    <cellStyle name="Normal 6 6 5 3 2" xfId="4324" xr:uid="{B43424E1-0E47-4C5E-A4DE-2C5942A7399E}"/>
    <cellStyle name="Normal 6 6 5 3 2 2" xfId="9770" xr:uid="{10CCA4A7-32F0-4744-9738-6CD40B398074}"/>
    <cellStyle name="Normal 6 6 5 3 3" xfId="3314" xr:uid="{A4E2E6D4-5F82-47CA-BDFA-49FA745058C9}"/>
    <cellStyle name="Normal 6 6 5 3 4" xfId="7248" xr:uid="{32A967E4-2ABB-461F-BC18-846F947C9A1B}"/>
    <cellStyle name="Normal 6 6 5 3 5" xfId="8762" xr:uid="{99ADA58A-1C56-4C2A-A583-5B7265B82CD2}"/>
    <cellStyle name="Normal 6 6 5 3 6" xfId="12382" xr:uid="{3E9A0ED2-B3AF-4171-88E3-9F30BB9793F3}"/>
    <cellStyle name="Normal 6 6 5 3 7" xfId="14127" xr:uid="{D5EA8312-DE3E-4660-A801-73C9B4864769}"/>
    <cellStyle name="Normal 6 6 5 4" xfId="2110" xr:uid="{1E08089C-1DC3-482F-BE6E-6CBF14CB00FA}"/>
    <cellStyle name="Normal 6 6 5 4 2" xfId="3830" xr:uid="{08E856A0-F80F-4956-BA3A-5D2002F24A5E}"/>
    <cellStyle name="Normal 6 6 5 4 3" xfId="7756" xr:uid="{F259D738-D614-4669-AF64-FE5C595C860C}"/>
    <cellStyle name="Normal 6 6 5 4 4" xfId="9274" xr:uid="{DCB679C4-6EE3-441B-BED7-772F92DA22C1}"/>
    <cellStyle name="Normal 6 6 5 4 5" xfId="12888" xr:uid="{0B7BF9BA-CF9B-4BBD-9CD6-4E43D74C35A7}"/>
    <cellStyle name="Normal 6 6 5 4 6" xfId="14633" xr:uid="{EA75BEDC-055F-4D30-99B1-40D6FEDAEE99}"/>
    <cellStyle name="Normal 6 6 5 5" xfId="4816" xr:uid="{9AD25D71-735C-44F5-B909-9389F3454D07}"/>
    <cellStyle name="Normal 6 6 5 5 2" xfId="10272" xr:uid="{846E15DA-6B3B-472B-B31D-6962D58BAE16}"/>
    <cellStyle name="Normal 6 6 5 6" xfId="5300" xr:uid="{8433AAF0-F8F3-480C-A9C8-ECFE5614C240}"/>
    <cellStyle name="Normal 6 6 5 6 2" xfId="10774" xr:uid="{41B668CC-556E-4CF6-BE36-CC8BA571C164}"/>
    <cellStyle name="Normal 6 6 5 7" xfId="5802" xr:uid="{559A24AA-7806-4BC3-A5C6-322B9985A37D}"/>
    <cellStyle name="Normal 6 6 5 7 2" xfId="11276" xr:uid="{77DDC0A5-0CC0-4B79-AF05-AF223EF5FA72}"/>
    <cellStyle name="Normal 6 6 5 8" xfId="2832" xr:uid="{28D7FAA1-D191-4663-A70A-E61792944C33}"/>
    <cellStyle name="Normal 6 6 5 9" xfId="6742" xr:uid="{B4694A14-6627-43AA-9F0E-0699CF5A1038}"/>
    <cellStyle name="Normal 6 6 6" xfId="1220" xr:uid="{F73CA2A7-82FC-4093-9766-241939CCF42D}"/>
    <cellStyle name="Normal 6 6 6 10" xfId="12000" xr:uid="{C9C048BB-AF66-455A-B0FE-2DB6B42472F7}"/>
    <cellStyle name="Normal 6 6 6 11" xfId="13745" xr:uid="{9D9C98D9-3476-4438-884D-0A8E61332B4D}"/>
    <cellStyle name="Normal 6 6 6 2" xfId="1726" xr:uid="{B35C230D-F6C6-4517-8E78-9882A898841D}"/>
    <cellStyle name="Normal 6 6 6 2 2" xfId="4448" xr:uid="{31C8D637-D6D8-4A1A-85D8-0C103E9FC0B6}"/>
    <cellStyle name="Normal 6 6 6 2 2 2" xfId="9894" xr:uid="{A30B9282-7228-4F0A-852D-421DA79F502B}"/>
    <cellStyle name="Normal 6 6 6 2 3" xfId="3438" xr:uid="{50963723-D586-4BEB-A563-B9DE24BE6E94}"/>
    <cellStyle name="Normal 6 6 6 2 4" xfId="7372" xr:uid="{522C97F5-8EE5-43DF-9CF8-733C20CB7E8B}"/>
    <cellStyle name="Normal 6 6 6 2 5" xfId="8886" xr:uid="{B26E5074-1287-4BA0-A2CC-C23BE94911B0}"/>
    <cellStyle name="Normal 6 6 6 2 6" xfId="12506" xr:uid="{FF6A9CC8-E5EE-443A-9C4E-3E43F8B32FEC}"/>
    <cellStyle name="Normal 6 6 6 2 7" xfId="14251" xr:uid="{24F6D02F-70F5-43EC-85A2-2595D35EC1B7}"/>
    <cellStyle name="Normal 6 6 6 3" xfId="2234" xr:uid="{32809DBE-2670-40B5-AD2A-78F8C97105AC}"/>
    <cellStyle name="Normal 6 6 6 3 2" xfId="3954" xr:uid="{4AB2B6D9-5EE8-40D5-814C-9FAAD3AB50BA}"/>
    <cellStyle name="Normal 6 6 6 3 3" xfId="7880" xr:uid="{F1B13AAC-FB0A-478B-B579-89A1EF253212}"/>
    <cellStyle name="Normal 6 6 6 3 4" xfId="9398" xr:uid="{2A388D62-FFA4-4702-B1E0-17D603AE25A4}"/>
    <cellStyle name="Normal 6 6 6 3 5" xfId="13012" xr:uid="{79DE554C-5303-4C43-981E-EA5868DDCF83}"/>
    <cellStyle name="Normal 6 6 6 3 6" xfId="14757" xr:uid="{E36A7755-D05D-473D-90E6-24723487B44F}"/>
    <cellStyle name="Normal 6 6 6 4" xfId="4932" xr:uid="{865A3FF6-DA32-4E3F-8819-027ECAAEBAF1}"/>
    <cellStyle name="Normal 6 6 6 4 2" xfId="10396" xr:uid="{17A2D79F-73A1-41FC-8D75-8B72225C5965}"/>
    <cellStyle name="Normal 6 6 6 5" xfId="5424" xr:uid="{EC1B132A-993B-40ED-AAD0-3EB8A9212C3D}"/>
    <cellStyle name="Normal 6 6 6 5 2" xfId="10898" xr:uid="{0E0A0404-995B-4DCD-A3DF-E0E72AADE175}"/>
    <cellStyle name="Normal 6 6 6 6" xfId="5926" xr:uid="{59739AF0-58B4-4B2A-9F05-723379706594}"/>
    <cellStyle name="Normal 6 6 6 6 2" xfId="11400" xr:uid="{3C9B0642-EF93-4FA3-894A-CE2F574F4DA0}"/>
    <cellStyle name="Normal 6 6 6 7" xfId="2950" xr:uid="{243E8A9B-EF10-448D-9D15-F58C0B06FF76}"/>
    <cellStyle name="Normal 6 6 6 8" xfId="6866" xr:uid="{6B63A6D3-805B-47FA-A7E8-BB9F18E1DBA4}"/>
    <cellStyle name="Normal 6 6 6 9" xfId="8390" xr:uid="{79BA239E-0F9B-4799-ADF2-2974EC43939B}"/>
    <cellStyle name="Normal 6 6 7" xfId="1478" xr:uid="{9510D659-7D17-4CA7-A2D5-5CCFB89AF452}"/>
    <cellStyle name="Normal 6 6 7 2" xfId="4202" xr:uid="{96040DC6-83D8-41B1-95C1-9D2C68C691A7}"/>
    <cellStyle name="Normal 6 6 7 2 2" xfId="9646" xr:uid="{A3584B14-85A7-4316-ABE1-BDED204310F5}"/>
    <cellStyle name="Normal 6 6 7 3" xfId="3192" xr:uid="{8772E481-36DD-4614-90D7-428A32B2AB85}"/>
    <cellStyle name="Normal 6 6 7 4" xfId="7124" xr:uid="{09D3FBDB-EFE9-420B-A2FA-D121DF4E24DF}"/>
    <cellStyle name="Normal 6 6 7 5" xfId="8638" xr:uid="{C913BAFE-3D73-4F0E-83ED-A4E4C1BBD08F}"/>
    <cellStyle name="Normal 6 6 7 6" xfId="12258" xr:uid="{9B6036AA-0592-4A8C-99B8-2E9A5BAC030E}"/>
    <cellStyle name="Normal 6 6 7 7" xfId="14003" xr:uid="{97892E2B-EB91-43CC-8145-D7C9F3A3968C}"/>
    <cellStyle name="Normal 6 6 8" xfId="1986" xr:uid="{3F51EA38-BC3C-4309-AAAB-FAFD925C84B7}"/>
    <cellStyle name="Normal 6 6 8 2" xfId="3706" xr:uid="{AE27CC28-7AD2-40FF-BB9C-AABCD2CA08F2}"/>
    <cellStyle name="Normal 6 6 8 3" xfId="7632" xr:uid="{32987347-21CA-4915-8B24-2AAFF0891D03}"/>
    <cellStyle name="Normal 6 6 8 4" xfId="9150" xr:uid="{B6FB7EB3-953F-4B8A-B810-10C541CA482F}"/>
    <cellStyle name="Normal 6 6 8 5" xfId="12764" xr:uid="{773113C0-8A2E-4D7C-9AB8-9BBA039501EE}"/>
    <cellStyle name="Normal 6 6 8 6" xfId="14509" xr:uid="{3DF245E1-5769-4CD2-A8FA-27D434D066EA}"/>
    <cellStyle name="Normal 6 6 9" xfId="4702" xr:uid="{C9052F56-2EF3-4585-9747-02E533DFE5FE}"/>
    <cellStyle name="Normal 6 6 9 2" xfId="10148" xr:uid="{AE1B8B07-D284-46ED-ACA1-1744865CB375}"/>
    <cellStyle name="Normal 6 7" xfId="966" xr:uid="{C467A084-F19F-495A-B8FF-D35C96D4AC36}"/>
    <cellStyle name="Normal 6 7 10" xfId="5180" xr:uid="{895EC795-F2D4-47A4-94ED-70E2BC7758D2}"/>
    <cellStyle name="Normal 6 7 10 2" xfId="10652" xr:uid="{F7A3DCEC-F5DF-43A7-9209-3CC92D8626EA}"/>
    <cellStyle name="Normal 6 7 11" xfId="5680" xr:uid="{2825462C-031C-4546-8A62-2FAC157108AC}"/>
    <cellStyle name="Normal 6 7 11 2" xfId="11154" xr:uid="{5A6E6FA2-65B8-45BE-A0C1-50B3F3F68FEC}"/>
    <cellStyle name="Normal 6 7 12" xfId="2722" xr:uid="{7C8C86EB-D83A-423A-996F-CB066A727D62}"/>
    <cellStyle name="Normal 6 7 13" xfId="6617" xr:uid="{798C2392-E262-4CC5-80E0-351AD734520B}"/>
    <cellStyle name="Normal 6 7 14" xfId="8144" xr:uid="{690AF223-F7BA-4588-A89B-5C9A0DA1B2E8}"/>
    <cellStyle name="Normal 6 7 15" xfId="11754" xr:uid="{C171AD2F-63F4-4CFC-909F-4FF0A5F07966}"/>
    <cellStyle name="Normal 6 7 16" xfId="13499" xr:uid="{BBE196D8-F853-4C61-9D40-BAF32277DEA8}"/>
    <cellStyle name="Normal 6 7 2" xfId="996" xr:uid="{CE731BCF-6C99-4B2B-86F2-8C60EA11013D}"/>
    <cellStyle name="Normal 6 7 2 10" xfId="2742" xr:uid="{E289B8B6-CE31-4025-A692-DE1104B43850}"/>
    <cellStyle name="Normal 6 7 2 11" xfId="6642" xr:uid="{A1714832-974F-4998-8B82-3D8EC1FA0BCA}"/>
    <cellStyle name="Normal 6 7 2 12" xfId="8166" xr:uid="{50A25BA3-6CAF-4425-AEF4-2F378E5BACFE}"/>
    <cellStyle name="Normal 6 7 2 13" xfId="11776" xr:uid="{8308D3EC-5ACE-4B70-BD1F-BF82D295DB7A}"/>
    <cellStyle name="Normal 6 7 2 14" xfId="13521" xr:uid="{DF7B4FAA-4CDF-415D-8B6F-937A03A56C01}"/>
    <cellStyle name="Normal 6 7 2 2" xfId="1073" xr:uid="{8F67DE97-DFC1-4C44-A233-C8EDD1AD0E21}"/>
    <cellStyle name="Normal 6 7 2 2 10" xfId="6719" xr:uid="{23ED6AA5-20DA-4FBD-9B33-48E2CB9859AD}"/>
    <cellStyle name="Normal 6 7 2 2 11" xfId="8243" xr:uid="{3160B2EE-6EAE-4656-A284-ECE29210F22A}"/>
    <cellStyle name="Normal 6 7 2 2 12" xfId="11853" xr:uid="{0B0B102A-65F8-435C-BFC3-73B6BEE00147}"/>
    <cellStyle name="Normal 6 7 2 2 13" xfId="13598" xr:uid="{F48586BC-C52C-48BD-A678-127E94EB5A35}"/>
    <cellStyle name="Normal 6 7 2 2 2" xfId="1197" xr:uid="{97201398-78E1-4EF4-8014-9D7F50FE5405}"/>
    <cellStyle name="Normal 6 7 2 2 2 10" xfId="8367" xr:uid="{BB8B39D3-6063-4350-A4D4-E72C99818D9A}"/>
    <cellStyle name="Normal 6 7 2 2 2 11" xfId="11977" xr:uid="{8C19F0C0-0233-41D0-BD5E-7741A326E166}"/>
    <cellStyle name="Normal 6 7 2 2 2 12" xfId="13722" xr:uid="{B588574F-244F-4E13-9451-B289426A73B1}"/>
    <cellStyle name="Normal 6 7 2 2 2 2" xfId="1445" xr:uid="{B7EAEC66-EE95-4561-A2CC-F1AF49084441}"/>
    <cellStyle name="Normal 6 7 2 2 2 2 10" xfId="12225" xr:uid="{540C18F4-98A5-478C-9AB9-071CBE8FC954}"/>
    <cellStyle name="Normal 6 7 2 2 2 2 11" xfId="13970" xr:uid="{B9130D09-D34E-4F54-A062-8AC63F0943D5}"/>
    <cellStyle name="Normal 6 7 2 2 2 2 2" xfId="1951" xr:uid="{E3682FD4-27F8-401A-B0A8-1C147FE6B7BD}"/>
    <cellStyle name="Normal 6 7 2 2 2 2 2 2" xfId="4673" xr:uid="{6C05CFC8-DC3F-4D76-B6D6-14DDB2C09FDC}"/>
    <cellStyle name="Normal 6 7 2 2 2 2 2 2 2" xfId="10119" xr:uid="{B2DF8D33-BEBC-4301-A604-FFE69B861287}"/>
    <cellStyle name="Normal 6 7 2 2 2 2 2 3" xfId="3663" xr:uid="{9261FB80-9460-4666-BEE2-AF73251C6A36}"/>
    <cellStyle name="Normal 6 7 2 2 2 2 2 4" xfId="7597" xr:uid="{79A989E6-77A1-425A-B55C-3FE2F9A0F556}"/>
    <cellStyle name="Normal 6 7 2 2 2 2 2 5" xfId="9111" xr:uid="{93E81B73-385C-4C0F-AE9A-F3E8BB5A192C}"/>
    <cellStyle name="Normal 6 7 2 2 2 2 2 6" xfId="12731" xr:uid="{2935F1AB-6DA7-4990-AF9A-D95146F2A5FD}"/>
    <cellStyle name="Normal 6 7 2 2 2 2 2 7" xfId="14476" xr:uid="{6E7DB43F-02DA-4F06-8AD8-F7BD88F448BD}"/>
    <cellStyle name="Normal 6 7 2 2 2 2 3" xfId="2459" xr:uid="{175209F9-FD89-491A-85CD-FABF940F6D4F}"/>
    <cellStyle name="Normal 6 7 2 2 2 2 3 2" xfId="4179" xr:uid="{AA886F7A-5AB8-4BF9-ACE6-E203AFE8551C}"/>
    <cellStyle name="Normal 6 7 2 2 2 2 3 3" xfId="8105" xr:uid="{3367970D-9BE6-4C3F-8815-978C5B8A2EF8}"/>
    <cellStyle name="Normal 6 7 2 2 2 2 3 4" xfId="9623" xr:uid="{81B408FE-43CB-40DD-A3B1-3FA5FCDD0F2A}"/>
    <cellStyle name="Normal 6 7 2 2 2 2 3 5" xfId="13237" xr:uid="{78090F4F-29B7-4858-BCD7-20CC82F69953}"/>
    <cellStyle name="Normal 6 7 2 2 2 2 3 6" xfId="14982" xr:uid="{54B2EEE0-CEEE-4D42-ABBD-3BA502F42EEA}"/>
    <cellStyle name="Normal 6 7 2 2 2 2 4" xfId="5151" xr:uid="{866AD65B-CAC5-46B7-814A-7EB8AECD56B1}"/>
    <cellStyle name="Normal 6 7 2 2 2 2 4 2" xfId="10621" xr:uid="{1375F274-BF21-4C3B-8BA9-5F9DF91831E5}"/>
    <cellStyle name="Normal 6 7 2 2 2 2 5" xfId="5649" xr:uid="{2B3926BF-D1ED-49AD-A31F-5BEE1ED2512F}"/>
    <cellStyle name="Normal 6 7 2 2 2 2 5 2" xfId="11123" xr:uid="{CAA0697E-106A-4C6D-A46A-714BA0FF527A}"/>
    <cellStyle name="Normal 6 7 2 2 2 2 6" xfId="6151" xr:uid="{E5DA85E0-974C-4E26-BECF-DDD4DA139EA1}"/>
    <cellStyle name="Normal 6 7 2 2 2 2 6 2" xfId="11625" xr:uid="{B0211305-6DAA-44EA-819B-933031829910}"/>
    <cellStyle name="Normal 6 7 2 2 2 2 7" xfId="3169" xr:uid="{D6A659F1-B071-407D-85A9-F6B0073DB941}"/>
    <cellStyle name="Normal 6 7 2 2 2 2 8" xfId="7091" xr:uid="{DB3B6820-056E-456D-8911-B546E554ED6A}"/>
    <cellStyle name="Normal 6 7 2 2 2 2 9" xfId="8615" xr:uid="{4E5F7EFE-8D52-47AB-A86F-58451EB87C3D}"/>
    <cellStyle name="Normal 6 7 2 2 2 3" xfId="1703" xr:uid="{5B3B3C67-89F9-4E17-B321-51880F312F34}"/>
    <cellStyle name="Normal 6 7 2 2 2 3 2" xfId="4425" xr:uid="{0E147EB9-C456-4CC2-99FE-2E7F6285EC7A}"/>
    <cellStyle name="Normal 6 7 2 2 2 3 2 2" xfId="9871" xr:uid="{00BA30C7-BE31-4115-87DA-FE023C0B0250}"/>
    <cellStyle name="Normal 6 7 2 2 2 3 3" xfId="3415" xr:uid="{42D4A1E1-AB1A-4101-8A36-1E7A016D8380}"/>
    <cellStyle name="Normal 6 7 2 2 2 3 4" xfId="7349" xr:uid="{A5FDD8EB-E31C-411F-90E2-7FFF2E04293F}"/>
    <cellStyle name="Normal 6 7 2 2 2 3 5" xfId="8863" xr:uid="{F59E8589-5211-4751-BF17-18018624BCA8}"/>
    <cellStyle name="Normal 6 7 2 2 2 3 6" xfId="12483" xr:uid="{5BB0D080-C4A4-4D2A-887F-5D64442C2167}"/>
    <cellStyle name="Normal 6 7 2 2 2 3 7" xfId="14228" xr:uid="{12B95966-76C4-423A-AD57-85C7D32243BF}"/>
    <cellStyle name="Normal 6 7 2 2 2 4" xfId="2211" xr:uid="{960EBAC6-5A0D-458D-B8EF-C7B20066F611}"/>
    <cellStyle name="Normal 6 7 2 2 2 4 2" xfId="3931" xr:uid="{38335D02-E62C-4E21-8749-A0FE55BE87D3}"/>
    <cellStyle name="Normal 6 7 2 2 2 4 3" xfId="7857" xr:uid="{B01D48EA-44A4-48C5-B234-75CF70D055B9}"/>
    <cellStyle name="Normal 6 7 2 2 2 4 4" xfId="9375" xr:uid="{D8FC0AC9-2E57-46CD-95E6-8026177C40DA}"/>
    <cellStyle name="Normal 6 7 2 2 2 4 5" xfId="12989" xr:uid="{AABEA3AE-5F83-41BF-A40B-EF16289CC511}"/>
    <cellStyle name="Normal 6 7 2 2 2 4 6" xfId="14734" xr:uid="{D15F809A-A537-4FC0-89E9-9908CC2B82AF}"/>
    <cellStyle name="Normal 6 7 2 2 2 5" xfId="4911" xr:uid="{2C6A1036-F247-4D9E-B09E-67B2D32E27DB}"/>
    <cellStyle name="Normal 6 7 2 2 2 5 2" xfId="10373" xr:uid="{1A61798F-C654-4303-9F8D-1B4D29EB83F8}"/>
    <cellStyle name="Normal 6 7 2 2 2 6" xfId="5401" xr:uid="{1C11AE9E-496F-471F-9A77-52683222B881}"/>
    <cellStyle name="Normal 6 7 2 2 2 6 2" xfId="10875" xr:uid="{C5FACCF3-C7F0-41F1-B293-A3F010A08143}"/>
    <cellStyle name="Normal 6 7 2 2 2 7" xfId="5903" xr:uid="{4B4E56A7-6889-40BB-9866-23A584EEF4C7}"/>
    <cellStyle name="Normal 6 7 2 2 2 7 2" xfId="11377" xr:uid="{F23DCE1B-7BA4-494F-BE34-0659FD487EF8}"/>
    <cellStyle name="Normal 6 7 2 2 2 8" xfId="2927" xr:uid="{D152AE04-1798-40A1-888F-3FB71240AEF6}"/>
    <cellStyle name="Normal 6 7 2 2 2 9" xfId="6843" xr:uid="{4D864551-15D1-4B7A-93C1-24C591E77184}"/>
    <cellStyle name="Normal 6 7 2 2 3" xfId="1321" xr:uid="{47BB1A1B-89C0-4B01-9C09-F3A5F9EDF924}"/>
    <cellStyle name="Normal 6 7 2 2 3 10" xfId="12101" xr:uid="{35253CD1-C7A6-4F7F-9A72-2111BC0CD6A6}"/>
    <cellStyle name="Normal 6 7 2 2 3 11" xfId="13846" xr:uid="{A04DBCE6-50BA-4F88-A4D6-EE258C55DFC6}"/>
    <cellStyle name="Normal 6 7 2 2 3 2" xfId="1827" xr:uid="{79174414-6D9B-4C77-8BC7-26551A566BD6}"/>
    <cellStyle name="Normal 6 7 2 2 3 2 2" xfId="4549" xr:uid="{DB8D9D0E-AD3E-41BC-9AFE-F20D11CB410F}"/>
    <cellStyle name="Normal 6 7 2 2 3 2 2 2" xfId="9995" xr:uid="{1B6528A3-0A18-4F36-84B3-4C3CC46F8B60}"/>
    <cellStyle name="Normal 6 7 2 2 3 2 3" xfId="3539" xr:uid="{11BA12E6-260A-46BF-99D6-BB6764B816FC}"/>
    <cellStyle name="Normal 6 7 2 2 3 2 4" xfId="7473" xr:uid="{10E2C4A7-51CD-4BCA-B055-3A92C1948A65}"/>
    <cellStyle name="Normal 6 7 2 2 3 2 5" xfId="8987" xr:uid="{3135DC74-E26A-4E4A-80AB-4D11F5BEF245}"/>
    <cellStyle name="Normal 6 7 2 2 3 2 6" xfId="12607" xr:uid="{4D0BCD79-3EE5-4543-9B9B-602CA831E16C}"/>
    <cellStyle name="Normal 6 7 2 2 3 2 7" xfId="14352" xr:uid="{43696189-430C-4A04-AA54-4FC9CD0121D1}"/>
    <cellStyle name="Normal 6 7 2 2 3 3" xfId="2335" xr:uid="{3D732ADE-185B-4628-9E61-9BB69C563429}"/>
    <cellStyle name="Normal 6 7 2 2 3 3 2" xfId="4055" xr:uid="{A9D40CD6-8055-4C2F-96EB-C5358E984C9D}"/>
    <cellStyle name="Normal 6 7 2 2 3 3 3" xfId="7981" xr:uid="{EE853F1A-775D-4911-8C2E-13545E22C4F7}"/>
    <cellStyle name="Normal 6 7 2 2 3 3 4" xfId="9499" xr:uid="{3E909224-7BC8-4F26-9A89-56B641C05F47}"/>
    <cellStyle name="Normal 6 7 2 2 3 3 5" xfId="13113" xr:uid="{B9E07DE9-F936-4B40-9DD8-8079391832D1}"/>
    <cellStyle name="Normal 6 7 2 2 3 3 6" xfId="14858" xr:uid="{6DD6C4EB-943D-4759-9646-B141CDB31DAA}"/>
    <cellStyle name="Normal 6 7 2 2 3 4" xfId="5027" xr:uid="{A61E3CD0-9293-4510-8843-758B15F8DD50}"/>
    <cellStyle name="Normal 6 7 2 2 3 4 2" xfId="10497" xr:uid="{C4BB87DA-04F4-45AE-BD52-7363AD482B19}"/>
    <cellStyle name="Normal 6 7 2 2 3 5" xfId="5525" xr:uid="{80C9D748-3FB9-47A7-9CC4-8DBA3ECF704D}"/>
    <cellStyle name="Normal 6 7 2 2 3 5 2" xfId="10999" xr:uid="{56F1345A-C3D4-4B76-A669-0A24EB0E65D8}"/>
    <cellStyle name="Normal 6 7 2 2 3 6" xfId="6027" xr:uid="{DCA7071A-1403-4078-A29D-D23B8EE0C443}"/>
    <cellStyle name="Normal 6 7 2 2 3 6 2" xfId="11501" xr:uid="{15D479C5-C5A7-449E-8E8F-62652108812B}"/>
    <cellStyle name="Normal 6 7 2 2 3 7" xfId="3045" xr:uid="{9CB49620-1D81-45CE-8082-779774C72927}"/>
    <cellStyle name="Normal 6 7 2 2 3 8" xfId="6967" xr:uid="{AAD5E353-D436-41C0-84DC-11D4F34EE5E0}"/>
    <cellStyle name="Normal 6 7 2 2 3 9" xfId="8491" xr:uid="{C1FCB359-81BD-411C-874C-DBA417488206}"/>
    <cellStyle name="Normal 6 7 2 2 4" xfId="1579" xr:uid="{610D14E9-F401-407F-9058-9BD4AC843A19}"/>
    <cellStyle name="Normal 6 7 2 2 4 2" xfId="4301" xr:uid="{C16156C7-E108-4D7C-8FB5-737B8BF42710}"/>
    <cellStyle name="Normal 6 7 2 2 4 2 2" xfId="9747" xr:uid="{8FD7EEAA-47DF-4BD1-912E-5FEBDEDA2216}"/>
    <cellStyle name="Normal 6 7 2 2 4 3" xfId="3291" xr:uid="{DEDDA232-A482-46AF-8E6D-B627EB3ED1D6}"/>
    <cellStyle name="Normal 6 7 2 2 4 4" xfId="7225" xr:uid="{5A9F4179-B09C-4802-8831-C142906D334E}"/>
    <cellStyle name="Normal 6 7 2 2 4 5" xfId="8739" xr:uid="{5D9A7221-4B4D-4141-9E5B-815D119EE484}"/>
    <cellStyle name="Normal 6 7 2 2 4 6" xfId="12359" xr:uid="{D97A012D-CDBC-4363-BC00-9EB28FB44E14}"/>
    <cellStyle name="Normal 6 7 2 2 4 7" xfId="14104" xr:uid="{FB62D79F-8F8C-41E9-B832-C5E1D872F1A4}"/>
    <cellStyle name="Normal 6 7 2 2 5" xfId="2087" xr:uid="{89548A5C-67D5-49A9-9F46-E9CB3E3545FA}"/>
    <cellStyle name="Normal 6 7 2 2 5 2" xfId="3807" xr:uid="{85B39246-8A18-49EE-88FA-C81BCBD5CF26}"/>
    <cellStyle name="Normal 6 7 2 2 5 3" xfId="7733" xr:uid="{2E5BB0CD-FFE3-439B-BB04-07D584F13825}"/>
    <cellStyle name="Normal 6 7 2 2 5 4" xfId="9251" xr:uid="{223809DF-B3BC-4741-BA71-96069EC3C7D0}"/>
    <cellStyle name="Normal 6 7 2 2 5 5" xfId="12865" xr:uid="{A1954BD7-63F6-435F-8B34-133D86E4E116}"/>
    <cellStyle name="Normal 6 7 2 2 5 6" xfId="14610" xr:uid="{BB3EB3DD-689E-4356-BCAE-2F8072F3016E}"/>
    <cellStyle name="Normal 6 7 2 2 6" xfId="4795" xr:uid="{59EF274D-E5C3-45FB-80B1-C909AFE22500}"/>
    <cellStyle name="Normal 6 7 2 2 6 2" xfId="10249" xr:uid="{29B935AB-B4F1-464B-A095-CFE12B1F9E47}"/>
    <cellStyle name="Normal 6 7 2 2 7" xfId="5277" xr:uid="{BC354F18-2F20-4589-B3B1-77B495651815}"/>
    <cellStyle name="Normal 6 7 2 2 7 2" xfId="10751" xr:uid="{DFE57AE9-2BE3-4052-877E-FDCDF97F87F1}"/>
    <cellStyle name="Normal 6 7 2 2 8" xfId="5779" xr:uid="{59C8C846-660D-434A-8180-92F144F7782F}"/>
    <cellStyle name="Normal 6 7 2 2 8 2" xfId="11253" xr:uid="{A2B720F1-EEEB-49F9-86DC-53685571128B}"/>
    <cellStyle name="Normal 6 7 2 2 9" xfId="2811" xr:uid="{F6FFDE2F-7376-4413-9EA3-B2A281A8165B}"/>
    <cellStyle name="Normal 6 7 2 3" xfId="1120" xr:uid="{F284E187-D21C-41EA-A236-395D148DA4A3}"/>
    <cellStyle name="Normal 6 7 2 3 10" xfId="8290" xr:uid="{2839DF41-40BA-423E-BAD3-3E198442327E}"/>
    <cellStyle name="Normal 6 7 2 3 11" xfId="11900" xr:uid="{D485B4B9-7115-4C70-A734-7ACE8360A404}"/>
    <cellStyle name="Normal 6 7 2 3 12" xfId="13645" xr:uid="{FC3448ED-8BA5-4834-B4C2-06BA09036884}"/>
    <cellStyle name="Normal 6 7 2 3 2" xfId="1368" xr:uid="{FEE220A2-A60E-4C45-B69D-6AA4DA208424}"/>
    <cellStyle name="Normal 6 7 2 3 2 10" xfId="12148" xr:uid="{70D98BE8-B168-45FE-A1A1-A46E8F9E39E2}"/>
    <cellStyle name="Normal 6 7 2 3 2 11" xfId="13893" xr:uid="{62ADF3CD-E6AA-4DA8-A655-7557601A6AB2}"/>
    <cellStyle name="Normal 6 7 2 3 2 2" xfId="1874" xr:uid="{F89FB823-62C0-4F2B-9BAC-F132A8955F4C}"/>
    <cellStyle name="Normal 6 7 2 3 2 2 2" xfId="4596" xr:uid="{F161DA6E-BDC0-4992-884E-FB37569F528F}"/>
    <cellStyle name="Normal 6 7 2 3 2 2 2 2" xfId="10042" xr:uid="{FDB01F07-0047-4FA5-A494-41BAD99760B9}"/>
    <cellStyle name="Normal 6 7 2 3 2 2 3" xfId="3586" xr:uid="{DC87851C-A532-48AB-981E-09C4F98ACC05}"/>
    <cellStyle name="Normal 6 7 2 3 2 2 4" xfId="7520" xr:uid="{C37940D7-3E98-4F5E-91FE-5B6FB73787AA}"/>
    <cellStyle name="Normal 6 7 2 3 2 2 5" xfId="9034" xr:uid="{643B15B0-CAED-437F-95C5-7C28C79CC383}"/>
    <cellStyle name="Normal 6 7 2 3 2 2 6" xfId="12654" xr:uid="{C60BC44D-4372-4FA7-A7BC-D16DD07E75AD}"/>
    <cellStyle name="Normal 6 7 2 3 2 2 7" xfId="14399" xr:uid="{B28ABB4F-F60F-40A2-826F-625639A4FE60}"/>
    <cellStyle name="Normal 6 7 2 3 2 3" xfId="2382" xr:uid="{C73CF0B5-D057-460A-8192-DE37E940DB1F}"/>
    <cellStyle name="Normal 6 7 2 3 2 3 2" xfId="4102" xr:uid="{ED1DBFCC-72EE-4734-AA4E-DB0332C131F9}"/>
    <cellStyle name="Normal 6 7 2 3 2 3 3" xfId="8028" xr:uid="{2825459F-3E5E-45E8-8128-7A36DE4D6984}"/>
    <cellStyle name="Normal 6 7 2 3 2 3 4" xfId="9546" xr:uid="{2317891A-3C34-43DE-9D65-189CD7CEFD94}"/>
    <cellStyle name="Normal 6 7 2 3 2 3 5" xfId="13160" xr:uid="{D24AD5B6-6641-4858-8A50-DDAF77110AF7}"/>
    <cellStyle name="Normal 6 7 2 3 2 3 6" xfId="14905" xr:uid="{84A93231-D3C5-4A19-8E93-F6245542B835}"/>
    <cellStyle name="Normal 6 7 2 3 2 4" xfId="5074" xr:uid="{52F1E245-5A22-4DD4-B351-15F305EA86E6}"/>
    <cellStyle name="Normal 6 7 2 3 2 4 2" xfId="10544" xr:uid="{DE4557DD-8D43-4966-A7B2-F2D0BE0ACE04}"/>
    <cellStyle name="Normal 6 7 2 3 2 5" xfId="5572" xr:uid="{61BEC29F-93E0-4A69-B693-D8A9FAA5A440}"/>
    <cellStyle name="Normal 6 7 2 3 2 5 2" xfId="11046" xr:uid="{AEF6B650-3B13-4D75-A3CE-07B40D992E08}"/>
    <cellStyle name="Normal 6 7 2 3 2 6" xfId="6074" xr:uid="{19DAD1EA-0B9C-4687-9E42-9BAE64E96786}"/>
    <cellStyle name="Normal 6 7 2 3 2 6 2" xfId="11548" xr:uid="{0879F4B2-F4E5-409C-B046-EF7052BE9686}"/>
    <cellStyle name="Normal 6 7 2 3 2 7" xfId="3092" xr:uid="{06432EB6-C6E5-4A4D-AAA3-5EFEC6301552}"/>
    <cellStyle name="Normal 6 7 2 3 2 8" xfId="7014" xr:uid="{E82DF60E-E343-4D3D-9E6A-77830F45AD74}"/>
    <cellStyle name="Normal 6 7 2 3 2 9" xfId="8538" xr:uid="{5C34A447-041E-4917-9C6C-674C53B70CE1}"/>
    <cellStyle name="Normal 6 7 2 3 3" xfId="1626" xr:uid="{556C11F6-110D-401D-B9E1-17E79D40DE2F}"/>
    <cellStyle name="Normal 6 7 2 3 3 2" xfId="4348" xr:uid="{744EB778-29FD-41E0-909E-7E0DABB99E0E}"/>
    <cellStyle name="Normal 6 7 2 3 3 2 2" xfId="9794" xr:uid="{7F064AA8-137A-4333-961E-136236E3441A}"/>
    <cellStyle name="Normal 6 7 2 3 3 3" xfId="3338" xr:uid="{28F7BB21-81F9-4D90-9534-F739BC782F3C}"/>
    <cellStyle name="Normal 6 7 2 3 3 4" xfId="7272" xr:uid="{449495D2-4B49-4ADF-9856-8421C2501471}"/>
    <cellStyle name="Normal 6 7 2 3 3 5" xfId="8786" xr:uid="{D45DD984-E025-45AA-AE69-2D07EF524E19}"/>
    <cellStyle name="Normal 6 7 2 3 3 6" xfId="12406" xr:uid="{9CF90C49-4DDD-4F8F-B38F-BBA04588E1E2}"/>
    <cellStyle name="Normal 6 7 2 3 3 7" xfId="14151" xr:uid="{C89CA745-4004-431C-B65F-C8A3746075A9}"/>
    <cellStyle name="Normal 6 7 2 3 4" xfId="2134" xr:uid="{4BD56040-6FEB-44FD-9FCF-F58A50BBFEAF}"/>
    <cellStyle name="Normal 6 7 2 3 4 2" xfId="3854" xr:uid="{887DCFDC-7319-4CCB-AD00-4B7B01AF701C}"/>
    <cellStyle name="Normal 6 7 2 3 4 3" xfId="7780" xr:uid="{71A62D8C-295D-4338-94D6-EF8A04D915A1}"/>
    <cellStyle name="Normal 6 7 2 3 4 4" xfId="9298" xr:uid="{B956BA77-2A71-4D65-9905-72E817E59D52}"/>
    <cellStyle name="Normal 6 7 2 3 4 5" xfId="12912" xr:uid="{3C6FD7EC-AACB-4A3F-BB6C-BF33B521EDE0}"/>
    <cellStyle name="Normal 6 7 2 3 4 6" xfId="14657" xr:uid="{4E5DC326-B67A-4121-8049-1C98BF3E2156}"/>
    <cellStyle name="Normal 6 7 2 3 5" xfId="4838" xr:uid="{1F1138EB-AA4F-49C4-94EF-90C0E3D81AAB}"/>
    <cellStyle name="Normal 6 7 2 3 5 2" xfId="10296" xr:uid="{2CDFB709-9D09-4185-84EE-DF0D86D723BD}"/>
    <cellStyle name="Normal 6 7 2 3 6" xfId="5324" xr:uid="{42EF2739-2994-4917-AC8F-4DA18884D784}"/>
    <cellStyle name="Normal 6 7 2 3 6 2" xfId="10798" xr:uid="{D3E514AE-4113-423D-854E-AA7D1CE32240}"/>
    <cellStyle name="Normal 6 7 2 3 7" xfId="5826" xr:uid="{6A882586-48C3-47DE-A17A-FBD0918D16B5}"/>
    <cellStyle name="Normal 6 7 2 3 7 2" xfId="11300" xr:uid="{7BBA1298-4DD1-4F42-AD6F-AF023B661D80}"/>
    <cellStyle name="Normal 6 7 2 3 8" xfId="2854" xr:uid="{887BDED8-30D1-4590-BD87-2FA50FC8029F}"/>
    <cellStyle name="Normal 6 7 2 3 9" xfId="6766" xr:uid="{9CE3E438-F1DA-4336-85D5-1B17FEDA1867}"/>
    <cellStyle name="Normal 6 7 2 4" xfId="1244" xr:uid="{145A422B-9F0D-44C3-9AD0-C67C1868BE35}"/>
    <cellStyle name="Normal 6 7 2 4 10" xfId="12024" xr:uid="{855A0BA6-5963-4B3D-BA53-CC6FE452773E}"/>
    <cellStyle name="Normal 6 7 2 4 11" xfId="13769" xr:uid="{5F3B07E5-BFE4-46D8-ACA1-315F33CF1138}"/>
    <cellStyle name="Normal 6 7 2 4 2" xfId="1750" xr:uid="{827C8DC8-BFCB-470D-8827-D1B79A0D59FD}"/>
    <cellStyle name="Normal 6 7 2 4 2 2" xfId="4472" xr:uid="{9AD7F7F3-913C-4F9B-9BD7-395B8FE01A8A}"/>
    <cellStyle name="Normal 6 7 2 4 2 2 2" xfId="9918" xr:uid="{2AB525FA-3B1C-4133-AED6-8F2981BC0470}"/>
    <cellStyle name="Normal 6 7 2 4 2 3" xfId="3462" xr:uid="{E57ADEF2-47CB-4E13-B12C-C42BCD2D0EC8}"/>
    <cellStyle name="Normal 6 7 2 4 2 4" xfId="7396" xr:uid="{C90412FE-8A25-4301-BC1F-3C421450ED56}"/>
    <cellStyle name="Normal 6 7 2 4 2 5" xfId="8910" xr:uid="{8A54BAE8-6C46-4819-ACB6-47FDB241B64C}"/>
    <cellStyle name="Normal 6 7 2 4 2 6" xfId="12530" xr:uid="{5E88F950-060A-410B-99E7-D5505127531E}"/>
    <cellStyle name="Normal 6 7 2 4 2 7" xfId="14275" xr:uid="{E100DC94-D1D8-4B4F-895D-CD17F87D2837}"/>
    <cellStyle name="Normal 6 7 2 4 3" xfId="2258" xr:uid="{E48B8762-3DD4-4BD6-89CC-FD8F3A72EC7E}"/>
    <cellStyle name="Normal 6 7 2 4 3 2" xfId="3978" xr:uid="{2EBC0123-FA66-4801-8661-A5E96764C5C6}"/>
    <cellStyle name="Normal 6 7 2 4 3 3" xfId="7904" xr:uid="{609654BD-3C7D-4A64-8B1F-6262E940AA14}"/>
    <cellStyle name="Normal 6 7 2 4 3 4" xfId="9422" xr:uid="{7E085BFF-C6F3-4952-A539-868EFDC5D70A}"/>
    <cellStyle name="Normal 6 7 2 4 3 5" xfId="13036" xr:uid="{67E09869-C8DB-417F-B404-A153D6FF4498}"/>
    <cellStyle name="Normal 6 7 2 4 3 6" xfId="14781" xr:uid="{E340D11C-27EA-4153-95D4-8ECF3A16001C}"/>
    <cellStyle name="Normal 6 7 2 4 4" xfId="4954" xr:uid="{A0D51279-0255-43F1-AC91-4789C3F982BA}"/>
    <cellStyle name="Normal 6 7 2 4 4 2" xfId="10420" xr:uid="{DB4395E5-5D1E-4748-818B-A13027FEB50A}"/>
    <cellStyle name="Normal 6 7 2 4 5" xfId="5448" xr:uid="{F2BFA0D1-F26B-4071-B7B6-E55A5E9B311C}"/>
    <cellStyle name="Normal 6 7 2 4 5 2" xfId="10922" xr:uid="{8BD58E83-C598-4652-87B2-8C8D4AED6F88}"/>
    <cellStyle name="Normal 6 7 2 4 6" xfId="5950" xr:uid="{B2BB7FE7-EF6D-46B4-8C6D-99D006EC7D90}"/>
    <cellStyle name="Normal 6 7 2 4 6 2" xfId="11424" xr:uid="{2915F19A-9518-41E5-8AFC-A15257FDFB79}"/>
    <cellStyle name="Normal 6 7 2 4 7" xfId="2972" xr:uid="{7DADA718-07FF-49C8-B28B-928150FE82F2}"/>
    <cellStyle name="Normal 6 7 2 4 8" xfId="6890" xr:uid="{3F1DACE0-11A1-49E0-970B-352833ECC110}"/>
    <cellStyle name="Normal 6 7 2 4 9" xfId="8414" xr:uid="{6F384FC1-B203-4395-A249-A61F12D873FB}"/>
    <cellStyle name="Normal 6 7 2 5" xfId="1502" xr:uid="{98C6F513-C375-41C4-941B-15CDAB88D618}"/>
    <cellStyle name="Normal 6 7 2 5 2" xfId="4226" xr:uid="{835C4DE7-A36B-4D95-AEB8-FDD2F8D61DF4}"/>
    <cellStyle name="Normal 6 7 2 5 2 2" xfId="9670" xr:uid="{DEA6F9B8-1710-407F-9D26-4F816C7DBB83}"/>
    <cellStyle name="Normal 6 7 2 5 3" xfId="3216" xr:uid="{49963888-F138-4530-946A-E1693DC08C55}"/>
    <cellStyle name="Normal 6 7 2 5 4" xfId="7148" xr:uid="{56117A3F-DC2E-4A94-B5B9-09AF1416203B}"/>
    <cellStyle name="Normal 6 7 2 5 5" xfId="8662" xr:uid="{0465E21A-D6C4-4632-9C26-215604FBDF22}"/>
    <cellStyle name="Normal 6 7 2 5 6" xfId="12282" xr:uid="{E7EB4E60-18BA-4E5C-A692-70332E633E00}"/>
    <cellStyle name="Normal 6 7 2 5 7" xfId="14027" xr:uid="{A5EB5E70-E215-47D9-B09A-AAB4E26C14BD}"/>
    <cellStyle name="Normal 6 7 2 6" xfId="2010" xr:uid="{76023566-64D4-4182-9374-16AE8EFECF1E}"/>
    <cellStyle name="Normal 6 7 2 6 2" xfId="3730" xr:uid="{A6EF7BE0-2B6A-4F8B-B18D-1FAB7F437D35}"/>
    <cellStyle name="Normal 6 7 2 6 3" xfId="7656" xr:uid="{F344B523-C96B-4CF3-9A9E-F48D876416F3}"/>
    <cellStyle name="Normal 6 7 2 6 4" xfId="9174" xr:uid="{B4A4B07E-CFE2-4C79-9A30-2AF6CAB4758F}"/>
    <cellStyle name="Normal 6 7 2 6 5" xfId="12788" xr:uid="{FAEFB6BC-C0DD-4431-A434-35004BDC6CB8}"/>
    <cellStyle name="Normal 6 7 2 6 6" xfId="14533" xr:uid="{C603BEDD-A803-4128-9DA9-E6D149C2C1C5}"/>
    <cellStyle name="Normal 6 7 2 7" xfId="4726" xr:uid="{7B74F985-A26C-4C8A-A4CA-661D013796B5}"/>
    <cellStyle name="Normal 6 7 2 7 2" xfId="10172" xr:uid="{6864DF30-9AA5-4E65-B0D7-781887CC27F1}"/>
    <cellStyle name="Normal 6 7 2 8" xfId="5200" xr:uid="{D1754C2F-A441-4FDC-AC00-74AD8E0D939F}"/>
    <cellStyle name="Normal 6 7 2 8 2" xfId="10674" xr:uid="{185C1FB5-0BDE-4673-930D-626FF9FCB955}"/>
    <cellStyle name="Normal 6 7 2 9" xfId="5702" xr:uid="{2BE6F010-3981-4274-9EE6-B643AFA47A38}"/>
    <cellStyle name="Normal 6 7 2 9 2" xfId="11176" xr:uid="{30A9A049-B97A-4A9A-93E9-27C74916B8F4}"/>
    <cellStyle name="Normal 6 7 3" xfId="1016" xr:uid="{F105F0A9-6E4C-404C-9026-9221F6C33A4A}"/>
    <cellStyle name="Normal 6 7 3 10" xfId="2760" xr:uid="{F759F2A9-4004-4611-BEBB-012C7838EFEF}"/>
    <cellStyle name="Normal 6 7 3 11" xfId="6662" xr:uid="{3CA99D9D-F4E1-483F-B13D-A666B0DC2C64}"/>
    <cellStyle name="Normal 6 7 3 12" xfId="8186" xr:uid="{7DB43790-D5C0-45DC-A1C5-DB88507D9B85}"/>
    <cellStyle name="Normal 6 7 3 13" xfId="11796" xr:uid="{93AE7139-4197-435F-BB7A-79C7E799BFBF}"/>
    <cellStyle name="Normal 6 7 3 14" xfId="13541" xr:uid="{CDBFAC02-99DC-4FEF-BD16-FE3E389C2867}"/>
    <cellStyle name="Normal 6 7 3 2" xfId="1074" xr:uid="{6E426CE6-E5A8-4FC1-A00C-DC83A429FD07}"/>
    <cellStyle name="Normal 6 7 3 2 10" xfId="6720" xr:uid="{6809AED7-F4A4-4394-BF88-5C4ECE5D079B}"/>
    <cellStyle name="Normal 6 7 3 2 11" xfId="8244" xr:uid="{34FF3518-AC7E-469F-8071-E566AFDF4A4D}"/>
    <cellStyle name="Normal 6 7 3 2 12" xfId="11854" xr:uid="{F84604A9-76D3-4D8F-BCDB-95D74F95B929}"/>
    <cellStyle name="Normal 6 7 3 2 13" xfId="13599" xr:uid="{65A1360B-36EA-453C-9F48-5A4027373D6F}"/>
    <cellStyle name="Normal 6 7 3 2 2" xfId="1198" xr:uid="{95C3F69F-345E-4A3D-A01A-EA21C7A3E971}"/>
    <cellStyle name="Normal 6 7 3 2 2 10" xfId="8368" xr:uid="{C34FD394-6FB4-43AF-AE30-78F8E277608C}"/>
    <cellStyle name="Normal 6 7 3 2 2 11" xfId="11978" xr:uid="{153DE7B1-DF4C-498B-B09F-C2C61CCF7963}"/>
    <cellStyle name="Normal 6 7 3 2 2 12" xfId="13723" xr:uid="{0243FB87-CAF4-4B2F-B7E4-063E7D8078E1}"/>
    <cellStyle name="Normal 6 7 3 2 2 2" xfId="1446" xr:uid="{38B4B757-9C3D-4C79-9240-647B3859CB62}"/>
    <cellStyle name="Normal 6 7 3 2 2 2 10" xfId="12226" xr:uid="{5B1EFBCE-51D4-4D81-9FE0-0D4627C9E7C3}"/>
    <cellStyle name="Normal 6 7 3 2 2 2 11" xfId="13971" xr:uid="{4AD057A5-7624-45EE-AC8C-E28F4D12BF1A}"/>
    <cellStyle name="Normal 6 7 3 2 2 2 2" xfId="1952" xr:uid="{6F7C787B-15C5-49A4-8A8B-3C8259E96FED}"/>
    <cellStyle name="Normal 6 7 3 2 2 2 2 2" xfId="4674" xr:uid="{8B810267-599C-4E81-889B-B8DC9FF399A7}"/>
    <cellStyle name="Normal 6 7 3 2 2 2 2 2 2" xfId="10120" xr:uid="{9E62F834-65E3-4127-8AE7-D7BA8FADD245}"/>
    <cellStyle name="Normal 6 7 3 2 2 2 2 3" xfId="3664" xr:uid="{973FEF83-7CAA-44A5-AA68-BE29E11BE8F3}"/>
    <cellStyle name="Normal 6 7 3 2 2 2 2 4" xfId="7598" xr:uid="{7C66D1FD-B65B-4ED7-9696-454A60B92059}"/>
    <cellStyle name="Normal 6 7 3 2 2 2 2 5" xfId="9112" xr:uid="{F1E79EEF-4064-4148-A71A-392BB963B408}"/>
    <cellStyle name="Normal 6 7 3 2 2 2 2 6" xfId="12732" xr:uid="{1EB0F711-7912-4361-B417-280DC9B34994}"/>
    <cellStyle name="Normal 6 7 3 2 2 2 2 7" xfId="14477" xr:uid="{F6A9DBDC-BD04-4256-9259-10B5EDDE7C19}"/>
    <cellStyle name="Normal 6 7 3 2 2 2 3" xfId="2460" xr:uid="{F0FA7AC4-802F-4205-97F5-725148E0A678}"/>
    <cellStyle name="Normal 6 7 3 2 2 2 3 2" xfId="4180" xr:uid="{113905DD-0E15-4DE0-9334-A6E63211572C}"/>
    <cellStyle name="Normal 6 7 3 2 2 2 3 3" xfId="8106" xr:uid="{08ED9F09-769C-47E4-B949-05E0ED33B7EC}"/>
    <cellStyle name="Normal 6 7 3 2 2 2 3 4" xfId="9624" xr:uid="{9D756083-4745-4CF8-9074-767F0334E9A1}"/>
    <cellStyle name="Normal 6 7 3 2 2 2 3 5" xfId="13238" xr:uid="{0E701D9E-D7D5-4823-98C0-DADC91576D76}"/>
    <cellStyle name="Normal 6 7 3 2 2 2 3 6" xfId="14983" xr:uid="{53297552-33BE-4285-914D-4FCD6C457EC6}"/>
    <cellStyle name="Normal 6 7 3 2 2 2 4" xfId="5152" xr:uid="{1CC84450-C2B7-474D-A1A5-602EEFB8D164}"/>
    <cellStyle name="Normal 6 7 3 2 2 2 4 2" xfId="10622" xr:uid="{F6FC0B53-1333-4CD4-8A1C-431678E6F75D}"/>
    <cellStyle name="Normal 6 7 3 2 2 2 5" xfId="5650" xr:uid="{F9C3C717-F05B-4823-A5AD-D61EE53B730A}"/>
    <cellStyle name="Normal 6 7 3 2 2 2 5 2" xfId="11124" xr:uid="{40782BDC-4330-42F6-85DC-131D80B5CF35}"/>
    <cellStyle name="Normal 6 7 3 2 2 2 6" xfId="6152" xr:uid="{3BDD2A8F-2438-410C-A57B-18B075C62D69}"/>
    <cellStyle name="Normal 6 7 3 2 2 2 6 2" xfId="11626" xr:uid="{62DDF8C2-C710-4907-9978-4CA574532B8C}"/>
    <cellStyle name="Normal 6 7 3 2 2 2 7" xfId="3170" xr:uid="{D2871610-7C4F-48EA-AF36-8DE35A3B5DCD}"/>
    <cellStyle name="Normal 6 7 3 2 2 2 8" xfId="7092" xr:uid="{C0620FD8-56ED-4BF4-B454-345D1CB79438}"/>
    <cellStyle name="Normal 6 7 3 2 2 2 9" xfId="8616" xr:uid="{DD4B596E-5F27-4E90-9EA0-2AF3EBDADD03}"/>
    <cellStyle name="Normal 6 7 3 2 2 3" xfId="1704" xr:uid="{A5DA561C-17F9-4CB7-9A67-358D01955D38}"/>
    <cellStyle name="Normal 6 7 3 2 2 3 2" xfId="4426" xr:uid="{F368E626-FB0A-46BD-A3E6-75F49CF668F0}"/>
    <cellStyle name="Normal 6 7 3 2 2 3 2 2" xfId="9872" xr:uid="{E85421DA-68F9-4D18-BE1B-E4C59153174E}"/>
    <cellStyle name="Normal 6 7 3 2 2 3 3" xfId="3416" xr:uid="{F00F67A8-ABB9-4C40-A517-C4681CAE040D}"/>
    <cellStyle name="Normal 6 7 3 2 2 3 4" xfId="7350" xr:uid="{D088EA50-BB3E-4229-8E3E-30A74FF99D55}"/>
    <cellStyle name="Normal 6 7 3 2 2 3 5" xfId="8864" xr:uid="{68AFFACB-106E-400B-93A9-5D1CD9D4CE10}"/>
    <cellStyle name="Normal 6 7 3 2 2 3 6" xfId="12484" xr:uid="{468A27D1-9ADC-4EFF-8B5D-D8621F5E77B9}"/>
    <cellStyle name="Normal 6 7 3 2 2 3 7" xfId="14229" xr:uid="{20C5EA2F-6273-4DB6-8E27-29B0F944E146}"/>
    <cellStyle name="Normal 6 7 3 2 2 4" xfId="2212" xr:uid="{5A275765-D631-47F6-8EDA-B2B57E57236B}"/>
    <cellStyle name="Normal 6 7 3 2 2 4 2" xfId="3932" xr:uid="{0BE29606-F4E4-4F84-A727-41E02AB59DFD}"/>
    <cellStyle name="Normal 6 7 3 2 2 4 3" xfId="7858" xr:uid="{B33E140A-0CA7-4FD4-9279-C9F93843DB59}"/>
    <cellStyle name="Normal 6 7 3 2 2 4 4" xfId="9376" xr:uid="{223EBB92-6672-44C9-A067-660CEE8E976A}"/>
    <cellStyle name="Normal 6 7 3 2 2 4 5" xfId="12990" xr:uid="{DCDBBB5B-9B75-4B4E-A6FA-8EBE4D277543}"/>
    <cellStyle name="Normal 6 7 3 2 2 4 6" xfId="14735" xr:uid="{73AE01A9-747E-4696-BE89-438F190D0DEA}"/>
    <cellStyle name="Normal 6 7 3 2 2 5" xfId="4912" xr:uid="{4E2EC8A9-6021-44F7-81CB-FE20428A3CEF}"/>
    <cellStyle name="Normal 6 7 3 2 2 5 2" xfId="10374" xr:uid="{FFFDDEE3-74D8-4EEB-8E4F-9F7CA8799AAA}"/>
    <cellStyle name="Normal 6 7 3 2 2 6" xfId="5402" xr:uid="{92CBAD8B-9760-46B3-9A59-7A54F613A460}"/>
    <cellStyle name="Normal 6 7 3 2 2 6 2" xfId="10876" xr:uid="{753B99B1-2980-4FBF-83D2-926FF606D9F7}"/>
    <cellStyle name="Normal 6 7 3 2 2 7" xfId="5904" xr:uid="{066494CE-CEAF-480A-A914-21ADA2D38B75}"/>
    <cellStyle name="Normal 6 7 3 2 2 7 2" xfId="11378" xr:uid="{C74B3B1F-7C9D-47C8-B561-CEC89A3255FF}"/>
    <cellStyle name="Normal 6 7 3 2 2 8" xfId="2928" xr:uid="{9CD24BC6-2BE8-45F6-8C99-31BACCC3D9E1}"/>
    <cellStyle name="Normal 6 7 3 2 2 9" xfId="6844" xr:uid="{67E9D9FD-762E-4E30-BA68-5235CD5DB620}"/>
    <cellStyle name="Normal 6 7 3 2 3" xfId="1322" xr:uid="{00EB4163-AC09-425F-9D76-C73B6AFCBEF1}"/>
    <cellStyle name="Normal 6 7 3 2 3 10" xfId="12102" xr:uid="{5F46FB1A-C990-4AB6-8708-0EF41FB3DB2A}"/>
    <cellStyle name="Normal 6 7 3 2 3 11" xfId="13847" xr:uid="{5A79B8FC-F0B8-443E-B6F1-770DC8346476}"/>
    <cellStyle name="Normal 6 7 3 2 3 2" xfId="1828" xr:uid="{F07B0B33-91CA-43CA-AE0B-5ACD88BFC8B7}"/>
    <cellStyle name="Normal 6 7 3 2 3 2 2" xfId="4550" xr:uid="{3FAAB8E0-44B0-4451-A47B-9F913B7F1B92}"/>
    <cellStyle name="Normal 6 7 3 2 3 2 2 2" xfId="9996" xr:uid="{D7FBE05C-4384-4614-9878-661C0F51DFF4}"/>
    <cellStyle name="Normal 6 7 3 2 3 2 3" xfId="3540" xr:uid="{30436243-1935-4352-B89E-3C6869B5A244}"/>
    <cellStyle name="Normal 6 7 3 2 3 2 4" xfId="7474" xr:uid="{EECA1F50-8B7C-4CBC-8F30-74D945DC561F}"/>
    <cellStyle name="Normal 6 7 3 2 3 2 5" xfId="8988" xr:uid="{B174399E-6EE7-40EF-8D80-E085DED86F6B}"/>
    <cellStyle name="Normal 6 7 3 2 3 2 6" xfId="12608" xr:uid="{649BDDD8-DDA3-4C5F-9E9E-998125CCB20D}"/>
    <cellStyle name="Normal 6 7 3 2 3 2 7" xfId="14353" xr:uid="{624CB0FC-7D2D-44B8-86B9-1D58D3FDD2F7}"/>
    <cellStyle name="Normal 6 7 3 2 3 3" xfId="2336" xr:uid="{1EC27ACC-1DE5-462C-B439-1D57325F3089}"/>
    <cellStyle name="Normal 6 7 3 2 3 3 2" xfId="4056" xr:uid="{63AD6EBE-A9A6-4FE4-AC12-7200EB25AC4A}"/>
    <cellStyle name="Normal 6 7 3 2 3 3 3" xfId="7982" xr:uid="{B5DF579F-358E-4B67-987F-9C72242FD745}"/>
    <cellStyle name="Normal 6 7 3 2 3 3 4" xfId="9500" xr:uid="{BB07FE36-2F0A-4722-B63F-764AF6F09282}"/>
    <cellStyle name="Normal 6 7 3 2 3 3 5" xfId="13114" xr:uid="{FE018C77-6973-4E7B-82AD-5205E0D2ADA1}"/>
    <cellStyle name="Normal 6 7 3 2 3 3 6" xfId="14859" xr:uid="{77A65424-D2FC-4982-80FE-3908D6D47EFA}"/>
    <cellStyle name="Normal 6 7 3 2 3 4" xfId="5028" xr:uid="{5ECCBA95-ADF7-44C4-8BF4-765D15583435}"/>
    <cellStyle name="Normal 6 7 3 2 3 4 2" xfId="10498" xr:uid="{A5A2B44A-3B7A-440C-A9CA-2C65D43D35BD}"/>
    <cellStyle name="Normal 6 7 3 2 3 5" xfId="5526" xr:uid="{FE9223ED-9B67-4102-9F4D-EF0A2F0B17E0}"/>
    <cellStyle name="Normal 6 7 3 2 3 5 2" xfId="11000" xr:uid="{D0BE99D4-42C2-4586-8091-AD079EADB487}"/>
    <cellStyle name="Normal 6 7 3 2 3 6" xfId="6028" xr:uid="{1D8ACF33-512F-410A-9D25-DCF90E2AC639}"/>
    <cellStyle name="Normal 6 7 3 2 3 6 2" xfId="11502" xr:uid="{7451D39D-8925-4714-8564-1F5763F10BBF}"/>
    <cellStyle name="Normal 6 7 3 2 3 7" xfId="3046" xr:uid="{8020A48A-1C3C-4277-96E3-740153DF46B6}"/>
    <cellStyle name="Normal 6 7 3 2 3 8" xfId="6968" xr:uid="{4A051022-35C1-4D93-AF65-2F3A33D1CC1D}"/>
    <cellStyle name="Normal 6 7 3 2 3 9" xfId="8492" xr:uid="{FEAE9121-07C2-49B1-96F2-8D01673E2DBE}"/>
    <cellStyle name="Normal 6 7 3 2 4" xfId="1580" xr:uid="{23A84CE0-A5B4-41A1-B7FF-43881DD20222}"/>
    <cellStyle name="Normal 6 7 3 2 4 2" xfId="4302" xr:uid="{E7675188-43B5-4230-ACF0-E898BA804D22}"/>
    <cellStyle name="Normal 6 7 3 2 4 2 2" xfId="9748" xr:uid="{2FC80254-A255-45BD-8D86-62622DC0E69E}"/>
    <cellStyle name="Normal 6 7 3 2 4 3" xfId="3292" xr:uid="{EDFC4A96-E67D-44F9-9603-9BD36B3FD6B3}"/>
    <cellStyle name="Normal 6 7 3 2 4 4" xfId="7226" xr:uid="{69B8E31A-3FBE-4941-BE80-3265B09AF641}"/>
    <cellStyle name="Normal 6 7 3 2 4 5" xfId="8740" xr:uid="{C06DE7BF-5852-43B6-9EB1-F04D78A4DECF}"/>
    <cellStyle name="Normal 6 7 3 2 4 6" xfId="12360" xr:uid="{8B0D24D9-DCA9-4053-8360-AB89C3BDA5D7}"/>
    <cellStyle name="Normal 6 7 3 2 4 7" xfId="14105" xr:uid="{6D825A87-5166-4A32-B554-FE9F58C986B4}"/>
    <cellStyle name="Normal 6 7 3 2 5" xfId="2088" xr:uid="{336CE28F-4E69-42FE-A152-799AAB8299B2}"/>
    <cellStyle name="Normal 6 7 3 2 5 2" xfId="3808" xr:uid="{2187A423-D532-46E2-8A67-C11D5036D175}"/>
    <cellStyle name="Normal 6 7 3 2 5 3" xfId="7734" xr:uid="{6D89E37E-2B90-4C19-B85B-6852BB850483}"/>
    <cellStyle name="Normal 6 7 3 2 5 4" xfId="9252" xr:uid="{B63BE383-6289-48F2-88FA-B846E6654E3A}"/>
    <cellStyle name="Normal 6 7 3 2 5 5" xfId="12866" xr:uid="{359CC4CC-B9B2-46D6-91EE-83F2ED2BA5A5}"/>
    <cellStyle name="Normal 6 7 3 2 5 6" xfId="14611" xr:uid="{5F0BC74F-5BE0-4484-AE36-930E03A15E1E}"/>
    <cellStyle name="Normal 6 7 3 2 6" xfId="4796" xr:uid="{D7022135-7AE0-4F36-A9E8-7899E49974CC}"/>
    <cellStyle name="Normal 6 7 3 2 6 2" xfId="10250" xr:uid="{4D6CB49F-7D63-45F8-B8BA-1F8C3A16023C}"/>
    <cellStyle name="Normal 6 7 3 2 7" xfId="5278" xr:uid="{A9D3DAE2-8B20-468E-9BAD-69C9F696CAD4}"/>
    <cellStyle name="Normal 6 7 3 2 7 2" xfId="10752" xr:uid="{0E41364E-1694-4AF8-A6AA-7D3668ED9258}"/>
    <cellStyle name="Normal 6 7 3 2 8" xfId="5780" xr:uid="{781C8D74-5F36-446D-8A7C-8D627A655A13}"/>
    <cellStyle name="Normal 6 7 3 2 8 2" xfId="11254" xr:uid="{42CD43B2-EDCF-430C-ADB9-4EE52140A3C2}"/>
    <cellStyle name="Normal 6 7 3 2 9" xfId="2812" xr:uid="{386FA7C1-66F2-478E-8610-6DC0FB196668}"/>
    <cellStyle name="Normal 6 7 3 3" xfId="1140" xr:uid="{DFDA5EFA-C448-4C22-8C8C-899F57844BAE}"/>
    <cellStyle name="Normal 6 7 3 3 10" xfId="8310" xr:uid="{0CA5FEC5-58F5-43C9-BFBD-CADDC0AFF211}"/>
    <cellStyle name="Normal 6 7 3 3 11" xfId="11920" xr:uid="{ABB3E563-6BCE-4AF3-B8EE-3227EB93AD09}"/>
    <cellStyle name="Normal 6 7 3 3 12" xfId="13665" xr:uid="{C861C766-B7CA-4276-8ECC-C76878B7E271}"/>
    <cellStyle name="Normal 6 7 3 3 2" xfId="1388" xr:uid="{E390206C-CC93-485D-A49D-CAAC875A06E0}"/>
    <cellStyle name="Normal 6 7 3 3 2 10" xfId="12168" xr:uid="{E2D4E2E1-E9C2-4629-BCC5-8167E37A5350}"/>
    <cellStyle name="Normal 6 7 3 3 2 11" xfId="13913" xr:uid="{E42C5A8F-0C7F-4F62-961E-D72432659395}"/>
    <cellStyle name="Normal 6 7 3 3 2 2" xfId="1894" xr:uid="{5311D3C4-7366-4760-943E-4F673C690F99}"/>
    <cellStyle name="Normal 6 7 3 3 2 2 2" xfId="4616" xr:uid="{C58265FC-AA43-4F45-9AE7-6E608F8FB634}"/>
    <cellStyle name="Normal 6 7 3 3 2 2 2 2" xfId="10062" xr:uid="{B5975FB6-EA8A-44D3-B81A-66C4BF37D310}"/>
    <cellStyle name="Normal 6 7 3 3 2 2 3" xfId="3606" xr:uid="{97937A10-6C8A-4DD1-AECE-4A3F4B13C192}"/>
    <cellStyle name="Normal 6 7 3 3 2 2 4" xfId="7540" xr:uid="{2417AB9F-9D12-423C-9605-2FC99C8178DE}"/>
    <cellStyle name="Normal 6 7 3 3 2 2 5" xfId="9054" xr:uid="{C1F3FB9B-0BF3-42E6-AFBC-E75013134D76}"/>
    <cellStyle name="Normal 6 7 3 3 2 2 6" xfId="12674" xr:uid="{1E21F6FD-1DAC-47EB-AA5D-168F01882000}"/>
    <cellStyle name="Normal 6 7 3 3 2 2 7" xfId="14419" xr:uid="{F89CDCFB-D3D7-4B1B-B554-6999F1860DEA}"/>
    <cellStyle name="Normal 6 7 3 3 2 3" xfId="2402" xr:uid="{CA50C7F2-171E-4D11-97A3-953CB7B4DB20}"/>
    <cellStyle name="Normal 6 7 3 3 2 3 2" xfId="4122" xr:uid="{24ECD627-A3F7-4A68-8866-F7416780E2F9}"/>
    <cellStyle name="Normal 6 7 3 3 2 3 3" xfId="8048" xr:uid="{7586DB91-DD7F-4E94-BBDF-9E085AD24220}"/>
    <cellStyle name="Normal 6 7 3 3 2 3 4" xfId="9566" xr:uid="{4E8878D6-18FA-419B-8465-00558D4680C1}"/>
    <cellStyle name="Normal 6 7 3 3 2 3 5" xfId="13180" xr:uid="{CB29AC3C-15D9-47E4-BBBA-BAB27604E4B7}"/>
    <cellStyle name="Normal 6 7 3 3 2 3 6" xfId="14925" xr:uid="{17535AC6-9707-4B39-B7C7-449CC645F3ED}"/>
    <cellStyle name="Normal 6 7 3 3 2 4" xfId="5094" xr:uid="{92BE2D07-8DFE-4E19-BC45-7E2C62442CD2}"/>
    <cellStyle name="Normal 6 7 3 3 2 4 2" xfId="10564" xr:uid="{631F58DB-9020-458D-B0C4-6DF00643F7B4}"/>
    <cellStyle name="Normal 6 7 3 3 2 5" xfId="5592" xr:uid="{ADBDAD12-A6EC-4DBD-A488-AAE9FCC118F3}"/>
    <cellStyle name="Normal 6 7 3 3 2 5 2" xfId="11066" xr:uid="{2A40DB91-8E66-4286-A47D-037D1E5CB1F5}"/>
    <cellStyle name="Normal 6 7 3 3 2 6" xfId="6094" xr:uid="{A79E3528-FBCF-441D-A6F1-79CE75656FB7}"/>
    <cellStyle name="Normal 6 7 3 3 2 6 2" xfId="11568" xr:uid="{86A384B1-71F1-477A-B35D-1C2FC2F9DBE7}"/>
    <cellStyle name="Normal 6 7 3 3 2 7" xfId="3112" xr:uid="{4C2F0FC8-CAEF-4BA4-8863-C85B7498E85E}"/>
    <cellStyle name="Normal 6 7 3 3 2 8" xfId="7034" xr:uid="{1ADDA39A-BD71-4972-848B-C771295F486D}"/>
    <cellStyle name="Normal 6 7 3 3 2 9" xfId="8558" xr:uid="{B3321A95-E818-45FF-B5F3-D764697F1E18}"/>
    <cellStyle name="Normal 6 7 3 3 3" xfId="1646" xr:uid="{83724927-2E6C-4E54-B478-D766DB1996C4}"/>
    <cellStyle name="Normal 6 7 3 3 3 2" xfId="4368" xr:uid="{DC9C4F5E-58ED-4E3C-8A6A-1BC7EAB05FC7}"/>
    <cellStyle name="Normal 6 7 3 3 3 2 2" xfId="9814" xr:uid="{4507A039-5752-4A27-BFE0-51BBF01B0896}"/>
    <cellStyle name="Normal 6 7 3 3 3 3" xfId="3358" xr:uid="{241D743B-5C1F-4B95-AD5F-2354F5F471EA}"/>
    <cellStyle name="Normal 6 7 3 3 3 4" xfId="7292" xr:uid="{98CEA856-42F8-4DBF-A1A7-D77FC568409E}"/>
    <cellStyle name="Normal 6 7 3 3 3 5" xfId="8806" xr:uid="{FDFBCE44-56DB-45A1-A17B-A7F670BBF3C0}"/>
    <cellStyle name="Normal 6 7 3 3 3 6" xfId="12426" xr:uid="{56331666-D8B6-4626-B2C9-EFF72FAF2AC2}"/>
    <cellStyle name="Normal 6 7 3 3 3 7" xfId="14171" xr:uid="{8A6CBF64-98C9-43E1-97F1-4ADFC18F8A2F}"/>
    <cellStyle name="Normal 6 7 3 3 4" xfId="2154" xr:uid="{F604F46B-6414-4607-B58C-8C8B7750A36A}"/>
    <cellStyle name="Normal 6 7 3 3 4 2" xfId="3874" xr:uid="{3B4B4B80-CFB4-4380-86AB-2FACCA0AA963}"/>
    <cellStyle name="Normal 6 7 3 3 4 3" xfId="7800" xr:uid="{9CFEE3CD-422A-4977-BA23-2E31FD726D41}"/>
    <cellStyle name="Normal 6 7 3 3 4 4" xfId="9318" xr:uid="{89FBBC92-8143-4E9F-911B-F2DFB201705C}"/>
    <cellStyle name="Normal 6 7 3 3 4 5" xfId="12932" xr:uid="{599111C8-D1D5-4233-8513-9D7011A2F68D}"/>
    <cellStyle name="Normal 6 7 3 3 4 6" xfId="14677" xr:uid="{B3AAC478-5171-4D6A-8DA7-2626D5E95EF8}"/>
    <cellStyle name="Normal 6 7 3 3 5" xfId="4856" xr:uid="{427A2D1D-6A58-46F1-8A3B-5564BEF933BC}"/>
    <cellStyle name="Normal 6 7 3 3 5 2" xfId="10316" xr:uid="{55AA23D8-56CA-4786-98FB-9899F158C6C1}"/>
    <cellStyle name="Normal 6 7 3 3 6" xfId="5344" xr:uid="{D1295EA5-8C97-44E9-9680-9AAA1CCA4F24}"/>
    <cellStyle name="Normal 6 7 3 3 6 2" xfId="10818" xr:uid="{C41F5043-E512-4D35-AB8E-21AB3B84E555}"/>
    <cellStyle name="Normal 6 7 3 3 7" xfId="5846" xr:uid="{5FA349F2-B837-4A03-8F45-620D3AADF6C6}"/>
    <cellStyle name="Normal 6 7 3 3 7 2" xfId="11320" xr:uid="{6AC4B25D-53C4-4CE4-A8F5-D84DBE15D6DB}"/>
    <cellStyle name="Normal 6 7 3 3 8" xfId="2872" xr:uid="{368C3F4F-8F96-4E1B-A1C2-553F8400C17E}"/>
    <cellStyle name="Normal 6 7 3 3 9" xfId="6786" xr:uid="{571360A7-0BA7-41B0-93F1-EEEB7DBEBD22}"/>
    <cellStyle name="Normal 6 7 3 4" xfId="1264" xr:uid="{1508485A-61CA-48BB-A601-B0867B798C2B}"/>
    <cellStyle name="Normal 6 7 3 4 10" xfId="12044" xr:uid="{918BC768-4111-4E65-A017-5D62D7FB45EE}"/>
    <cellStyle name="Normal 6 7 3 4 11" xfId="13789" xr:uid="{4AA8FABF-548F-412E-A58B-4A83E22A971F}"/>
    <cellStyle name="Normal 6 7 3 4 2" xfId="1770" xr:uid="{1122A0BC-401F-480E-A10D-E1668D396F27}"/>
    <cellStyle name="Normal 6 7 3 4 2 2" xfId="4492" xr:uid="{C85AEC7A-07BF-477E-8C65-B016DC067C2E}"/>
    <cellStyle name="Normal 6 7 3 4 2 2 2" xfId="9938" xr:uid="{E1E644C4-56C8-4BDB-9679-7AF0D7EC5569}"/>
    <cellStyle name="Normal 6 7 3 4 2 3" xfId="3482" xr:uid="{0BC1D52F-725A-4564-BC68-9F235319D515}"/>
    <cellStyle name="Normal 6 7 3 4 2 4" xfId="7416" xr:uid="{E0288396-5341-4A98-AFB6-152D0AC61CE1}"/>
    <cellStyle name="Normal 6 7 3 4 2 5" xfId="8930" xr:uid="{2862AECB-0B93-4EB1-862B-B0EB87BB0773}"/>
    <cellStyle name="Normal 6 7 3 4 2 6" xfId="12550" xr:uid="{1740E09D-1C0D-4FC5-9C70-057E5DCED8AE}"/>
    <cellStyle name="Normal 6 7 3 4 2 7" xfId="14295" xr:uid="{F2F0BCA5-7BD7-4755-87CC-67D113739745}"/>
    <cellStyle name="Normal 6 7 3 4 3" xfId="2278" xr:uid="{7528629B-2C93-4A5C-8C00-47C939E99FF6}"/>
    <cellStyle name="Normal 6 7 3 4 3 2" xfId="3998" xr:uid="{110A1576-65FA-4ED8-88F9-58733D776775}"/>
    <cellStyle name="Normal 6 7 3 4 3 3" xfId="7924" xr:uid="{60AE6C38-F255-4ECA-AB59-5BB30F829D6D}"/>
    <cellStyle name="Normal 6 7 3 4 3 4" xfId="9442" xr:uid="{0A3DB30C-D1B7-47D1-84FD-B1AAD1930AD3}"/>
    <cellStyle name="Normal 6 7 3 4 3 5" xfId="13056" xr:uid="{E02519DE-53F7-493B-A8B2-868D3C40BA3B}"/>
    <cellStyle name="Normal 6 7 3 4 3 6" xfId="14801" xr:uid="{1829C959-772B-439F-9F53-4E1567886BF4}"/>
    <cellStyle name="Normal 6 7 3 4 4" xfId="4972" xr:uid="{FCC3C167-1A0C-440C-847C-B38B4465151D}"/>
    <cellStyle name="Normal 6 7 3 4 4 2" xfId="10440" xr:uid="{70A7E3AC-8833-44D1-A613-14241AF744E8}"/>
    <cellStyle name="Normal 6 7 3 4 5" xfId="5468" xr:uid="{3B74741C-5DF5-410A-B6AA-30A8D5B88A1C}"/>
    <cellStyle name="Normal 6 7 3 4 5 2" xfId="10942" xr:uid="{779E9898-9192-4F7C-8D3A-BECC321D40D3}"/>
    <cellStyle name="Normal 6 7 3 4 6" xfId="5970" xr:uid="{4AFEAAAD-6D15-4177-84B4-73A03972B512}"/>
    <cellStyle name="Normal 6 7 3 4 6 2" xfId="11444" xr:uid="{7E373A3D-01EC-432F-8ED1-8810CCE240F8}"/>
    <cellStyle name="Normal 6 7 3 4 7" xfId="2990" xr:uid="{60DFAC24-2971-4A50-BF3A-16CDF77147E9}"/>
    <cellStyle name="Normal 6 7 3 4 8" xfId="6910" xr:uid="{DA8BC1AB-EE31-4DDF-B633-76E067136327}"/>
    <cellStyle name="Normal 6 7 3 4 9" xfId="8434" xr:uid="{3F71FCA9-0EE8-4B1D-A8D8-633C63FCAF92}"/>
    <cellStyle name="Normal 6 7 3 5" xfId="1522" xr:uid="{71D4C4F7-E977-4B80-B7BE-7572695FD026}"/>
    <cellStyle name="Normal 6 7 3 5 2" xfId="4246" xr:uid="{0D7A3761-AE21-4298-BC84-24846D2952BF}"/>
    <cellStyle name="Normal 6 7 3 5 2 2" xfId="9690" xr:uid="{4B7FA248-7FBE-45C6-8E2A-6602902C0001}"/>
    <cellStyle name="Normal 6 7 3 5 3" xfId="3236" xr:uid="{AA026538-B562-4B1E-A691-A610F84D1ABD}"/>
    <cellStyle name="Normal 6 7 3 5 4" xfId="7168" xr:uid="{9C9FD77E-3F2D-429E-889D-D0AB5A77653F}"/>
    <cellStyle name="Normal 6 7 3 5 5" xfId="8682" xr:uid="{1CDB0758-A4DC-46B5-8A58-F357CEA67AB9}"/>
    <cellStyle name="Normal 6 7 3 5 6" xfId="12302" xr:uid="{FBBB5474-758E-4BB7-8A7F-2C226EC3711D}"/>
    <cellStyle name="Normal 6 7 3 5 7" xfId="14047" xr:uid="{7F387A75-CA9A-4342-84D2-F81FD7ECDB19}"/>
    <cellStyle name="Normal 6 7 3 6" xfId="2030" xr:uid="{3D889296-4B4D-4DBF-9767-903E3FAA86B5}"/>
    <cellStyle name="Normal 6 7 3 6 2" xfId="3750" xr:uid="{8F1A66BC-4FD0-4BC6-8408-7A21EFCC7A83}"/>
    <cellStyle name="Normal 6 7 3 6 3" xfId="7676" xr:uid="{E79178F3-10D9-4412-8ADC-6B67B4CC8040}"/>
    <cellStyle name="Normal 6 7 3 6 4" xfId="9194" xr:uid="{F259FD32-9297-4BF0-882A-AF8C0CA89AE5}"/>
    <cellStyle name="Normal 6 7 3 6 5" xfId="12808" xr:uid="{2C3D79CD-7DEF-4D76-AEF8-1898819D72E2}"/>
    <cellStyle name="Normal 6 7 3 6 6" xfId="14553" xr:uid="{C865CCD8-E3D3-4885-B2B8-94EDD8E5DE11}"/>
    <cellStyle name="Normal 6 7 3 7" xfId="4744" xr:uid="{B3C8366A-FFEF-4869-9424-8BCA2B4679E8}"/>
    <cellStyle name="Normal 6 7 3 7 2" xfId="10192" xr:uid="{B13DA795-3EA7-4144-A298-7BCF4653CDEE}"/>
    <cellStyle name="Normal 6 7 3 8" xfId="5220" xr:uid="{24708659-F335-44D3-864F-00B40001C74A}"/>
    <cellStyle name="Normal 6 7 3 8 2" xfId="10694" xr:uid="{B69FACB9-9809-43A1-89D9-2B8B901CC3E6}"/>
    <cellStyle name="Normal 6 7 3 9" xfId="5722" xr:uid="{16F50528-C692-42B1-9BA4-65E63145DAEE}"/>
    <cellStyle name="Normal 6 7 3 9 2" xfId="11196" xr:uid="{11872C7E-A8BF-42D3-8F01-BC9A8F86B52D}"/>
    <cellStyle name="Normal 6 7 4" xfId="1072" xr:uid="{33B847EC-794B-4579-92A6-3FDAC838669C}"/>
    <cellStyle name="Normal 6 7 4 10" xfId="6718" xr:uid="{59F4DD6A-CBA2-486E-A0C5-CD1EDEC48701}"/>
    <cellStyle name="Normal 6 7 4 11" xfId="8242" xr:uid="{4B8B6F5A-8E7A-43F4-A70E-7B610B4A711C}"/>
    <cellStyle name="Normal 6 7 4 12" xfId="11852" xr:uid="{68E227E0-B901-4EB5-A125-90E34DA1F7BB}"/>
    <cellStyle name="Normal 6 7 4 13" xfId="13597" xr:uid="{0501D942-C77E-4D19-B7BF-08FFBAF6F0DA}"/>
    <cellStyle name="Normal 6 7 4 2" xfId="1196" xr:uid="{602DB30A-8737-46E2-98EA-ECD3337D4025}"/>
    <cellStyle name="Normal 6 7 4 2 10" xfId="8366" xr:uid="{494E3A0A-FE99-489C-9643-54AFD6C9578F}"/>
    <cellStyle name="Normal 6 7 4 2 11" xfId="11976" xr:uid="{4BEC6D79-1D40-465C-80BD-A939C3103A33}"/>
    <cellStyle name="Normal 6 7 4 2 12" xfId="13721" xr:uid="{D26A1826-367E-490A-B9AA-6CA23270BBD0}"/>
    <cellStyle name="Normal 6 7 4 2 2" xfId="1444" xr:uid="{F5B6A9F6-2B18-4AE8-9C39-1E33B6E45492}"/>
    <cellStyle name="Normal 6 7 4 2 2 10" xfId="12224" xr:uid="{4323F872-76A3-4D6D-93CF-61632F6AEC89}"/>
    <cellStyle name="Normal 6 7 4 2 2 11" xfId="13969" xr:uid="{1EE3ADB9-87B7-40EE-BA66-47E5AE588050}"/>
    <cellStyle name="Normal 6 7 4 2 2 2" xfId="1950" xr:uid="{D051A4E6-9534-4D23-8ED2-9EFF4EE85D74}"/>
    <cellStyle name="Normal 6 7 4 2 2 2 2" xfId="4672" xr:uid="{1358909B-6C9A-4211-A442-D604F999D7E2}"/>
    <cellStyle name="Normal 6 7 4 2 2 2 2 2" xfId="10118" xr:uid="{01C0E918-D9B8-4181-AF61-ED94772B4CD1}"/>
    <cellStyle name="Normal 6 7 4 2 2 2 3" xfId="3662" xr:uid="{3E4102AA-A943-4428-912D-97AA6C8494DB}"/>
    <cellStyle name="Normal 6 7 4 2 2 2 4" xfId="7596" xr:uid="{FAD769A0-00F2-430B-9DDB-2EC90549F422}"/>
    <cellStyle name="Normal 6 7 4 2 2 2 5" xfId="9110" xr:uid="{7B0B208C-1CEB-474D-AD45-2910ADA9DE06}"/>
    <cellStyle name="Normal 6 7 4 2 2 2 6" xfId="12730" xr:uid="{F12AF98B-0FC3-46FB-86B7-3A15791B5F90}"/>
    <cellStyle name="Normal 6 7 4 2 2 2 7" xfId="14475" xr:uid="{6FD0DBD7-644E-4B58-8F57-F3D3DDAD20EE}"/>
    <cellStyle name="Normal 6 7 4 2 2 3" xfId="2458" xr:uid="{8E5551D0-063B-47EC-B9E5-2D852CE85531}"/>
    <cellStyle name="Normal 6 7 4 2 2 3 2" xfId="4178" xr:uid="{5DC83BC9-FAAF-4C54-A868-6449C717220D}"/>
    <cellStyle name="Normal 6 7 4 2 2 3 3" xfId="8104" xr:uid="{8D8F9910-9A84-4868-A2B8-41DE909A9709}"/>
    <cellStyle name="Normal 6 7 4 2 2 3 4" xfId="9622" xr:uid="{57BAEA33-35F0-456B-B585-8D0C72EC8181}"/>
    <cellStyle name="Normal 6 7 4 2 2 3 5" xfId="13236" xr:uid="{8591FE33-A234-47D4-BDAE-6AA689C3D22E}"/>
    <cellStyle name="Normal 6 7 4 2 2 3 6" xfId="14981" xr:uid="{4F08672B-49A7-489A-8CBD-7EE8B8B94CA0}"/>
    <cellStyle name="Normal 6 7 4 2 2 4" xfId="5150" xr:uid="{47424384-D1BA-4F89-ADB7-35B9EEEBA3B5}"/>
    <cellStyle name="Normal 6 7 4 2 2 4 2" xfId="10620" xr:uid="{CB59CE89-7DE7-4E69-BC18-D45872AFE546}"/>
    <cellStyle name="Normal 6 7 4 2 2 5" xfId="5648" xr:uid="{315E741D-FFA1-4475-853E-A35AC63F9D3F}"/>
    <cellStyle name="Normal 6 7 4 2 2 5 2" xfId="11122" xr:uid="{AC7A5A87-81C5-4A6C-BE7F-3D5523285E3D}"/>
    <cellStyle name="Normal 6 7 4 2 2 6" xfId="6150" xr:uid="{C815FA84-5B50-4C08-B310-A30F400DC0BB}"/>
    <cellStyle name="Normal 6 7 4 2 2 6 2" xfId="11624" xr:uid="{AC74C7AC-147C-4A35-A4B3-10E5D0E8C5D1}"/>
    <cellStyle name="Normal 6 7 4 2 2 7" xfId="3168" xr:uid="{796782D9-513C-430F-B8AD-3CE3260CEA2F}"/>
    <cellStyle name="Normal 6 7 4 2 2 8" xfId="7090" xr:uid="{E18EA3A7-1C3B-4775-B3F6-2F0F400401B7}"/>
    <cellStyle name="Normal 6 7 4 2 2 9" xfId="8614" xr:uid="{EB54992F-9220-4149-8468-DCA38CF9C91D}"/>
    <cellStyle name="Normal 6 7 4 2 3" xfId="1702" xr:uid="{95EF38E1-6149-481E-8140-7E69CCD36369}"/>
    <cellStyle name="Normal 6 7 4 2 3 2" xfId="4424" xr:uid="{424B8E2E-D6E1-438A-9425-B3280D292CA6}"/>
    <cellStyle name="Normal 6 7 4 2 3 2 2" xfId="9870" xr:uid="{83635457-ECDA-4AB2-A3FF-066568C30772}"/>
    <cellStyle name="Normal 6 7 4 2 3 3" xfId="3414" xr:uid="{B6B7BEE4-64AE-406B-9031-864B2F8B5E17}"/>
    <cellStyle name="Normal 6 7 4 2 3 4" xfId="7348" xr:uid="{359783DE-2E86-49F5-B709-A732FDA74986}"/>
    <cellStyle name="Normal 6 7 4 2 3 5" xfId="8862" xr:uid="{609EA4C6-9A40-44FE-9DB5-21B3A79F478F}"/>
    <cellStyle name="Normal 6 7 4 2 3 6" xfId="12482" xr:uid="{DFB46E5D-D2A6-4FF5-8FFB-742F9F6A1698}"/>
    <cellStyle name="Normal 6 7 4 2 3 7" xfId="14227" xr:uid="{F3C0FE6C-B199-4B6B-9992-5AC4EBDE9C73}"/>
    <cellStyle name="Normal 6 7 4 2 4" xfId="2210" xr:uid="{9E5FF037-C23A-470D-A45E-74939E554093}"/>
    <cellStyle name="Normal 6 7 4 2 4 2" xfId="3930" xr:uid="{D6E6C733-B1BB-4A4F-859D-9D24AA747DE6}"/>
    <cellStyle name="Normal 6 7 4 2 4 3" xfId="7856" xr:uid="{93B47BD6-AED0-40D0-9B78-6803D893D87B}"/>
    <cellStyle name="Normal 6 7 4 2 4 4" xfId="9374" xr:uid="{20366797-71B7-4728-8487-88B4C2CB096E}"/>
    <cellStyle name="Normal 6 7 4 2 4 5" xfId="12988" xr:uid="{5F3CA582-839D-4E93-81C1-4B3CED0647BA}"/>
    <cellStyle name="Normal 6 7 4 2 4 6" xfId="14733" xr:uid="{24AE8BF8-F808-4118-9E20-D2B154CC1FDA}"/>
    <cellStyle name="Normal 6 7 4 2 5" xfId="4910" xr:uid="{A2D24184-73DC-40D1-AA05-82AF930753E7}"/>
    <cellStyle name="Normal 6 7 4 2 5 2" xfId="10372" xr:uid="{24C4A96C-9B0B-4890-87C7-1B314C768268}"/>
    <cellStyle name="Normal 6 7 4 2 6" xfId="5400" xr:uid="{4A354C76-478F-4264-8551-A11B00284A21}"/>
    <cellStyle name="Normal 6 7 4 2 6 2" xfId="10874" xr:uid="{136BD105-B9E0-4B0F-B8D0-899271CC5C49}"/>
    <cellStyle name="Normal 6 7 4 2 7" xfId="5902" xr:uid="{9AB679C4-DEC6-48BC-B9F7-0CDD22A0B3A2}"/>
    <cellStyle name="Normal 6 7 4 2 7 2" xfId="11376" xr:uid="{996D20C8-304E-46BD-BBA8-16CCD3368FA0}"/>
    <cellStyle name="Normal 6 7 4 2 8" xfId="2926" xr:uid="{EAC938DA-E115-4FCD-9C11-61394360D76D}"/>
    <cellStyle name="Normal 6 7 4 2 9" xfId="6842" xr:uid="{C222DDD0-6344-477F-A97E-6B9D923EBA2C}"/>
    <cellStyle name="Normal 6 7 4 3" xfId="1320" xr:uid="{891FEBA8-B5F0-4B28-A88F-0EB84C11240E}"/>
    <cellStyle name="Normal 6 7 4 3 10" xfId="12100" xr:uid="{BA6D9B95-C668-4061-953C-72D58A94DF88}"/>
    <cellStyle name="Normal 6 7 4 3 11" xfId="13845" xr:uid="{B4894CDD-25A5-4F44-AE62-837D63838AA4}"/>
    <cellStyle name="Normal 6 7 4 3 2" xfId="1826" xr:uid="{827EE71C-99DA-44DE-BB59-7DFDD93069B8}"/>
    <cellStyle name="Normal 6 7 4 3 2 2" xfId="4548" xr:uid="{E374A647-6122-4FDE-BFF3-B3DD14050765}"/>
    <cellStyle name="Normal 6 7 4 3 2 2 2" xfId="9994" xr:uid="{42DF268E-C03E-400E-828C-24921ADC1E60}"/>
    <cellStyle name="Normal 6 7 4 3 2 3" xfId="3538" xr:uid="{43534557-90C0-4700-97AC-C57497B3FAF2}"/>
    <cellStyle name="Normal 6 7 4 3 2 4" xfId="7472" xr:uid="{385614EF-0751-4475-85D7-7B71ACF4E53C}"/>
    <cellStyle name="Normal 6 7 4 3 2 5" xfId="8986" xr:uid="{599EA21E-EB4C-42EB-AE6A-639AAF738FA5}"/>
    <cellStyle name="Normal 6 7 4 3 2 6" xfId="12606" xr:uid="{D86206C1-5C86-4A6A-B1EA-75B40813C6FE}"/>
    <cellStyle name="Normal 6 7 4 3 2 7" xfId="14351" xr:uid="{AA13A738-42CB-4CEB-AB76-32DB1F10C2EA}"/>
    <cellStyle name="Normal 6 7 4 3 3" xfId="2334" xr:uid="{F1E0565D-1D1F-479C-8EB0-A1DC40A0D095}"/>
    <cellStyle name="Normal 6 7 4 3 3 2" xfId="4054" xr:uid="{951E0FF4-5DEB-4266-8613-00BFEEF22F4B}"/>
    <cellStyle name="Normal 6 7 4 3 3 3" xfId="7980" xr:uid="{E7D330FC-6070-4F52-931B-3B3298C80130}"/>
    <cellStyle name="Normal 6 7 4 3 3 4" xfId="9498" xr:uid="{79B56A2A-D06B-46C5-8A11-6420190C4D0C}"/>
    <cellStyle name="Normal 6 7 4 3 3 5" xfId="13112" xr:uid="{93F3AD65-263A-43FB-838B-EB534005448E}"/>
    <cellStyle name="Normal 6 7 4 3 3 6" xfId="14857" xr:uid="{A45DCC0E-21E2-4BF6-8645-A9F000A14F32}"/>
    <cellStyle name="Normal 6 7 4 3 4" xfId="5026" xr:uid="{DB5EC7FE-6EC2-44C9-B126-53F261D9EF71}"/>
    <cellStyle name="Normal 6 7 4 3 4 2" xfId="10496" xr:uid="{8182925C-E2E5-456C-8539-19FE89C1B97B}"/>
    <cellStyle name="Normal 6 7 4 3 5" xfId="5524" xr:uid="{B71CA401-7D36-4C04-BE95-91A9CDD9F939}"/>
    <cellStyle name="Normal 6 7 4 3 5 2" xfId="10998" xr:uid="{9D84E233-C897-4179-8A4C-4CBF363FA8D0}"/>
    <cellStyle name="Normal 6 7 4 3 6" xfId="6026" xr:uid="{8932B28D-EBE5-41B8-A51B-A2D1A499B8F9}"/>
    <cellStyle name="Normal 6 7 4 3 6 2" xfId="11500" xr:uid="{F48093C2-F948-4A3F-84D1-572238422A7E}"/>
    <cellStyle name="Normal 6 7 4 3 7" xfId="3044" xr:uid="{1BFA72FB-26B1-4D7D-B4C8-1BF320C28951}"/>
    <cellStyle name="Normal 6 7 4 3 8" xfId="6966" xr:uid="{980E58DE-5BB9-4C01-8FE6-A3171A562D53}"/>
    <cellStyle name="Normal 6 7 4 3 9" xfId="8490" xr:uid="{DFA5DE79-5269-4776-898A-8A9DEE16D93A}"/>
    <cellStyle name="Normal 6 7 4 4" xfId="1578" xr:uid="{D3CB263E-E3BE-498B-8675-341596F1AF52}"/>
    <cellStyle name="Normal 6 7 4 4 2" xfId="4300" xr:uid="{2FD24B6D-302A-4A3B-9B67-719AB1B34C1A}"/>
    <cellStyle name="Normal 6 7 4 4 2 2" xfId="9746" xr:uid="{DA988ABD-E8AE-44F5-9305-43F4942C09E3}"/>
    <cellStyle name="Normal 6 7 4 4 3" xfId="3290" xr:uid="{0AFF43F4-964E-4336-82B8-2BFE9E6F40E8}"/>
    <cellStyle name="Normal 6 7 4 4 4" xfId="7224" xr:uid="{AF6BFF18-8580-4DD5-B662-BD45039DAF25}"/>
    <cellStyle name="Normal 6 7 4 4 5" xfId="8738" xr:uid="{61AF30B6-4811-4B53-AB87-2B6F3CD7F6BE}"/>
    <cellStyle name="Normal 6 7 4 4 6" xfId="12358" xr:uid="{EC10F1F7-202B-4190-BF30-974F92CA870C}"/>
    <cellStyle name="Normal 6 7 4 4 7" xfId="14103" xr:uid="{1BD367C1-D8AE-4BE5-8A67-AFE1970C39F8}"/>
    <cellStyle name="Normal 6 7 4 5" xfId="2086" xr:uid="{3E852275-2AFF-43F0-B56E-7EB47FDE1F52}"/>
    <cellStyle name="Normal 6 7 4 5 2" xfId="3806" xr:uid="{DB665053-A70E-4878-8031-E4CBED92AA64}"/>
    <cellStyle name="Normal 6 7 4 5 3" xfId="7732" xr:uid="{9284697B-ED6E-4E99-A896-9030C4A251D7}"/>
    <cellStyle name="Normal 6 7 4 5 4" xfId="9250" xr:uid="{9E9BEF1F-2AC8-4EC9-89F3-CCE7BB4E612F}"/>
    <cellStyle name="Normal 6 7 4 5 5" xfId="12864" xr:uid="{82F4099D-06BD-454E-9B05-BCF3178FF234}"/>
    <cellStyle name="Normal 6 7 4 5 6" xfId="14609" xr:uid="{773B7A6B-5D05-47F1-8D9F-5581C2B914D6}"/>
    <cellStyle name="Normal 6 7 4 6" xfId="4794" xr:uid="{D32AC48C-C0E7-4102-AE01-D0CB5B585ED7}"/>
    <cellStyle name="Normal 6 7 4 6 2" xfId="10248" xr:uid="{1C585CF6-FA29-4549-9A20-770B1D6E520F}"/>
    <cellStyle name="Normal 6 7 4 7" xfId="5276" xr:uid="{3FEF1339-B5E9-4F9A-82C2-57B33B0B1700}"/>
    <cellStyle name="Normal 6 7 4 7 2" xfId="10750" xr:uid="{9344E3D4-3E8F-46FB-B350-2F5EA14B6F7E}"/>
    <cellStyle name="Normal 6 7 4 8" xfId="5778" xr:uid="{31ABE6F7-C5EF-4E42-9C94-11B1E507C65D}"/>
    <cellStyle name="Normal 6 7 4 8 2" xfId="11252" xr:uid="{DFEE27F7-F3D7-49C3-9BCD-B60169BC9558}"/>
    <cellStyle name="Normal 6 7 4 9" xfId="2810" xr:uid="{32F599DA-6E72-42AA-B9F3-4D18E42DBA07}"/>
    <cellStyle name="Normal 6 7 5" xfId="1098" xr:uid="{20249A66-272F-4835-AF03-18C885328C6E}"/>
    <cellStyle name="Normal 6 7 5 10" xfId="8268" xr:uid="{7FF4E15A-DB9C-45B2-B80A-30A7B6F58774}"/>
    <cellStyle name="Normal 6 7 5 11" xfId="11878" xr:uid="{DF6E2773-6029-42A1-80A8-4EA45DF3D774}"/>
    <cellStyle name="Normal 6 7 5 12" xfId="13623" xr:uid="{0C25C1A2-1925-42C1-B4C1-D3328E3E4B3C}"/>
    <cellStyle name="Normal 6 7 5 2" xfId="1346" xr:uid="{55B57B49-F0A8-4A73-822F-A791A42FE88B}"/>
    <cellStyle name="Normal 6 7 5 2 10" xfId="12126" xr:uid="{37611898-3E52-4A74-B306-C8C6A6ECFEB7}"/>
    <cellStyle name="Normal 6 7 5 2 11" xfId="13871" xr:uid="{9DCF9FF9-828B-46A2-8A6C-CD9D21040950}"/>
    <cellStyle name="Normal 6 7 5 2 2" xfId="1852" xr:uid="{E216E3D5-2107-4872-9D97-5EDEBE53A10E}"/>
    <cellStyle name="Normal 6 7 5 2 2 2" xfId="4574" xr:uid="{3FE02657-23F8-40C3-B2A7-F8175C44C53C}"/>
    <cellStyle name="Normal 6 7 5 2 2 2 2" xfId="10020" xr:uid="{00780EA7-4711-4531-9B5A-2221FCE81E74}"/>
    <cellStyle name="Normal 6 7 5 2 2 3" xfId="3564" xr:uid="{566293E2-8E85-4757-AAA1-09913C07AA9D}"/>
    <cellStyle name="Normal 6 7 5 2 2 4" xfId="7498" xr:uid="{6A7AB3A8-1F32-4AAB-AC77-6C48048FB132}"/>
    <cellStyle name="Normal 6 7 5 2 2 5" xfId="9012" xr:uid="{DA3A79C8-A112-41C9-B0EE-0BD2550C7F15}"/>
    <cellStyle name="Normal 6 7 5 2 2 6" xfId="12632" xr:uid="{EB5E79D3-E291-433A-9E3D-3A7402545880}"/>
    <cellStyle name="Normal 6 7 5 2 2 7" xfId="14377" xr:uid="{89B3565C-67CB-42FC-812C-3B3CE9A6DAD8}"/>
    <cellStyle name="Normal 6 7 5 2 3" xfId="2360" xr:uid="{960BE503-AF34-4725-9E73-E4FC9F44CD8E}"/>
    <cellStyle name="Normal 6 7 5 2 3 2" xfId="4080" xr:uid="{3EF494FD-2877-43E8-8FA7-FDF6A83E83B7}"/>
    <cellStyle name="Normal 6 7 5 2 3 3" xfId="8006" xr:uid="{37ED08C4-ADDD-483B-A2C2-5505CCE0FBF1}"/>
    <cellStyle name="Normal 6 7 5 2 3 4" xfId="9524" xr:uid="{5D0A7D71-B8A4-41C5-9D26-75D46F768A2E}"/>
    <cellStyle name="Normal 6 7 5 2 3 5" xfId="13138" xr:uid="{92F29AA3-D931-453B-AC2D-E0085A6CD75E}"/>
    <cellStyle name="Normal 6 7 5 2 3 6" xfId="14883" xr:uid="{299AB766-4F73-4551-91DD-8C65C31D3999}"/>
    <cellStyle name="Normal 6 7 5 2 4" xfId="5052" xr:uid="{4E0F420F-25FD-47E0-AF03-020C25F8140B}"/>
    <cellStyle name="Normal 6 7 5 2 4 2" xfId="10522" xr:uid="{735A1D50-86D9-4EE2-A054-F771741211F5}"/>
    <cellStyle name="Normal 6 7 5 2 5" xfId="5550" xr:uid="{3C5A3F49-9271-4002-9138-95ACC6DC769C}"/>
    <cellStyle name="Normal 6 7 5 2 5 2" xfId="11024" xr:uid="{81D912F2-EA5B-4EA8-9DFF-C8A5A85C1DA5}"/>
    <cellStyle name="Normal 6 7 5 2 6" xfId="6052" xr:uid="{6A2C9064-FA34-4B38-A26F-8DE0DA741C0D}"/>
    <cellStyle name="Normal 6 7 5 2 6 2" xfId="11526" xr:uid="{D42A619A-5073-4FEF-82EC-AA1D4DC32586}"/>
    <cellStyle name="Normal 6 7 5 2 7" xfId="3070" xr:uid="{C0C310F5-8EA3-4355-AF02-C30E4EBF53BF}"/>
    <cellStyle name="Normal 6 7 5 2 8" xfId="6992" xr:uid="{6E4F0327-0532-4F66-9AEA-6C53E8D58AB0}"/>
    <cellStyle name="Normal 6 7 5 2 9" xfId="8516" xr:uid="{ED1D8A71-A4DF-4B8F-B12B-A5CEED3A4D03}"/>
    <cellStyle name="Normal 6 7 5 3" xfId="1604" xr:uid="{9B00197D-6774-48D7-B01D-3BF24CAEA4D4}"/>
    <cellStyle name="Normal 6 7 5 3 2" xfId="4326" xr:uid="{227E995E-BB2E-45AD-A847-0B4B3F253C40}"/>
    <cellStyle name="Normal 6 7 5 3 2 2" xfId="9772" xr:uid="{4EA7C830-C4BC-40FC-8FC9-08C97723AD31}"/>
    <cellStyle name="Normal 6 7 5 3 3" xfId="3316" xr:uid="{8DD9AF00-FFBA-4250-BED9-EFFD537CD169}"/>
    <cellStyle name="Normal 6 7 5 3 4" xfId="7250" xr:uid="{2A4FB18E-5D3D-4EAA-ADC2-257940C2ADF9}"/>
    <cellStyle name="Normal 6 7 5 3 5" xfId="8764" xr:uid="{C6717C3A-0AEA-4FD6-89B4-3C5F297025C5}"/>
    <cellStyle name="Normal 6 7 5 3 6" xfId="12384" xr:uid="{CC2BB7EC-9349-4182-B899-CF348BA2F8AE}"/>
    <cellStyle name="Normal 6 7 5 3 7" xfId="14129" xr:uid="{68BDC502-BE2C-4F61-966A-89BF6029C3C2}"/>
    <cellStyle name="Normal 6 7 5 4" xfId="2112" xr:uid="{129F0084-51E8-4971-9C91-5D0BEA7865B0}"/>
    <cellStyle name="Normal 6 7 5 4 2" xfId="3832" xr:uid="{FE75AD68-DAD0-44CE-82BF-93ED9CA97945}"/>
    <cellStyle name="Normal 6 7 5 4 3" xfId="7758" xr:uid="{4E4AB9A5-6E69-4DBC-B064-8B54F1A17B8A}"/>
    <cellStyle name="Normal 6 7 5 4 4" xfId="9276" xr:uid="{5BFF63CA-25F2-4F72-AF36-F0513442C12B}"/>
    <cellStyle name="Normal 6 7 5 4 5" xfId="12890" xr:uid="{624FA4BB-997C-408D-BAF9-9B84C24EC740}"/>
    <cellStyle name="Normal 6 7 5 4 6" xfId="14635" xr:uid="{AFB77D3A-9753-42E3-B769-D3E237B70917}"/>
    <cellStyle name="Normal 6 7 5 5" xfId="4818" xr:uid="{B35F1D2F-83C2-4363-A881-C5A9DC20068F}"/>
    <cellStyle name="Normal 6 7 5 5 2" xfId="10274" xr:uid="{FA9211D4-DC63-4D89-A293-80A419D2494F}"/>
    <cellStyle name="Normal 6 7 5 6" xfId="5302" xr:uid="{01BCA1D1-1416-4CE0-AFB1-5D424B9C25C3}"/>
    <cellStyle name="Normal 6 7 5 6 2" xfId="10776" xr:uid="{0D0B2DE3-063A-41C2-AE5A-38899F9D025B}"/>
    <cellStyle name="Normal 6 7 5 7" xfId="5804" xr:uid="{290F785B-1CD0-425F-9AB4-DCBDBF682650}"/>
    <cellStyle name="Normal 6 7 5 7 2" xfId="11278" xr:uid="{540248AB-A028-40A0-A7F8-C471E7C266CA}"/>
    <cellStyle name="Normal 6 7 5 8" xfId="2834" xr:uid="{2C97ABDC-C9AC-4A0C-A108-30DC6250D5FD}"/>
    <cellStyle name="Normal 6 7 5 9" xfId="6744" xr:uid="{23295DDF-DDC4-4CFA-8FC5-73F70F88C368}"/>
    <cellStyle name="Normal 6 7 6" xfId="1222" xr:uid="{D717E6A1-2302-425E-9D38-18FDCA63D122}"/>
    <cellStyle name="Normal 6 7 6 10" xfId="12002" xr:uid="{A8F4D634-7B5D-40CC-9984-C804714406E6}"/>
    <cellStyle name="Normal 6 7 6 11" xfId="13747" xr:uid="{BD744431-A4A7-4585-8D0E-DF3C55B45E39}"/>
    <cellStyle name="Normal 6 7 6 2" xfId="1728" xr:uid="{429F0254-7926-41A8-B326-8208A106BEDA}"/>
    <cellStyle name="Normal 6 7 6 2 2" xfId="4450" xr:uid="{D0C4CBAE-CB6C-4D09-B40D-EB17AD952B17}"/>
    <cellStyle name="Normal 6 7 6 2 2 2" xfId="9896" xr:uid="{E30F21FD-E348-4067-A333-8EEB91404867}"/>
    <cellStyle name="Normal 6 7 6 2 3" xfId="3440" xr:uid="{835C6616-3FDD-4D11-BFF6-D2DD2D50B250}"/>
    <cellStyle name="Normal 6 7 6 2 4" xfId="7374" xr:uid="{CC88BFC6-1DCB-42BA-A961-59279A7D2483}"/>
    <cellStyle name="Normal 6 7 6 2 5" xfId="8888" xr:uid="{8450CCAE-B935-4D17-B05D-8C8C7D4EC412}"/>
    <cellStyle name="Normal 6 7 6 2 6" xfId="12508" xr:uid="{FCED2896-6EFF-4FC2-9A39-5C7940D27753}"/>
    <cellStyle name="Normal 6 7 6 2 7" xfId="14253" xr:uid="{88591475-FC52-4573-B3EB-AD0F3C235E0A}"/>
    <cellStyle name="Normal 6 7 6 3" xfId="2236" xr:uid="{1048A9CC-6CE1-41D9-BE18-C819B359FFC0}"/>
    <cellStyle name="Normal 6 7 6 3 2" xfId="3956" xr:uid="{D8AD3B97-02E2-4085-8D4A-79B38B3B445A}"/>
    <cellStyle name="Normal 6 7 6 3 3" xfId="7882" xr:uid="{B8E6F4F3-9669-4BC5-9824-56A842BF8CCE}"/>
    <cellStyle name="Normal 6 7 6 3 4" xfId="9400" xr:uid="{08EBBB99-8045-4549-857B-D752594B9E6C}"/>
    <cellStyle name="Normal 6 7 6 3 5" xfId="13014" xr:uid="{DD170900-E376-43E6-A9C7-79E930F6AE9D}"/>
    <cellStyle name="Normal 6 7 6 3 6" xfId="14759" xr:uid="{4630281D-7461-49EA-89F7-07A4AC0E3BFD}"/>
    <cellStyle name="Normal 6 7 6 4" xfId="4934" xr:uid="{E7A74966-49A1-4C01-8B5D-F2175FA82644}"/>
    <cellStyle name="Normal 6 7 6 4 2" xfId="10398" xr:uid="{C46D6F38-20BD-4273-BC93-8E36E555F4AA}"/>
    <cellStyle name="Normal 6 7 6 5" xfId="5426" xr:uid="{371FB2B9-D423-4220-8DB7-54DAD338A36E}"/>
    <cellStyle name="Normal 6 7 6 5 2" xfId="10900" xr:uid="{BCBC7809-8349-4BA3-8FEA-3C9730306444}"/>
    <cellStyle name="Normal 6 7 6 6" xfId="5928" xr:uid="{A4E70066-0DC2-4448-B62B-E6FEE5950DF3}"/>
    <cellStyle name="Normal 6 7 6 6 2" xfId="11402" xr:uid="{6D3773C4-6893-46FC-84D2-DBEC399886EA}"/>
    <cellStyle name="Normal 6 7 6 7" xfId="2952" xr:uid="{C4BC82E3-B51F-4A71-A2DC-84AA54B634DC}"/>
    <cellStyle name="Normal 6 7 6 8" xfId="6868" xr:uid="{34DF3FC5-0E76-45C3-B1C8-FB9A5A9FBE2F}"/>
    <cellStyle name="Normal 6 7 6 9" xfId="8392" xr:uid="{1D349726-D4A3-4C31-9833-C7C029A50814}"/>
    <cellStyle name="Normal 6 7 7" xfId="1480" xr:uid="{1967022A-C531-417F-9424-B3B40F237E85}"/>
    <cellStyle name="Normal 6 7 7 2" xfId="4204" xr:uid="{7E23F632-84A2-4BB5-A87E-B1EC7528C6C8}"/>
    <cellStyle name="Normal 6 7 7 2 2" xfId="9648" xr:uid="{C7D206C4-C55B-4322-B9CB-E3B612D086D1}"/>
    <cellStyle name="Normal 6 7 7 3" xfId="3194" xr:uid="{C545C828-96D8-4AEF-B170-3BEB81A09741}"/>
    <cellStyle name="Normal 6 7 7 4" xfId="7126" xr:uid="{7915B942-7243-42E2-B9C2-E1C61BCBE21B}"/>
    <cellStyle name="Normal 6 7 7 5" xfId="8640" xr:uid="{102AA992-8B48-426C-AF3B-58C460B573B1}"/>
    <cellStyle name="Normal 6 7 7 6" xfId="12260" xr:uid="{B53152AE-076B-4D11-99B4-530DCD09EC7E}"/>
    <cellStyle name="Normal 6 7 7 7" xfId="14005" xr:uid="{8E48E649-6F3E-4B4A-BD2E-AD7821C2C55F}"/>
    <cellStyle name="Normal 6 7 8" xfId="1988" xr:uid="{5B635B46-C569-439C-BAEE-A392D4981AFE}"/>
    <cellStyle name="Normal 6 7 8 2" xfId="3708" xr:uid="{2C7B5ADF-44B5-4989-97E1-85D8935F0880}"/>
    <cellStyle name="Normal 6 7 8 3" xfId="7634" xr:uid="{D738C85D-4459-4F51-B5FA-FC4BC0FE968F}"/>
    <cellStyle name="Normal 6 7 8 4" xfId="9152" xr:uid="{165F3BC8-5C04-4885-9092-19CDC78C6DAF}"/>
    <cellStyle name="Normal 6 7 8 5" xfId="12766" xr:uid="{C1D774CF-133F-41AF-8BE8-F9530AED8FB0}"/>
    <cellStyle name="Normal 6 7 8 6" xfId="14511" xr:uid="{0B425D75-6C90-4C85-A438-34A355590F35}"/>
    <cellStyle name="Normal 6 7 9" xfId="4704" xr:uid="{16703497-2918-490F-A799-10CC4037D8EA}"/>
    <cellStyle name="Normal 6 7 9 2" xfId="10150" xr:uid="{6BB3AEE6-27A8-47B3-9334-BBAB7A3152E2}"/>
    <cellStyle name="Normal 6 8" xfId="968" xr:uid="{630D32B9-AB8B-4F8F-98A9-F95E3EDCCCC6}"/>
    <cellStyle name="Normal 6 8 10" xfId="5182" xr:uid="{E9FA9EE6-9DC2-4104-9F6D-CCE847737142}"/>
    <cellStyle name="Normal 6 8 10 2" xfId="10654" xr:uid="{CF2E71F7-1644-4564-9679-B23231BB35C7}"/>
    <cellStyle name="Normal 6 8 11" xfId="5682" xr:uid="{A14FE969-6F42-4C6A-BF8F-56689CAB1729}"/>
    <cellStyle name="Normal 6 8 11 2" xfId="11156" xr:uid="{17F2F5B6-E504-4AA4-B36C-511113D63889}"/>
    <cellStyle name="Normal 6 8 12" xfId="2724" xr:uid="{1049B210-FE92-4013-8010-BC180D70D64F}"/>
    <cellStyle name="Normal 6 8 13" xfId="6619" xr:uid="{A8287457-B6F3-44F3-88D4-BD22073AB601}"/>
    <cellStyle name="Normal 6 8 14" xfId="8146" xr:uid="{2B7A0790-D624-4654-B0C1-B882D7CAACA0}"/>
    <cellStyle name="Normal 6 8 15" xfId="11756" xr:uid="{7ADBB0F2-BDFD-4769-9B18-2E7320B504CF}"/>
    <cellStyle name="Normal 6 8 16" xfId="13501" xr:uid="{1B6C8FC4-99BF-465B-8F51-43202F68D605}"/>
    <cellStyle name="Normal 6 8 2" xfId="998" xr:uid="{84BF5325-02E1-43F8-ABFE-4733A1C7D587}"/>
    <cellStyle name="Normal 6 8 2 10" xfId="2744" xr:uid="{81A58C1A-A25B-4832-A969-450A06AE8B48}"/>
    <cellStyle name="Normal 6 8 2 11" xfId="6644" xr:uid="{936704ED-E1F1-47E4-B44D-7ADFE185677F}"/>
    <cellStyle name="Normal 6 8 2 12" xfId="8168" xr:uid="{C88ECB8E-E54C-44DA-9FA1-64E452D9A1BE}"/>
    <cellStyle name="Normal 6 8 2 13" xfId="11778" xr:uid="{0C8941B7-8863-4FD9-AFC5-A55646341336}"/>
    <cellStyle name="Normal 6 8 2 14" xfId="13523" xr:uid="{C3498B8E-8108-4A6C-9A3B-2D98D4244549}"/>
    <cellStyle name="Normal 6 8 2 2" xfId="1076" xr:uid="{58ED3977-75E2-4B84-AFB8-72B3776C3C53}"/>
    <cellStyle name="Normal 6 8 2 2 10" xfId="6722" xr:uid="{295B173D-9E67-48E6-9333-67763C153B80}"/>
    <cellStyle name="Normal 6 8 2 2 11" xfId="8246" xr:uid="{36673FCE-101D-4096-92B6-39901A1AF9D4}"/>
    <cellStyle name="Normal 6 8 2 2 12" xfId="11856" xr:uid="{8BB18878-91B6-469D-ABDE-BB410B602CAF}"/>
    <cellStyle name="Normal 6 8 2 2 13" xfId="13601" xr:uid="{BF3BA3BA-24F1-415F-A45C-DA016E195705}"/>
    <cellStyle name="Normal 6 8 2 2 2" xfId="1200" xr:uid="{0225D78D-57F6-466C-8364-2BA8BFA9772D}"/>
    <cellStyle name="Normal 6 8 2 2 2 10" xfId="8370" xr:uid="{625208AC-63E7-4CD8-A449-3B01603CC5B4}"/>
    <cellStyle name="Normal 6 8 2 2 2 11" xfId="11980" xr:uid="{71A1C472-3675-42EC-972C-DA3C555774A5}"/>
    <cellStyle name="Normal 6 8 2 2 2 12" xfId="13725" xr:uid="{99A54C28-3899-4BAC-AB87-126EC1BF9FE3}"/>
    <cellStyle name="Normal 6 8 2 2 2 2" xfId="1448" xr:uid="{94AE04BE-1112-4629-B2A9-D9650409A66F}"/>
    <cellStyle name="Normal 6 8 2 2 2 2 10" xfId="12228" xr:uid="{A7F8F7D9-4105-4C31-9D61-C3C77E1BE1BB}"/>
    <cellStyle name="Normal 6 8 2 2 2 2 11" xfId="13973" xr:uid="{A050F384-D236-4D5C-ACCD-7EEDA5C30C24}"/>
    <cellStyle name="Normal 6 8 2 2 2 2 2" xfId="1954" xr:uid="{B82745A4-4E51-4DDD-906F-E8726A4170DE}"/>
    <cellStyle name="Normal 6 8 2 2 2 2 2 2" xfId="4676" xr:uid="{F3E63599-C708-4372-BD6A-66761C52ED83}"/>
    <cellStyle name="Normal 6 8 2 2 2 2 2 2 2" xfId="10122" xr:uid="{42D74498-4217-4552-BF3B-865EE7A1E0E6}"/>
    <cellStyle name="Normal 6 8 2 2 2 2 2 3" xfId="3666" xr:uid="{023E7E9D-89E2-43C7-9155-E8FAD4F04C4E}"/>
    <cellStyle name="Normal 6 8 2 2 2 2 2 4" xfId="7600" xr:uid="{AB08B6A5-A26F-46C6-A31F-613FE488251D}"/>
    <cellStyle name="Normal 6 8 2 2 2 2 2 5" xfId="9114" xr:uid="{FF0A5587-B5E9-40B0-AB81-6C1EF2FA5546}"/>
    <cellStyle name="Normal 6 8 2 2 2 2 2 6" xfId="12734" xr:uid="{4BFC4E79-1D3B-44CF-82F3-7289BF4571F5}"/>
    <cellStyle name="Normal 6 8 2 2 2 2 2 7" xfId="14479" xr:uid="{4F34C180-CE81-4686-85EF-177419E6D451}"/>
    <cellStyle name="Normal 6 8 2 2 2 2 3" xfId="2462" xr:uid="{6D08DDE7-F6BC-4401-A7AA-4AB6AD565A09}"/>
    <cellStyle name="Normal 6 8 2 2 2 2 3 2" xfId="4182" xr:uid="{E170420C-BC11-4737-8FE2-F74608A4D8B5}"/>
    <cellStyle name="Normal 6 8 2 2 2 2 3 3" xfId="8108" xr:uid="{8114CD10-AA82-4BD3-B97A-FB7631EFE818}"/>
    <cellStyle name="Normal 6 8 2 2 2 2 3 4" xfId="9626" xr:uid="{5350D28D-AFBB-436C-A46A-9F543A02E0AA}"/>
    <cellStyle name="Normal 6 8 2 2 2 2 3 5" xfId="13240" xr:uid="{8DFEB3A1-ACFD-4C35-9907-D0B09CE894BE}"/>
    <cellStyle name="Normal 6 8 2 2 2 2 3 6" xfId="14985" xr:uid="{40F1C336-DD76-41D4-829F-B5E26FACF714}"/>
    <cellStyle name="Normal 6 8 2 2 2 2 4" xfId="5154" xr:uid="{D039E194-220E-4997-AEE8-B9A720A838DD}"/>
    <cellStyle name="Normal 6 8 2 2 2 2 4 2" xfId="10624" xr:uid="{D02106D9-8530-4E72-AD60-C35E70566733}"/>
    <cellStyle name="Normal 6 8 2 2 2 2 5" xfId="5652" xr:uid="{A6806AD8-3A27-4115-ACCC-F2E7C56D6EC2}"/>
    <cellStyle name="Normal 6 8 2 2 2 2 5 2" xfId="11126" xr:uid="{2D877E97-A0BF-4C68-B7C0-00C49E114C6D}"/>
    <cellStyle name="Normal 6 8 2 2 2 2 6" xfId="6154" xr:uid="{6335783F-E61C-488E-8E9E-5FBEB35350BA}"/>
    <cellStyle name="Normal 6 8 2 2 2 2 6 2" xfId="11628" xr:uid="{5BDE161D-E3D9-418A-BF53-EA37A12799D6}"/>
    <cellStyle name="Normal 6 8 2 2 2 2 7" xfId="3172" xr:uid="{33BD3A5B-2CEF-4FB2-8F57-B760E59C1D43}"/>
    <cellStyle name="Normal 6 8 2 2 2 2 8" xfId="7094" xr:uid="{B0EDF47E-2081-4A52-81D7-498ED868D928}"/>
    <cellStyle name="Normal 6 8 2 2 2 2 9" xfId="8618" xr:uid="{28F0CD97-CE74-42CB-80B6-4B565B85A49E}"/>
    <cellStyle name="Normal 6 8 2 2 2 3" xfId="1706" xr:uid="{DEDC446D-ACF3-42EF-9B74-292AE63F0616}"/>
    <cellStyle name="Normal 6 8 2 2 2 3 2" xfId="4428" xr:uid="{1536CDC4-260D-449F-96D7-3862DF36CF98}"/>
    <cellStyle name="Normal 6 8 2 2 2 3 2 2" xfId="9874" xr:uid="{9EEFF303-164C-49A1-8E89-8C3508BA8BB6}"/>
    <cellStyle name="Normal 6 8 2 2 2 3 3" xfId="3418" xr:uid="{6D7C1408-ECCC-4E47-951E-BD6D7C4B4C86}"/>
    <cellStyle name="Normal 6 8 2 2 2 3 4" xfId="7352" xr:uid="{7D6AB6C5-296E-4807-A307-26FD571470DC}"/>
    <cellStyle name="Normal 6 8 2 2 2 3 5" xfId="8866" xr:uid="{E81C0007-6152-462A-A5E1-FAC62023D8CB}"/>
    <cellStyle name="Normal 6 8 2 2 2 3 6" xfId="12486" xr:uid="{71CD6557-B985-4FCA-AC8C-AC96D97F9065}"/>
    <cellStyle name="Normal 6 8 2 2 2 3 7" xfId="14231" xr:uid="{A94CAC34-44E0-4411-8B8E-133C1F39437C}"/>
    <cellStyle name="Normal 6 8 2 2 2 4" xfId="2214" xr:uid="{458C8E5D-50BD-475C-9EC6-715A2EA620F6}"/>
    <cellStyle name="Normal 6 8 2 2 2 4 2" xfId="3934" xr:uid="{5A947AAF-E680-4DE9-A5A6-CAF15A248E2C}"/>
    <cellStyle name="Normal 6 8 2 2 2 4 3" xfId="7860" xr:uid="{01F817B6-E180-4787-B9FB-508A127824C7}"/>
    <cellStyle name="Normal 6 8 2 2 2 4 4" xfId="9378" xr:uid="{64183D2B-785D-408A-906E-D46F8512788B}"/>
    <cellStyle name="Normal 6 8 2 2 2 4 5" xfId="12992" xr:uid="{8621890E-E4CB-4431-9571-F253C5BEE95C}"/>
    <cellStyle name="Normal 6 8 2 2 2 4 6" xfId="14737" xr:uid="{9EA6546D-6464-44C3-8551-FFBE3050D2E0}"/>
    <cellStyle name="Normal 6 8 2 2 2 5" xfId="4914" xr:uid="{0483231D-6468-444C-AC8D-7C2408EB1A1B}"/>
    <cellStyle name="Normal 6 8 2 2 2 5 2" xfId="10376" xr:uid="{4291AA39-C98B-4526-949E-4E3694669CCD}"/>
    <cellStyle name="Normal 6 8 2 2 2 6" xfId="5404" xr:uid="{AE07E0B6-9C58-4498-9396-5AD17145414A}"/>
    <cellStyle name="Normal 6 8 2 2 2 6 2" xfId="10878" xr:uid="{F6489443-F3E8-4932-BB4F-4DEEC6BB6A71}"/>
    <cellStyle name="Normal 6 8 2 2 2 7" xfId="5906" xr:uid="{4C0F73BA-7481-4813-9CD1-26A0F823BE1C}"/>
    <cellStyle name="Normal 6 8 2 2 2 7 2" xfId="11380" xr:uid="{F12639DB-1342-44F3-BE3D-66B88E98BAE7}"/>
    <cellStyle name="Normal 6 8 2 2 2 8" xfId="2930" xr:uid="{1B97B73A-6A12-49F5-824E-CD365AE0648A}"/>
    <cellStyle name="Normal 6 8 2 2 2 9" xfId="6846" xr:uid="{41DEC225-CA76-4567-9DC5-63584E3A320B}"/>
    <cellStyle name="Normal 6 8 2 2 3" xfId="1324" xr:uid="{9F74A71F-5D2D-42EA-B0CB-E54F1D2D471F}"/>
    <cellStyle name="Normal 6 8 2 2 3 10" xfId="12104" xr:uid="{402EF93E-19EC-41B2-AC4F-134060F7088B}"/>
    <cellStyle name="Normal 6 8 2 2 3 11" xfId="13849" xr:uid="{F36F14C2-8DCC-4590-B206-2EFE9D2339CA}"/>
    <cellStyle name="Normal 6 8 2 2 3 2" xfId="1830" xr:uid="{84291BA1-FF53-406A-898D-FBF67E1CC6D5}"/>
    <cellStyle name="Normal 6 8 2 2 3 2 2" xfId="4552" xr:uid="{DDC09B88-0FCF-4B70-B776-75B93D0BE2AA}"/>
    <cellStyle name="Normal 6 8 2 2 3 2 2 2" xfId="9998" xr:uid="{13FE3E80-4844-4A2A-97C8-B30C33BF81AF}"/>
    <cellStyle name="Normal 6 8 2 2 3 2 3" xfId="3542" xr:uid="{3BABDDA8-1A25-4674-A394-F66F33822478}"/>
    <cellStyle name="Normal 6 8 2 2 3 2 4" xfId="7476" xr:uid="{051B4D21-946B-44F9-B387-E785FBB7E493}"/>
    <cellStyle name="Normal 6 8 2 2 3 2 5" xfId="8990" xr:uid="{2CD36D7B-6290-4A2C-8DF5-702D38F34B5C}"/>
    <cellStyle name="Normal 6 8 2 2 3 2 6" xfId="12610" xr:uid="{BE46E4AC-0D55-4F9E-A075-8FC5412BE57B}"/>
    <cellStyle name="Normal 6 8 2 2 3 2 7" xfId="14355" xr:uid="{4015B297-6E37-4639-AE4C-C050F0050B22}"/>
    <cellStyle name="Normal 6 8 2 2 3 3" xfId="2338" xr:uid="{AE22D3D1-8198-44C3-8ADF-3CABD1EE0882}"/>
    <cellStyle name="Normal 6 8 2 2 3 3 2" xfId="4058" xr:uid="{276E2E58-939F-4287-8847-8510B4EC341F}"/>
    <cellStyle name="Normal 6 8 2 2 3 3 3" xfId="7984" xr:uid="{A32E3DEB-80EA-4AF4-A8D6-44EEBD8DC440}"/>
    <cellStyle name="Normal 6 8 2 2 3 3 4" xfId="9502" xr:uid="{EA6B68CC-96D0-4E80-B9A3-8D5DF11B633C}"/>
    <cellStyle name="Normal 6 8 2 2 3 3 5" xfId="13116" xr:uid="{C94DC5C2-4D0E-4C22-839D-B7B36CE59E94}"/>
    <cellStyle name="Normal 6 8 2 2 3 3 6" xfId="14861" xr:uid="{3E6E410E-274F-490B-BC18-8832EEF67A8B}"/>
    <cellStyle name="Normal 6 8 2 2 3 4" xfId="5030" xr:uid="{5DE93B78-9E0D-4FE8-8DC0-77D186FEB0BB}"/>
    <cellStyle name="Normal 6 8 2 2 3 4 2" xfId="10500" xr:uid="{32887A20-5AF3-4642-AEC0-DA79EB3FC6DE}"/>
    <cellStyle name="Normal 6 8 2 2 3 5" xfId="5528" xr:uid="{6FC6E134-0E2C-47E6-9DE1-71FD7ED76317}"/>
    <cellStyle name="Normal 6 8 2 2 3 5 2" xfId="11002" xr:uid="{D41272E0-A3DD-49E9-BBBD-521510706CFE}"/>
    <cellStyle name="Normal 6 8 2 2 3 6" xfId="6030" xr:uid="{1845CFE9-344C-4F9F-9B9E-297DBC13F51E}"/>
    <cellStyle name="Normal 6 8 2 2 3 6 2" xfId="11504" xr:uid="{293EC0ED-30FC-4384-BBF2-B44E9E9B7A02}"/>
    <cellStyle name="Normal 6 8 2 2 3 7" xfId="3048" xr:uid="{685A2239-D3CD-4B8E-BCEB-E62A48435E50}"/>
    <cellStyle name="Normal 6 8 2 2 3 8" xfId="6970" xr:uid="{45FEFCC6-D964-4831-9847-3CD12578A075}"/>
    <cellStyle name="Normal 6 8 2 2 3 9" xfId="8494" xr:uid="{6E942367-6588-42FB-80E3-DE936A67D096}"/>
    <cellStyle name="Normal 6 8 2 2 4" xfId="1582" xr:uid="{CA2FD712-2295-4F4F-8CEC-F07387A7A63D}"/>
    <cellStyle name="Normal 6 8 2 2 4 2" xfId="4304" xr:uid="{0771BBCF-5492-48D4-8C97-DDCA02E0CBF9}"/>
    <cellStyle name="Normal 6 8 2 2 4 2 2" xfId="9750" xr:uid="{55FA04D1-F782-4FFC-809C-38105E1D5A76}"/>
    <cellStyle name="Normal 6 8 2 2 4 3" xfId="3294" xr:uid="{7C837002-716E-4B19-A05A-F2346B8F0788}"/>
    <cellStyle name="Normal 6 8 2 2 4 4" xfId="7228" xr:uid="{DF546327-1C35-4E0F-BE4F-92CFC0051BE6}"/>
    <cellStyle name="Normal 6 8 2 2 4 5" xfId="8742" xr:uid="{26E058AD-144C-4653-A6F3-C55E814FE934}"/>
    <cellStyle name="Normal 6 8 2 2 4 6" xfId="12362" xr:uid="{29A4FBAB-EACB-4E16-B5C9-21D72E5970D8}"/>
    <cellStyle name="Normal 6 8 2 2 4 7" xfId="14107" xr:uid="{CF401432-371A-478E-A06C-544421F1D703}"/>
    <cellStyle name="Normal 6 8 2 2 5" xfId="2090" xr:uid="{749F677B-0745-4FF7-AFF2-2EF60670A740}"/>
    <cellStyle name="Normal 6 8 2 2 5 2" xfId="3810" xr:uid="{0B2C211E-A57D-486D-A765-F33EBCA40C9D}"/>
    <cellStyle name="Normal 6 8 2 2 5 3" xfId="7736" xr:uid="{137C513D-A797-4416-B0DB-58AFD1744AE6}"/>
    <cellStyle name="Normal 6 8 2 2 5 4" xfId="9254" xr:uid="{C5A003E8-8B91-401D-B8B0-31AFE6984BF7}"/>
    <cellStyle name="Normal 6 8 2 2 5 5" xfId="12868" xr:uid="{E41DF366-F838-40B6-9553-9A2F9576E034}"/>
    <cellStyle name="Normal 6 8 2 2 5 6" xfId="14613" xr:uid="{064BCB92-D490-4681-9AC0-4A53BF5B4E94}"/>
    <cellStyle name="Normal 6 8 2 2 6" xfId="4798" xr:uid="{E4CE4FA4-E125-422E-A2F3-DE31B14A36E5}"/>
    <cellStyle name="Normal 6 8 2 2 6 2" xfId="10252" xr:uid="{71AD3217-59D0-42DD-81B8-460A51CC0563}"/>
    <cellStyle name="Normal 6 8 2 2 7" xfId="5280" xr:uid="{14A2F6B2-65C6-48E5-BEE8-BE10C7F70A62}"/>
    <cellStyle name="Normal 6 8 2 2 7 2" xfId="10754" xr:uid="{FA984B33-E8D5-461A-8A1E-F4352FB33921}"/>
    <cellStyle name="Normal 6 8 2 2 8" xfId="5782" xr:uid="{EF78DA47-9C26-4087-AA9D-F0123AED07FB}"/>
    <cellStyle name="Normal 6 8 2 2 8 2" xfId="11256" xr:uid="{D60CF4CF-7D12-40B3-A32A-28614F878728}"/>
    <cellStyle name="Normal 6 8 2 2 9" xfId="2814" xr:uid="{A3788F89-45E5-4D10-8129-5A591BB29452}"/>
    <cellStyle name="Normal 6 8 2 3" xfId="1122" xr:uid="{3E8EC5EE-92EE-4A0D-B793-4504C698E9C4}"/>
    <cellStyle name="Normal 6 8 2 3 10" xfId="8292" xr:uid="{F4528549-394E-435C-9A98-27EE0B9DB666}"/>
    <cellStyle name="Normal 6 8 2 3 11" xfId="11902" xr:uid="{112CB016-DEB8-431F-97FE-07DFFDAA7E8A}"/>
    <cellStyle name="Normal 6 8 2 3 12" xfId="13647" xr:uid="{41869FB6-C3F3-4D22-AA5C-7BD1969C55C2}"/>
    <cellStyle name="Normal 6 8 2 3 2" xfId="1370" xr:uid="{E99C2E3A-0E12-4000-AF2B-F10ECD92D908}"/>
    <cellStyle name="Normal 6 8 2 3 2 10" xfId="12150" xr:uid="{E89BAF9E-C9E8-4073-91BB-FFB47882A9E9}"/>
    <cellStyle name="Normal 6 8 2 3 2 11" xfId="13895" xr:uid="{FA5E861B-D4B1-4E8F-A808-DE216AA5E30E}"/>
    <cellStyle name="Normal 6 8 2 3 2 2" xfId="1876" xr:uid="{F64BC04A-1E36-4FB3-9EA2-FC7A498E79FF}"/>
    <cellStyle name="Normal 6 8 2 3 2 2 2" xfId="4598" xr:uid="{0C36CBCD-0F5D-465E-8C39-FC905BF18689}"/>
    <cellStyle name="Normal 6 8 2 3 2 2 2 2" xfId="10044" xr:uid="{49B689FA-8EA2-4825-B93C-A383FD2F2073}"/>
    <cellStyle name="Normal 6 8 2 3 2 2 3" xfId="3588" xr:uid="{E90B0FAF-6651-4B25-97DA-D452FA9B6E5B}"/>
    <cellStyle name="Normal 6 8 2 3 2 2 4" xfId="7522" xr:uid="{0C3AE88C-9714-4478-B215-5D6BA87CE806}"/>
    <cellStyle name="Normal 6 8 2 3 2 2 5" xfId="9036" xr:uid="{F74C24C8-A811-48B4-9968-3BB141749639}"/>
    <cellStyle name="Normal 6 8 2 3 2 2 6" xfId="12656" xr:uid="{395E618F-9DDB-4DCA-86F2-3B2B9ACCD4EF}"/>
    <cellStyle name="Normal 6 8 2 3 2 2 7" xfId="14401" xr:uid="{D973A247-5055-4A75-8E8F-FDFA3064F04B}"/>
    <cellStyle name="Normal 6 8 2 3 2 3" xfId="2384" xr:uid="{E8887CFD-D06D-4773-BCE2-0F09F686C0EC}"/>
    <cellStyle name="Normal 6 8 2 3 2 3 2" xfId="4104" xr:uid="{7F33DC5A-CA22-4AAB-A585-CE1AEA123025}"/>
    <cellStyle name="Normal 6 8 2 3 2 3 3" xfId="8030" xr:uid="{5E647300-DAB5-4615-9459-82E56C623DAC}"/>
    <cellStyle name="Normal 6 8 2 3 2 3 4" xfId="9548" xr:uid="{B6411C99-DB01-49E1-9F07-969791D5EF13}"/>
    <cellStyle name="Normal 6 8 2 3 2 3 5" xfId="13162" xr:uid="{2127027E-96C2-4A3D-93C9-2D5CA672CBB0}"/>
    <cellStyle name="Normal 6 8 2 3 2 3 6" xfId="14907" xr:uid="{E9B0E49A-4B25-4D77-AE78-DE3093F59E81}"/>
    <cellStyle name="Normal 6 8 2 3 2 4" xfId="5076" xr:uid="{246B8ECD-CC52-4DA9-808B-790B94C1EDE5}"/>
    <cellStyle name="Normal 6 8 2 3 2 4 2" xfId="10546" xr:uid="{CEF0B11F-11EF-4148-8A5E-8988706066D0}"/>
    <cellStyle name="Normal 6 8 2 3 2 5" xfId="5574" xr:uid="{B829F7ED-29C1-4DC1-B86B-112E68DA4852}"/>
    <cellStyle name="Normal 6 8 2 3 2 5 2" xfId="11048" xr:uid="{0F11339C-BB6A-4883-8A01-06817E589A0C}"/>
    <cellStyle name="Normal 6 8 2 3 2 6" xfId="6076" xr:uid="{38CDDB00-5C78-41B8-BE5C-2287062F73A6}"/>
    <cellStyle name="Normal 6 8 2 3 2 6 2" xfId="11550" xr:uid="{767D83BC-7983-4223-8E61-C739D7CBDCD7}"/>
    <cellStyle name="Normal 6 8 2 3 2 7" xfId="3094" xr:uid="{85A79D5C-7C67-481F-991F-AB6503B950E5}"/>
    <cellStyle name="Normal 6 8 2 3 2 8" xfId="7016" xr:uid="{44AF209D-C5C2-43F3-BCC0-46FA2C222FB8}"/>
    <cellStyle name="Normal 6 8 2 3 2 9" xfId="8540" xr:uid="{356486F7-F074-4291-B12E-F1C7F0ED65A8}"/>
    <cellStyle name="Normal 6 8 2 3 3" xfId="1628" xr:uid="{CFE19E37-1AD5-4A45-9656-833D12F1D9D5}"/>
    <cellStyle name="Normal 6 8 2 3 3 2" xfId="4350" xr:uid="{54BBB21E-B8EB-474E-8299-4146387BD8F8}"/>
    <cellStyle name="Normal 6 8 2 3 3 2 2" xfId="9796" xr:uid="{FCDCFB72-A96E-4E0F-85C6-59022FD09E13}"/>
    <cellStyle name="Normal 6 8 2 3 3 3" xfId="3340" xr:uid="{98A0C762-ABAC-457E-AE13-6BBBC7D48011}"/>
    <cellStyle name="Normal 6 8 2 3 3 4" xfId="7274" xr:uid="{2070A618-6594-4B59-AE4D-33D68283E24B}"/>
    <cellStyle name="Normal 6 8 2 3 3 5" xfId="8788" xr:uid="{298F9E56-1F70-410D-8D0A-1ED1B6C34F14}"/>
    <cellStyle name="Normal 6 8 2 3 3 6" xfId="12408" xr:uid="{2330F46C-ACA7-4981-B377-AFC2CC86F95A}"/>
    <cellStyle name="Normal 6 8 2 3 3 7" xfId="14153" xr:uid="{215C15B3-2696-4939-A11E-1FA5791DF5FE}"/>
    <cellStyle name="Normal 6 8 2 3 4" xfId="2136" xr:uid="{01F8BDF5-E184-462F-857F-992CB322C118}"/>
    <cellStyle name="Normal 6 8 2 3 4 2" xfId="3856" xr:uid="{DB78FA69-D0CF-46B4-82D8-C5C10B71A8F2}"/>
    <cellStyle name="Normal 6 8 2 3 4 3" xfId="7782" xr:uid="{CB609147-64F7-4DFE-AC5F-01226C944D4A}"/>
    <cellStyle name="Normal 6 8 2 3 4 4" xfId="9300" xr:uid="{BD8A1143-1311-4F35-9855-9CAFF4EC4C53}"/>
    <cellStyle name="Normal 6 8 2 3 4 5" xfId="12914" xr:uid="{170B0360-3151-44CA-AAF7-41AB1374148D}"/>
    <cellStyle name="Normal 6 8 2 3 4 6" xfId="14659" xr:uid="{B9BEAD88-94AB-40A5-8F78-5E6BFCDD6488}"/>
    <cellStyle name="Normal 6 8 2 3 5" xfId="4840" xr:uid="{BA3718D3-725F-4C1D-A34C-9520B69BDF4E}"/>
    <cellStyle name="Normal 6 8 2 3 5 2" xfId="10298" xr:uid="{AF4E4D33-7DA0-4E97-8A0F-221189769E9D}"/>
    <cellStyle name="Normal 6 8 2 3 6" xfId="5326" xr:uid="{BF46BD20-837B-4945-AD66-14CF9E118442}"/>
    <cellStyle name="Normal 6 8 2 3 6 2" xfId="10800" xr:uid="{389D87CF-6406-41C9-BE6C-8D5866AF82AB}"/>
    <cellStyle name="Normal 6 8 2 3 7" xfId="5828" xr:uid="{99F01BE9-ED29-4FF6-BC6F-6CD4B28742BC}"/>
    <cellStyle name="Normal 6 8 2 3 7 2" xfId="11302" xr:uid="{CECBC3D3-92D8-456C-A616-BB08DBFC34F3}"/>
    <cellStyle name="Normal 6 8 2 3 8" xfId="2856" xr:uid="{F1D6464F-7F27-4FC3-B281-C4106E10DB8A}"/>
    <cellStyle name="Normal 6 8 2 3 9" xfId="6768" xr:uid="{6F984D6F-75AB-4520-AFBE-B1D687289E45}"/>
    <cellStyle name="Normal 6 8 2 4" xfId="1246" xr:uid="{A23723E1-E2F6-45D0-9905-CF35B44F06EE}"/>
    <cellStyle name="Normal 6 8 2 4 10" xfId="12026" xr:uid="{11AA9D75-A62F-470C-8867-9D6CB2EB58C1}"/>
    <cellStyle name="Normal 6 8 2 4 11" xfId="13771" xr:uid="{C367446A-A941-4CC9-AAF6-7F59413CF1AA}"/>
    <cellStyle name="Normal 6 8 2 4 2" xfId="1752" xr:uid="{3F688367-61D7-4BD9-92FC-635D598E5F93}"/>
    <cellStyle name="Normal 6 8 2 4 2 2" xfId="4474" xr:uid="{A8E206AF-3462-43E0-9ED5-5088BFE05399}"/>
    <cellStyle name="Normal 6 8 2 4 2 2 2" xfId="9920" xr:uid="{AD5E8ECC-CA24-4E54-B18A-FA1090E8F02F}"/>
    <cellStyle name="Normal 6 8 2 4 2 3" xfId="3464" xr:uid="{FB6A3B20-E2A7-433D-8EFF-251E37F704CB}"/>
    <cellStyle name="Normal 6 8 2 4 2 4" xfId="7398" xr:uid="{255CDFF3-9027-4763-917D-02218EC1173A}"/>
    <cellStyle name="Normal 6 8 2 4 2 5" xfId="8912" xr:uid="{B81CFCA9-A1FF-49E0-9018-40BAA7133418}"/>
    <cellStyle name="Normal 6 8 2 4 2 6" xfId="12532" xr:uid="{0DD87563-DF75-4655-844C-A17C462097E3}"/>
    <cellStyle name="Normal 6 8 2 4 2 7" xfId="14277" xr:uid="{9D58CAC1-7B42-4060-9461-B2CB71B61BE2}"/>
    <cellStyle name="Normal 6 8 2 4 3" xfId="2260" xr:uid="{4A288C7D-A972-4CA4-A22B-68AE51D43D77}"/>
    <cellStyle name="Normal 6 8 2 4 3 2" xfId="3980" xr:uid="{464C17F5-EB4B-4334-A599-863D96BD5741}"/>
    <cellStyle name="Normal 6 8 2 4 3 3" xfId="7906" xr:uid="{718C461F-9A8F-4A20-A016-8C9E07F70CC1}"/>
    <cellStyle name="Normal 6 8 2 4 3 4" xfId="9424" xr:uid="{EB1C92E5-4F00-4BCF-9CC9-81ABFA8E57EF}"/>
    <cellStyle name="Normal 6 8 2 4 3 5" xfId="13038" xr:uid="{FCF88535-9B04-43BA-B354-081231D49663}"/>
    <cellStyle name="Normal 6 8 2 4 3 6" xfId="14783" xr:uid="{2D2E245C-3DE5-4E97-ACD3-4FB115F668CD}"/>
    <cellStyle name="Normal 6 8 2 4 4" xfId="4956" xr:uid="{E7B78E17-6830-4BD7-8368-3F8CE864D152}"/>
    <cellStyle name="Normal 6 8 2 4 4 2" xfId="10422" xr:uid="{30D4BE3A-0518-4752-AC06-7AE821CCFC21}"/>
    <cellStyle name="Normal 6 8 2 4 5" xfId="5450" xr:uid="{72805D38-EF90-4C24-A789-0EF78F0A3615}"/>
    <cellStyle name="Normal 6 8 2 4 5 2" xfId="10924" xr:uid="{9F6CAB41-A22F-4F09-889B-F407ECC67D99}"/>
    <cellStyle name="Normal 6 8 2 4 6" xfId="5952" xr:uid="{3146163D-41A2-4FBD-B849-4FBCA8F92864}"/>
    <cellStyle name="Normal 6 8 2 4 6 2" xfId="11426" xr:uid="{38B923CC-0918-4C38-88B6-A4C8A7C58466}"/>
    <cellStyle name="Normal 6 8 2 4 7" xfId="2974" xr:uid="{AF8F4D7C-B648-4B90-9B97-2158A8FBFFD1}"/>
    <cellStyle name="Normal 6 8 2 4 8" xfId="6892" xr:uid="{22B7B6D6-6700-4E6A-99EE-CC2C87009AC6}"/>
    <cellStyle name="Normal 6 8 2 4 9" xfId="8416" xr:uid="{15772ACA-A5A0-4F63-B997-B17E58B9414D}"/>
    <cellStyle name="Normal 6 8 2 5" xfId="1504" xr:uid="{41BF39A1-A1FE-4788-8F78-E0A2681818D6}"/>
    <cellStyle name="Normal 6 8 2 5 2" xfId="4228" xr:uid="{0B49F9F3-97FB-4FB1-A4E5-B4484D8FFE5B}"/>
    <cellStyle name="Normal 6 8 2 5 2 2" xfId="9672" xr:uid="{1D6B4E1D-CA1F-48C3-ABA5-568E0A4920C8}"/>
    <cellStyle name="Normal 6 8 2 5 3" xfId="3218" xr:uid="{52D7F678-97FA-49E3-82D5-8FA070EA16F0}"/>
    <cellStyle name="Normal 6 8 2 5 4" xfId="7150" xr:uid="{B5C58629-98DC-4CEE-ACBD-2196B342BB16}"/>
    <cellStyle name="Normal 6 8 2 5 5" xfId="8664" xr:uid="{155116DD-B7FF-4F3B-971D-E9FC44CA4077}"/>
    <cellStyle name="Normal 6 8 2 5 6" xfId="12284" xr:uid="{86C7505F-D3EE-4D29-946F-900FEC8C3338}"/>
    <cellStyle name="Normal 6 8 2 5 7" xfId="14029" xr:uid="{66D5BB27-A44B-4D66-B38C-DA79CDF7B6B0}"/>
    <cellStyle name="Normal 6 8 2 6" xfId="2012" xr:uid="{DEB32CC3-EBAF-4B4A-A376-4BC8EA72D230}"/>
    <cellStyle name="Normal 6 8 2 6 2" xfId="3732" xr:uid="{B48DB4A8-F570-402A-B8FE-5C2E4C80078B}"/>
    <cellStyle name="Normal 6 8 2 6 3" xfId="7658" xr:uid="{92B8AB40-E6E1-4138-9358-CC37A9AFBB75}"/>
    <cellStyle name="Normal 6 8 2 6 4" xfId="9176" xr:uid="{F3901C4F-E2D9-4349-8619-76E759A5EF49}"/>
    <cellStyle name="Normal 6 8 2 6 5" xfId="12790" xr:uid="{732A9913-574D-4CB2-BBD8-6A8A084018F5}"/>
    <cellStyle name="Normal 6 8 2 6 6" xfId="14535" xr:uid="{A1A133D3-8451-46CF-8E3C-18ECA216BAA9}"/>
    <cellStyle name="Normal 6 8 2 7" xfId="4728" xr:uid="{16E992EE-51CD-44F4-B36F-2965D99043EF}"/>
    <cellStyle name="Normal 6 8 2 7 2" xfId="10174" xr:uid="{75EEF460-6977-44D5-AA63-1B61ADBD9278}"/>
    <cellStyle name="Normal 6 8 2 8" xfId="5202" xr:uid="{9BDAD1C9-EDD6-41B2-BDD2-693D29CCB27E}"/>
    <cellStyle name="Normal 6 8 2 8 2" xfId="10676" xr:uid="{42A72785-41E9-4EA7-991F-051587DD650B}"/>
    <cellStyle name="Normal 6 8 2 9" xfId="5704" xr:uid="{5F4495D1-02C2-41BA-80EE-5DF015AD2B79}"/>
    <cellStyle name="Normal 6 8 2 9 2" xfId="11178" xr:uid="{1A869161-E8E7-42BE-98E5-B98A48D83160}"/>
    <cellStyle name="Normal 6 8 3" xfId="1018" xr:uid="{EDCA2B31-A042-42F1-B5B0-906449281800}"/>
    <cellStyle name="Normal 6 8 3 10" xfId="2762" xr:uid="{9DC943E5-1BE1-4279-A506-BDB4F17F0A32}"/>
    <cellStyle name="Normal 6 8 3 11" xfId="6664" xr:uid="{1686A611-6839-4C69-A8FC-8EA27A957462}"/>
    <cellStyle name="Normal 6 8 3 12" xfId="8188" xr:uid="{D080A3E8-8D5B-44F6-93CF-F0B73C9A3020}"/>
    <cellStyle name="Normal 6 8 3 13" xfId="11798" xr:uid="{5D34FCA0-3EA1-42F1-806E-48EDA31D38CB}"/>
    <cellStyle name="Normal 6 8 3 14" xfId="13543" xr:uid="{333A0520-31A3-4254-85D4-4FE3DE6F7C2B}"/>
    <cellStyle name="Normal 6 8 3 2" xfId="1077" xr:uid="{5F12287B-5E18-47AE-B653-E6B584D0F180}"/>
    <cellStyle name="Normal 6 8 3 2 10" xfId="6723" xr:uid="{5750D37A-01AC-4F73-BEF8-8B96A24F613A}"/>
    <cellStyle name="Normal 6 8 3 2 11" xfId="8247" xr:uid="{9B507AD0-B0EC-4D31-A5A2-23BEB6C54C8F}"/>
    <cellStyle name="Normal 6 8 3 2 12" xfId="11857" xr:uid="{7F263AEC-AC03-49D4-81B9-B7B57AF7FDFF}"/>
    <cellStyle name="Normal 6 8 3 2 13" xfId="13602" xr:uid="{05647E90-EAE0-4B93-832F-E87D632CDBB4}"/>
    <cellStyle name="Normal 6 8 3 2 2" xfId="1201" xr:uid="{AECBDE28-D373-4CC2-86F2-37032CBB2D09}"/>
    <cellStyle name="Normal 6 8 3 2 2 10" xfId="8371" xr:uid="{B4C84F13-9879-439A-BE15-C6A0B176149B}"/>
    <cellStyle name="Normal 6 8 3 2 2 11" xfId="11981" xr:uid="{32B79564-1EC1-4B28-A759-42DCC28CBDD9}"/>
    <cellStyle name="Normal 6 8 3 2 2 12" xfId="13726" xr:uid="{B12ACB01-F318-4847-8DCD-5B44B9C033A7}"/>
    <cellStyle name="Normal 6 8 3 2 2 2" xfId="1449" xr:uid="{C2693E55-0B69-4139-ABD7-DF0B92E5DC43}"/>
    <cellStyle name="Normal 6 8 3 2 2 2 10" xfId="12229" xr:uid="{912C7855-A31D-469C-8229-11844D709463}"/>
    <cellStyle name="Normal 6 8 3 2 2 2 11" xfId="13974" xr:uid="{F5EA9EC5-CC64-476A-B117-21A55C76937B}"/>
    <cellStyle name="Normal 6 8 3 2 2 2 2" xfId="1955" xr:uid="{5BC2787C-07AE-4D1D-93E5-F7EB51D13C6E}"/>
    <cellStyle name="Normal 6 8 3 2 2 2 2 2" xfId="4677" xr:uid="{488792E7-F2AB-47D4-8F51-FA36A6DEDA90}"/>
    <cellStyle name="Normal 6 8 3 2 2 2 2 2 2" xfId="10123" xr:uid="{EAC53F7D-01CC-4120-AB10-F92771D65493}"/>
    <cellStyle name="Normal 6 8 3 2 2 2 2 3" xfId="3667" xr:uid="{D0DDC693-91E0-4628-BCC2-64C48E2D1916}"/>
    <cellStyle name="Normal 6 8 3 2 2 2 2 4" xfId="7601" xr:uid="{06125E3F-E1F7-4179-8D31-F30698D1B56E}"/>
    <cellStyle name="Normal 6 8 3 2 2 2 2 5" xfId="9115" xr:uid="{5B13DE89-5381-4407-9D0F-47F064CB4064}"/>
    <cellStyle name="Normal 6 8 3 2 2 2 2 6" xfId="12735" xr:uid="{63F8DE56-C1D3-409D-8970-35CD51A1AA7E}"/>
    <cellStyle name="Normal 6 8 3 2 2 2 2 7" xfId="14480" xr:uid="{09029F64-886A-4DFE-BB06-A4E77A77FC47}"/>
    <cellStyle name="Normal 6 8 3 2 2 2 3" xfId="2463" xr:uid="{5DAEFF2B-D7FB-422E-9E0D-37FEB2E03030}"/>
    <cellStyle name="Normal 6 8 3 2 2 2 3 2" xfId="4183" xr:uid="{0B6A33C4-271F-4C14-93EE-10A0E316DED6}"/>
    <cellStyle name="Normal 6 8 3 2 2 2 3 3" xfId="8109" xr:uid="{04722DA2-08AF-4F09-9A50-DE0FE6D786EB}"/>
    <cellStyle name="Normal 6 8 3 2 2 2 3 4" xfId="9627" xr:uid="{CA600DAE-3046-4942-B015-4352BBBE458D}"/>
    <cellStyle name="Normal 6 8 3 2 2 2 3 5" xfId="13241" xr:uid="{9A31EB8D-A0CC-4A89-B819-973B3A99657C}"/>
    <cellStyle name="Normal 6 8 3 2 2 2 3 6" xfId="14986" xr:uid="{F7D65CE7-45F4-429B-962B-0DAE6DCCC170}"/>
    <cellStyle name="Normal 6 8 3 2 2 2 4" xfId="5155" xr:uid="{D02F5B0E-FFA8-4931-8ECD-4E7FCA585BF6}"/>
    <cellStyle name="Normal 6 8 3 2 2 2 4 2" xfId="10625" xr:uid="{408A0587-6384-4CCD-8F80-7DB876D280FB}"/>
    <cellStyle name="Normal 6 8 3 2 2 2 5" xfId="5653" xr:uid="{4CBAB9AC-D170-4B4B-8435-21AFBE4C7D07}"/>
    <cellStyle name="Normal 6 8 3 2 2 2 5 2" xfId="11127" xr:uid="{69547594-D7C7-4FCA-A0D4-0B241DAE1D64}"/>
    <cellStyle name="Normal 6 8 3 2 2 2 6" xfId="6155" xr:uid="{5566D791-9717-4791-BEDC-C856BE005CF2}"/>
    <cellStyle name="Normal 6 8 3 2 2 2 6 2" xfId="11629" xr:uid="{8CF82D6B-8ACF-43B9-BAB6-FF333AF911E3}"/>
    <cellStyle name="Normal 6 8 3 2 2 2 7" xfId="3173" xr:uid="{BE2BAAB2-1996-4C88-821B-B6DE7E31E010}"/>
    <cellStyle name="Normal 6 8 3 2 2 2 8" xfId="7095" xr:uid="{2E9BF4AB-556A-40D0-9667-680F6C425FDF}"/>
    <cellStyle name="Normal 6 8 3 2 2 2 9" xfId="8619" xr:uid="{2B6AF539-4F73-4BF9-86A5-156A9CEE408D}"/>
    <cellStyle name="Normal 6 8 3 2 2 3" xfId="1707" xr:uid="{CB5A2AFF-74C8-462B-BDE3-0F9AEA6333B9}"/>
    <cellStyle name="Normal 6 8 3 2 2 3 2" xfId="4429" xr:uid="{A7591A21-0A84-4F55-AF45-1B7B029FCA05}"/>
    <cellStyle name="Normal 6 8 3 2 2 3 2 2" xfId="9875" xr:uid="{D3C0EEE4-6EFD-4F0E-A729-55E772B0783B}"/>
    <cellStyle name="Normal 6 8 3 2 2 3 3" xfId="3419" xr:uid="{2D29755D-8222-42B6-AABC-0937116EEDC3}"/>
    <cellStyle name="Normal 6 8 3 2 2 3 4" xfId="7353" xr:uid="{C958C8A6-A4B7-41AF-88A9-FC3C12B5B656}"/>
    <cellStyle name="Normal 6 8 3 2 2 3 5" xfId="8867" xr:uid="{AC375C78-9414-4B39-AB2B-3784DB9D9B91}"/>
    <cellStyle name="Normal 6 8 3 2 2 3 6" xfId="12487" xr:uid="{A5B192B5-7EE7-47EE-A396-2372E894673C}"/>
    <cellStyle name="Normal 6 8 3 2 2 3 7" xfId="14232" xr:uid="{C9DF237C-E630-4115-AFFB-9072624674BC}"/>
    <cellStyle name="Normal 6 8 3 2 2 4" xfId="2215" xr:uid="{0ECF268D-4E10-4612-8526-3F15E0472137}"/>
    <cellStyle name="Normal 6 8 3 2 2 4 2" xfId="3935" xr:uid="{B0AB28D7-E932-4395-9259-2755A46310E1}"/>
    <cellStyle name="Normal 6 8 3 2 2 4 3" xfId="7861" xr:uid="{839ACD5A-6232-40EC-989D-F4A4D7A6B007}"/>
    <cellStyle name="Normal 6 8 3 2 2 4 4" xfId="9379" xr:uid="{0384012F-0E67-4F12-94BF-C6C1167F231E}"/>
    <cellStyle name="Normal 6 8 3 2 2 4 5" xfId="12993" xr:uid="{5E5F57B5-7E74-43A6-980E-1317356AFF1C}"/>
    <cellStyle name="Normal 6 8 3 2 2 4 6" xfId="14738" xr:uid="{6CBF470A-FE46-4FE8-B1A8-E44A62DA0830}"/>
    <cellStyle name="Normal 6 8 3 2 2 5" xfId="4915" xr:uid="{D61E7C4D-0F8D-4479-B56E-B91481551CDC}"/>
    <cellStyle name="Normal 6 8 3 2 2 5 2" xfId="10377" xr:uid="{9E19C692-F37D-450A-9F7B-3D7AE2C7CD7C}"/>
    <cellStyle name="Normal 6 8 3 2 2 6" xfId="5405" xr:uid="{24370694-8036-438B-8C3E-08A5573D2DD4}"/>
    <cellStyle name="Normal 6 8 3 2 2 6 2" xfId="10879" xr:uid="{6EBABA28-9A18-4C0E-935E-9760A6CA4332}"/>
    <cellStyle name="Normal 6 8 3 2 2 7" xfId="5907" xr:uid="{448CE3CA-5EBA-4A73-8B3D-606DEE3BCD1E}"/>
    <cellStyle name="Normal 6 8 3 2 2 7 2" xfId="11381" xr:uid="{CB52496B-6573-49BE-BA53-1FBFC8699137}"/>
    <cellStyle name="Normal 6 8 3 2 2 8" xfId="2931" xr:uid="{FAF6794F-15E7-4E3B-B52E-9F1C248BFFF2}"/>
    <cellStyle name="Normal 6 8 3 2 2 9" xfId="6847" xr:uid="{636EB7D9-458D-47FC-B9C3-6591C727C4D3}"/>
    <cellStyle name="Normal 6 8 3 2 3" xfId="1325" xr:uid="{8281FF22-7D86-45DC-ADFB-23EF8BDF623F}"/>
    <cellStyle name="Normal 6 8 3 2 3 10" xfId="12105" xr:uid="{D72E943F-748B-49B8-93F8-9424569FAF31}"/>
    <cellStyle name="Normal 6 8 3 2 3 11" xfId="13850" xr:uid="{54E77EDC-3639-4B30-A0AC-3249BA434B04}"/>
    <cellStyle name="Normal 6 8 3 2 3 2" xfId="1831" xr:uid="{DBD94283-F653-42D0-AE85-94696CD44782}"/>
    <cellStyle name="Normal 6 8 3 2 3 2 2" xfId="4553" xr:uid="{CD821B33-42F3-489C-8007-0A964F10B8E4}"/>
    <cellStyle name="Normal 6 8 3 2 3 2 2 2" xfId="9999" xr:uid="{990A27F8-E52A-4936-B96B-EC8BF23B3B02}"/>
    <cellStyle name="Normal 6 8 3 2 3 2 3" xfId="3543" xr:uid="{0BFE875D-2D01-4383-9AB0-9FF293FFBF6E}"/>
    <cellStyle name="Normal 6 8 3 2 3 2 4" xfId="7477" xr:uid="{D83FB39E-9352-406C-A19B-19A40786763D}"/>
    <cellStyle name="Normal 6 8 3 2 3 2 5" xfId="8991" xr:uid="{7B172EB8-0871-4A25-8CA0-B799D9918E57}"/>
    <cellStyle name="Normal 6 8 3 2 3 2 6" xfId="12611" xr:uid="{FC18CA7B-3779-4884-A1F0-8C4E4634AA2F}"/>
    <cellStyle name="Normal 6 8 3 2 3 2 7" xfId="14356" xr:uid="{9BABF6F0-2B4E-41A5-A4DD-C734C483AA20}"/>
    <cellStyle name="Normal 6 8 3 2 3 3" xfId="2339" xr:uid="{E41D5E61-59B3-454A-94D3-5C3152CE9596}"/>
    <cellStyle name="Normal 6 8 3 2 3 3 2" xfId="4059" xr:uid="{E9CBB6B8-A013-4AF6-8F84-C194516E60A7}"/>
    <cellStyle name="Normal 6 8 3 2 3 3 3" xfId="7985" xr:uid="{8C468BD2-A16A-43B1-9D3C-3FB1FDD47C42}"/>
    <cellStyle name="Normal 6 8 3 2 3 3 4" xfId="9503" xr:uid="{E439019E-94BA-449D-A6D8-32159A924D47}"/>
    <cellStyle name="Normal 6 8 3 2 3 3 5" xfId="13117" xr:uid="{E1965C74-2F2E-437C-9533-4D354B617468}"/>
    <cellStyle name="Normal 6 8 3 2 3 3 6" xfId="14862" xr:uid="{3DBB7DBC-55C2-46C6-992D-173F8AE18085}"/>
    <cellStyle name="Normal 6 8 3 2 3 4" xfId="5031" xr:uid="{D4B98D59-2FB8-412E-A1A9-9E30506CB1B1}"/>
    <cellStyle name="Normal 6 8 3 2 3 4 2" xfId="10501" xr:uid="{00E65F78-19AB-47B5-BC1A-DFE133796A8E}"/>
    <cellStyle name="Normal 6 8 3 2 3 5" xfId="5529" xr:uid="{856978C7-505A-4812-ADDD-4B28AEFECC13}"/>
    <cellStyle name="Normal 6 8 3 2 3 5 2" xfId="11003" xr:uid="{0F5B8BEE-8AC2-43A0-9E99-03EACAD956DC}"/>
    <cellStyle name="Normal 6 8 3 2 3 6" xfId="6031" xr:uid="{E1AA8F33-71DF-424A-B8C1-8688F5E5FD54}"/>
    <cellStyle name="Normal 6 8 3 2 3 6 2" xfId="11505" xr:uid="{32127D2E-3C1D-4709-808B-192A3EE33A6B}"/>
    <cellStyle name="Normal 6 8 3 2 3 7" xfId="3049" xr:uid="{827C47B6-0CF5-49E9-A512-A2A876DE507A}"/>
    <cellStyle name="Normal 6 8 3 2 3 8" xfId="6971" xr:uid="{AF6DD918-6C39-44DE-8863-ED65A0678212}"/>
    <cellStyle name="Normal 6 8 3 2 3 9" xfId="8495" xr:uid="{A107264E-8764-416E-9C42-A9B0FCDCE30F}"/>
    <cellStyle name="Normal 6 8 3 2 4" xfId="1583" xr:uid="{9F724520-90EE-4DDD-9236-EE32573E5F5C}"/>
    <cellStyle name="Normal 6 8 3 2 4 2" xfId="4305" xr:uid="{9582724D-86DE-4680-AB67-32F323ED6C71}"/>
    <cellStyle name="Normal 6 8 3 2 4 2 2" xfId="9751" xr:uid="{41377D7C-3D0D-4766-9E83-5DBB7D00C53C}"/>
    <cellStyle name="Normal 6 8 3 2 4 3" xfId="3295" xr:uid="{26144AF7-43CA-4F4F-AAF1-B54C57061152}"/>
    <cellStyle name="Normal 6 8 3 2 4 4" xfId="7229" xr:uid="{F7A50D04-184B-4CBD-AC9A-25B33813B801}"/>
    <cellStyle name="Normal 6 8 3 2 4 5" xfId="8743" xr:uid="{FFCAE993-CAFC-487A-81AC-1572F9BCCFB3}"/>
    <cellStyle name="Normal 6 8 3 2 4 6" xfId="12363" xr:uid="{457132B9-DCC6-45D4-BA24-F335D725FE51}"/>
    <cellStyle name="Normal 6 8 3 2 4 7" xfId="14108" xr:uid="{58A7038B-324F-4560-BD77-480F2FF51842}"/>
    <cellStyle name="Normal 6 8 3 2 5" xfId="2091" xr:uid="{250BE885-5850-4B41-A7DF-159175C8293F}"/>
    <cellStyle name="Normal 6 8 3 2 5 2" xfId="3811" xr:uid="{7F342F2D-DDD0-4C02-A5A6-C5EE713EFC33}"/>
    <cellStyle name="Normal 6 8 3 2 5 3" xfId="7737" xr:uid="{330567F1-24F1-41C0-A812-9CBEC83316D6}"/>
    <cellStyle name="Normal 6 8 3 2 5 4" xfId="9255" xr:uid="{16804ACA-6706-4875-81F5-BA6274C6F6CC}"/>
    <cellStyle name="Normal 6 8 3 2 5 5" xfId="12869" xr:uid="{DCE28ACF-AAC9-4548-83DA-B17280F60783}"/>
    <cellStyle name="Normal 6 8 3 2 5 6" xfId="14614" xr:uid="{C7690EA2-04ED-4083-8BE4-50631E8E5B94}"/>
    <cellStyle name="Normal 6 8 3 2 6" xfId="4799" xr:uid="{405B5F49-E690-4520-A653-CDA680B80671}"/>
    <cellStyle name="Normal 6 8 3 2 6 2" xfId="10253" xr:uid="{224A827A-03E4-4EFC-B606-9E58483BC67D}"/>
    <cellStyle name="Normal 6 8 3 2 7" xfId="5281" xr:uid="{5D5890A2-3835-4B0B-AB07-7C446A841C4B}"/>
    <cellStyle name="Normal 6 8 3 2 7 2" xfId="10755" xr:uid="{AE357F14-E0DB-447D-B27C-0A8F6AA35F5E}"/>
    <cellStyle name="Normal 6 8 3 2 8" xfId="5783" xr:uid="{E793D19F-E92C-49BA-921A-B935CF832CED}"/>
    <cellStyle name="Normal 6 8 3 2 8 2" xfId="11257" xr:uid="{9028CDC2-34E3-400D-B018-CBED4C1B4209}"/>
    <cellStyle name="Normal 6 8 3 2 9" xfId="2815" xr:uid="{00962183-57E7-4255-A596-04D4B959FF6D}"/>
    <cellStyle name="Normal 6 8 3 3" xfId="1142" xr:uid="{382E6CE1-B39B-4448-A1F8-8CAC0BFD8983}"/>
    <cellStyle name="Normal 6 8 3 3 10" xfId="8312" xr:uid="{77670D16-B03C-40F6-8AF1-20CCF5DFC198}"/>
    <cellStyle name="Normal 6 8 3 3 11" xfId="11922" xr:uid="{0BFEA455-1102-4ABB-B7D4-4AFCF1648FD3}"/>
    <cellStyle name="Normal 6 8 3 3 12" xfId="13667" xr:uid="{BA784B94-E7DD-47B1-A75C-A840E25415C6}"/>
    <cellStyle name="Normal 6 8 3 3 2" xfId="1390" xr:uid="{4BE1CEEF-DDED-43EC-BC83-98D1BCC44F56}"/>
    <cellStyle name="Normal 6 8 3 3 2 10" xfId="12170" xr:uid="{776B29AA-7220-478C-8D0E-26656A8B12E8}"/>
    <cellStyle name="Normal 6 8 3 3 2 11" xfId="13915" xr:uid="{CFEA1A3A-3CF2-4813-AD96-3ADC1371AA1B}"/>
    <cellStyle name="Normal 6 8 3 3 2 2" xfId="1896" xr:uid="{2732442B-AAEB-4C93-A1F1-FD6485BD171B}"/>
    <cellStyle name="Normal 6 8 3 3 2 2 2" xfId="4618" xr:uid="{39C79D7E-0F22-4FB0-8D32-2CCD36BC68D7}"/>
    <cellStyle name="Normal 6 8 3 3 2 2 2 2" xfId="10064" xr:uid="{B6FBA919-99FE-4B51-AAAA-EF9E38B7E381}"/>
    <cellStyle name="Normal 6 8 3 3 2 2 3" xfId="3608" xr:uid="{56162F67-9827-4CBF-8DC6-E9D6A84B20F1}"/>
    <cellStyle name="Normal 6 8 3 3 2 2 4" xfId="7542" xr:uid="{77B2EC7D-5F71-43A3-A3B8-5F46F190BC97}"/>
    <cellStyle name="Normal 6 8 3 3 2 2 5" xfId="9056" xr:uid="{E76C5E22-9A1C-4DC2-96DF-049438DE959B}"/>
    <cellStyle name="Normal 6 8 3 3 2 2 6" xfId="12676" xr:uid="{8FCAB2ED-C3DD-4E34-8E70-B5AAF3D0592E}"/>
    <cellStyle name="Normal 6 8 3 3 2 2 7" xfId="14421" xr:uid="{648D5692-11D5-4BD0-8AA6-D69B9A333C8E}"/>
    <cellStyle name="Normal 6 8 3 3 2 3" xfId="2404" xr:uid="{7B079AF5-F871-49C6-9566-34790E9DACA9}"/>
    <cellStyle name="Normal 6 8 3 3 2 3 2" xfId="4124" xr:uid="{AB63E0D9-084F-4195-9031-53B2880CB30B}"/>
    <cellStyle name="Normal 6 8 3 3 2 3 3" xfId="8050" xr:uid="{1CDA4AEA-9166-4C40-9087-76576EC82730}"/>
    <cellStyle name="Normal 6 8 3 3 2 3 4" xfId="9568" xr:uid="{CCC7A2D8-ADB6-48E6-8C1B-70CB66F96F1C}"/>
    <cellStyle name="Normal 6 8 3 3 2 3 5" xfId="13182" xr:uid="{F67F7757-10F5-4FC8-9F6F-582455035A9B}"/>
    <cellStyle name="Normal 6 8 3 3 2 3 6" xfId="14927" xr:uid="{BF78D76E-CDCF-4F1E-AFE6-801A5F44453C}"/>
    <cellStyle name="Normal 6 8 3 3 2 4" xfId="5096" xr:uid="{3DFFF5C9-87BA-405D-92FF-AD940641B7CB}"/>
    <cellStyle name="Normal 6 8 3 3 2 4 2" xfId="10566" xr:uid="{52164225-A322-4C44-A14A-01D05ADB2E4D}"/>
    <cellStyle name="Normal 6 8 3 3 2 5" xfId="5594" xr:uid="{DF4E5E1D-65EA-4BDF-BC27-985792BF22DD}"/>
    <cellStyle name="Normal 6 8 3 3 2 5 2" xfId="11068" xr:uid="{68126B28-5644-4D19-B426-B0431F7BE9A1}"/>
    <cellStyle name="Normal 6 8 3 3 2 6" xfId="6096" xr:uid="{835A42EB-A085-4E18-9BB1-5A5BA0D1AB12}"/>
    <cellStyle name="Normal 6 8 3 3 2 6 2" xfId="11570" xr:uid="{9EBE7C4B-5810-474F-B279-A2257D5992F2}"/>
    <cellStyle name="Normal 6 8 3 3 2 7" xfId="3114" xr:uid="{DCF5D9FE-2855-4BFB-A412-44138ACE0DEA}"/>
    <cellStyle name="Normal 6 8 3 3 2 8" xfId="7036" xr:uid="{11729781-6A81-4173-839E-F9E4FBC7FD64}"/>
    <cellStyle name="Normal 6 8 3 3 2 9" xfId="8560" xr:uid="{B835D471-1474-4749-AC71-4A92F2556D92}"/>
    <cellStyle name="Normal 6 8 3 3 3" xfId="1648" xr:uid="{5DE60DFD-DD87-4539-8485-4E7B2BB76831}"/>
    <cellStyle name="Normal 6 8 3 3 3 2" xfId="4370" xr:uid="{2F8A06A7-62F9-428E-8BC5-55870FDF1E7B}"/>
    <cellStyle name="Normal 6 8 3 3 3 2 2" xfId="9816" xr:uid="{61244870-4C9C-4402-88CA-1987DA0977BA}"/>
    <cellStyle name="Normal 6 8 3 3 3 3" xfId="3360" xr:uid="{A1AC8835-25DB-4DE9-B39B-B30F40DF36AD}"/>
    <cellStyle name="Normal 6 8 3 3 3 4" xfId="7294" xr:uid="{F587249F-79CD-4AD1-A687-AB0CEEEFD006}"/>
    <cellStyle name="Normal 6 8 3 3 3 5" xfId="8808" xr:uid="{C4DABE15-80A7-44F3-9C06-25DEE9E03AD0}"/>
    <cellStyle name="Normal 6 8 3 3 3 6" xfId="12428" xr:uid="{8504B9E2-CD48-4FDB-906E-E8BECE2FD3B3}"/>
    <cellStyle name="Normal 6 8 3 3 3 7" xfId="14173" xr:uid="{4D0B7553-D462-4E3D-9CFA-14B6EBED62B0}"/>
    <cellStyle name="Normal 6 8 3 3 4" xfId="2156" xr:uid="{473565FC-76BF-4971-8635-B73B4527C47C}"/>
    <cellStyle name="Normal 6 8 3 3 4 2" xfId="3876" xr:uid="{F1008134-990F-4F14-A6F2-D29C3005C074}"/>
    <cellStyle name="Normal 6 8 3 3 4 3" xfId="7802" xr:uid="{8F57A536-E69C-474F-B84A-6567D3D57496}"/>
    <cellStyle name="Normal 6 8 3 3 4 4" xfId="9320" xr:uid="{EC7B41D9-3DB1-4D18-9877-FEAA787F3805}"/>
    <cellStyle name="Normal 6 8 3 3 4 5" xfId="12934" xr:uid="{64F3ECAC-7F2A-448B-89BE-CAA6C1A02155}"/>
    <cellStyle name="Normal 6 8 3 3 4 6" xfId="14679" xr:uid="{15CF68D5-3CB1-4D29-9ABD-8CEFF628146C}"/>
    <cellStyle name="Normal 6 8 3 3 5" xfId="4858" xr:uid="{C1E1B28D-672C-446B-B51C-E73B4131642A}"/>
    <cellStyle name="Normal 6 8 3 3 5 2" xfId="10318" xr:uid="{8DA2DA55-0FE8-410D-9FFA-00F7F9DED83C}"/>
    <cellStyle name="Normal 6 8 3 3 6" xfId="5346" xr:uid="{F6541E99-B9D4-4F1D-B153-892601956AC9}"/>
    <cellStyle name="Normal 6 8 3 3 6 2" xfId="10820" xr:uid="{7875831B-817E-47D6-BF46-2F1CD34F7FBB}"/>
    <cellStyle name="Normal 6 8 3 3 7" xfId="5848" xr:uid="{4586A40B-0CD3-4AB6-BC87-60DA411C7C08}"/>
    <cellStyle name="Normal 6 8 3 3 7 2" xfId="11322" xr:uid="{ABFA5E52-D90C-4843-835C-22899DE29280}"/>
    <cellStyle name="Normal 6 8 3 3 8" xfId="2874" xr:uid="{8D8D3695-0F88-4F6F-A0AC-E2CDFF77040D}"/>
    <cellStyle name="Normal 6 8 3 3 9" xfId="6788" xr:uid="{3A846895-6A67-4969-8C4B-8CCBEA453B6B}"/>
    <cellStyle name="Normal 6 8 3 4" xfId="1266" xr:uid="{F35BFE74-814D-4B47-9F23-263BB9B1E6C3}"/>
    <cellStyle name="Normal 6 8 3 4 10" xfId="12046" xr:uid="{4C2527DC-C4A6-442A-9B55-99BA178C4C7C}"/>
    <cellStyle name="Normal 6 8 3 4 11" xfId="13791" xr:uid="{62E46217-1F9C-475B-8CA2-B3FB8580AAED}"/>
    <cellStyle name="Normal 6 8 3 4 2" xfId="1772" xr:uid="{DDA49F28-396A-463C-A19D-22B86112467C}"/>
    <cellStyle name="Normal 6 8 3 4 2 2" xfId="4494" xr:uid="{874BE49F-9611-4517-91C6-8FDBF9096897}"/>
    <cellStyle name="Normal 6 8 3 4 2 2 2" xfId="9940" xr:uid="{B37C68FB-3F04-44D5-8FAD-21BA3B7BB0B3}"/>
    <cellStyle name="Normal 6 8 3 4 2 3" xfId="3484" xr:uid="{423BDA04-11AC-4403-8535-E01E2E3A4B42}"/>
    <cellStyle name="Normal 6 8 3 4 2 4" xfId="7418" xr:uid="{60D65391-B3F6-4419-960E-D4D74017C307}"/>
    <cellStyle name="Normal 6 8 3 4 2 5" xfId="8932" xr:uid="{315C3736-FEDD-4E01-ACA9-ECD68A30F1BB}"/>
    <cellStyle name="Normal 6 8 3 4 2 6" xfId="12552" xr:uid="{42ACF7DE-CCA3-4563-AC82-291A7FE04F62}"/>
    <cellStyle name="Normal 6 8 3 4 2 7" xfId="14297" xr:uid="{97F8358E-18DA-4CD5-96B7-0DE3538248F1}"/>
    <cellStyle name="Normal 6 8 3 4 3" xfId="2280" xr:uid="{9477A17E-02C0-4B2E-8C0A-9D26EE58EA01}"/>
    <cellStyle name="Normal 6 8 3 4 3 2" xfId="4000" xr:uid="{86D733AA-15C2-4DFC-ABB3-96C87C99C0CB}"/>
    <cellStyle name="Normal 6 8 3 4 3 3" xfId="7926" xr:uid="{4349D22A-5744-4CD0-9981-7263CC29ADC3}"/>
    <cellStyle name="Normal 6 8 3 4 3 4" xfId="9444" xr:uid="{F8810668-DEFA-4191-AA68-D35BF3452C83}"/>
    <cellStyle name="Normal 6 8 3 4 3 5" xfId="13058" xr:uid="{CDF2776E-DF66-4AAF-906B-9B9AF1CC4AB6}"/>
    <cellStyle name="Normal 6 8 3 4 3 6" xfId="14803" xr:uid="{6313D5C9-42C7-4FE2-9190-E093FF65CDAB}"/>
    <cellStyle name="Normal 6 8 3 4 4" xfId="4974" xr:uid="{26DE5765-C7A7-43C1-A431-16A45DA447F1}"/>
    <cellStyle name="Normal 6 8 3 4 4 2" xfId="10442" xr:uid="{FDD54AF2-D128-4396-BBE9-D0A23A2BA4B3}"/>
    <cellStyle name="Normal 6 8 3 4 5" xfId="5470" xr:uid="{CDDC0F1E-30A5-476D-91BF-47D77CEFAD09}"/>
    <cellStyle name="Normal 6 8 3 4 5 2" xfId="10944" xr:uid="{AA9E7D29-563B-4EC4-B7E6-FED89FF0715B}"/>
    <cellStyle name="Normal 6 8 3 4 6" xfId="5972" xr:uid="{4D1A3C86-294D-4844-8494-D2A3231A752C}"/>
    <cellStyle name="Normal 6 8 3 4 6 2" xfId="11446" xr:uid="{0A55C7D0-D797-47A7-8242-C4BBD71AF1DA}"/>
    <cellStyle name="Normal 6 8 3 4 7" xfId="2992" xr:uid="{EBD0CDB4-9E46-4E23-A2E8-D0DA95A876B1}"/>
    <cellStyle name="Normal 6 8 3 4 8" xfId="6912" xr:uid="{7D833668-83F4-4143-A682-C5C71E07B963}"/>
    <cellStyle name="Normal 6 8 3 4 9" xfId="8436" xr:uid="{1A410E97-A507-4F1A-802B-5641D24471A9}"/>
    <cellStyle name="Normal 6 8 3 5" xfId="1524" xr:uid="{98BADC86-9878-486C-97D7-13C772D437B3}"/>
    <cellStyle name="Normal 6 8 3 5 2" xfId="4248" xr:uid="{F7473FAA-F3DA-45CC-A9AF-EE5E659FB1CB}"/>
    <cellStyle name="Normal 6 8 3 5 2 2" xfId="9692" xr:uid="{61F388A6-30F0-4613-BDE7-91F14BA58EC3}"/>
    <cellStyle name="Normal 6 8 3 5 3" xfId="3238" xr:uid="{7CCD5C58-86A4-480B-9213-65D9745186AE}"/>
    <cellStyle name="Normal 6 8 3 5 4" xfId="7170" xr:uid="{4221DDAC-F532-4DFA-BEF9-24F6E8E7EA9A}"/>
    <cellStyle name="Normal 6 8 3 5 5" xfId="8684" xr:uid="{8D10C975-00A8-485E-8792-058B2B873FE6}"/>
    <cellStyle name="Normal 6 8 3 5 6" xfId="12304" xr:uid="{14247B6F-99F5-41EB-946A-15CF7BA061EC}"/>
    <cellStyle name="Normal 6 8 3 5 7" xfId="14049" xr:uid="{8774AC4E-06C8-4D8D-8B43-F511D8BA5D58}"/>
    <cellStyle name="Normal 6 8 3 6" xfId="2032" xr:uid="{6B6E46B3-20EB-452C-A419-F7450EE23446}"/>
    <cellStyle name="Normal 6 8 3 6 2" xfId="3752" xr:uid="{8CDF808C-DA69-4F27-9E60-BCEAFCE201C5}"/>
    <cellStyle name="Normal 6 8 3 6 3" xfId="7678" xr:uid="{4B7154D5-A123-4648-8445-91DA8BB7F852}"/>
    <cellStyle name="Normal 6 8 3 6 4" xfId="9196" xr:uid="{DB3117DB-C5B6-4A70-9279-1B71CAC67EF9}"/>
    <cellStyle name="Normal 6 8 3 6 5" xfId="12810" xr:uid="{38E9E2B0-6FE9-4D6F-8B19-EC64FF3631F4}"/>
    <cellStyle name="Normal 6 8 3 6 6" xfId="14555" xr:uid="{BAA423E5-8BD1-4F9A-947D-E2E8B06AE116}"/>
    <cellStyle name="Normal 6 8 3 7" xfId="4746" xr:uid="{8C1E0D3B-3DB3-44FF-B45F-2EE267ECBC76}"/>
    <cellStyle name="Normal 6 8 3 7 2" xfId="10194" xr:uid="{768DECF1-9D15-4BA1-ACB3-E3D3276802A2}"/>
    <cellStyle name="Normal 6 8 3 8" xfId="5222" xr:uid="{0AFB903F-8AA9-4DF2-8B92-D3DA63D31831}"/>
    <cellStyle name="Normal 6 8 3 8 2" xfId="10696" xr:uid="{084C44A6-38DA-41F0-B3A2-32A13B5E35D1}"/>
    <cellStyle name="Normal 6 8 3 9" xfId="5724" xr:uid="{0CABD862-724D-4C8D-9B02-CD807C0FD9EF}"/>
    <cellStyle name="Normal 6 8 3 9 2" xfId="11198" xr:uid="{6D044BDF-E957-43A6-943D-33036DFAD687}"/>
    <cellStyle name="Normal 6 8 4" xfId="1075" xr:uid="{7C62537B-4BD8-4216-9D02-53C222EB3689}"/>
    <cellStyle name="Normal 6 8 4 10" xfId="6721" xr:uid="{25D28479-CFB5-44CB-84A0-7EED4E81416B}"/>
    <cellStyle name="Normal 6 8 4 11" xfId="8245" xr:uid="{51E62BA6-F957-462C-8D52-5965445C56FA}"/>
    <cellStyle name="Normal 6 8 4 12" xfId="11855" xr:uid="{6DC9173A-4FF9-4A25-BE8A-ED78FF05E003}"/>
    <cellStyle name="Normal 6 8 4 13" xfId="13600" xr:uid="{6F5E3854-05C7-4816-8737-3320E5DE25E8}"/>
    <cellStyle name="Normal 6 8 4 2" xfId="1199" xr:uid="{2A974440-A4C2-4A0E-92D3-0FB89CDC6BF0}"/>
    <cellStyle name="Normal 6 8 4 2 10" xfId="8369" xr:uid="{BD67EDFA-388B-4C6C-BDA8-3D0E7F2E499C}"/>
    <cellStyle name="Normal 6 8 4 2 11" xfId="11979" xr:uid="{F58C3039-BDC0-4D37-97CC-01BD0C35B344}"/>
    <cellStyle name="Normal 6 8 4 2 12" xfId="13724" xr:uid="{91A44729-CD96-4961-BE77-3232D171E209}"/>
    <cellStyle name="Normal 6 8 4 2 2" xfId="1447" xr:uid="{AB7E3363-F919-4300-9272-FEDEF3984349}"/>
    <cellStyle name="Normal 6 8 4 2 2 10" xfId="12227" xr:uid="{2539376F-F1E9-4CE5-B600-CF659C05E86D}"/>
    <cellStyle name="Normal 6 8 4 2 2 11" xfId="13972" xr:uid="{76FD0BED-197B-45BD-B15B-379D7454B115}"/>
    <cellStyle name="Normal 6 8 4 2 2 2" xfId="1953" xr:uid="{26FA66FE-EE9E-4118-8826-0FB26EF78D78}"/>
    <cellStyle name="Normal 6 8 4 2 2 2 2" xfId="4675" xr:uid="{4795B1DA-67F3-4911-99C6-896C68E4410B}"/>
    <cellStyle name="Normal 6 8 4 2 2 2 2 2" xfId="10121" xr:uid="{79B9F9CE-2A86-40DA-B513-1EDC878E2318}"/>
    <cellStyle name="Normal 6 8 4 2 2 2 3" xfId="3665" xr:uid="{9E6FE7BE-92AB-4F60-A07B-16C5FBD3E432}"/>
    <cellStyle name="Normal 6 8 4 2 2 2 4" xfId="7599" xr:uid="{8C92C46B-4376-4E66-A448-DD4240765307}"/>
    <cellStyle name="Normal 6 8 4 2 2 2 5" xfId="9113" xr:uid="{54414335-7D37-4A47-9BEA-31C6409E0FE8}"/>
    <cellStyle name="Normal 6 8 4 2 2 2 6" xfId="12733" xr:uid="{F41BD3DC-FC0D-4FEF-B040-79DE4E237A06}"/>
    <cellStyle name="Normal 6 8 4 2 2 2 7" xfId="14478" xr:uid="{44675240-128F-4C2F-B1E0-86275D504F8F}"/>
    <cellStyle name="Normal 6 8 4 2 2 3" xfId="2461" xr:uid="{CB8631F5-1D6B-4126-9DC7-2C7A5F9E4982}"/>
    <cellStyle name="Normal 6 8 4 2 2 3 2" xfId="4181" xr:uid="{680B10E7-5AED-4A61-A0DD-68AD073609B0}"/>
    <cellStyle name="Normal 6 8 4 2 2 3 3" xfId="8107" xr:uid="{072387BC-0FA5-4084-B5EA-6891531366FC}"/>
    <cellStyle name="Normal 6 8 4 2 2 3 4" xfId="9625" xr:uid="{49E33DB5-4318-4B40-B3B8-9A8795F11D66}"/>
    <cellStyle name="Normal 6 8 4 2 2 3 5" xfId="13239" xr:uid="{EB3251B3-664D-4BE2-AF6A-83586677A29B}"/>
    <cellStyle name="Normal 6 8 4 2 2 3 6" xfId="14984" xr:uid="{B467B991-319E-4C3D-9876-31C645AA0B08}"/>
    <cellStyle name="Normal 6 8 4 2 2 4" xfId="5153" xr:uid="{ECCD8F21-14D1-4697-BE5A-9AF2605C6913}"/>
    <cellStyle name="Normal 6 8 4 2 2 4 2" xfId="10623" xr:uid="{47135EBC-2C3D-4F8F-A333-BE25D4E8B7D6}"/>
    <cellStyle name="Normal 6 8 4 2 2 5" xfId="5651" xr:uid="{028659C5-73BF-4F1E-BC48-F08CE8D20ABF}"/>
    <cellStyle name="Normal 6 8 4 2 2 5 2" xfId="11125" xr:uid="{D1EFCBE2-FDEB-4DA1-BE31-63E35156B21C}"/>
    <cellStyle name="Normal 6 8 4 2 2 6" xfId="6153" xr:uid="{2D4E7992-59EB-4BDA-80DD-1B3D273B3703}"/>
    <cellStyle name="Normal 6 8 4 2 2 6 2" xfId="11627" xr:uid="{582011FE-FA5E-4CD7-90FB-F97704ECE38F}"/>
    <cellStyle name="Normal 6 8 4 2 2 7" xfId="3171" xr:uid="{EBCADF9D-E03F-4291-AF3D-0918D4B7BA3D}"/>
    <cellStyle name="Normal 6 8 4 2 2 8" xfId="7093" xr:uid="{3C6FCFE0-C907-47A5-B18B-F2F69C615567}"/>
    <cellStyle name="Normal 6 8 4 2 2 9" xfId="8617" xr:uid="{4FAD62B9-B02A-4B4C-8A8F-01409C55D863}"/>
    <cellStyle name="Normal 6 8 4 2 3" xfId="1705" xr:uid="{CF6B731F-8D27-46EC-AA73-AC4C15A0FC44}"/>
    <cellStyle name="Normal 6 8 4 2 3 2" xfId="4427" xr:uid="{73572280-2E0F-4157-9596-29A138699033}"/>
    <cellStyle name="Normal 6 8 4 2 3 2 2" xfId="9873" xr:uid="{ED82B63F-3066-4977-BB26-68BEB2EABC8E}"/>
    <cellStyle name="Normal 6 8 4 2 3 3" xfId="3417" xr:uid="{1E49C3B9-3ACE-417A-B403-EAC2EB089580}"/>
    <cellStyle name="Normal 6 8 4 2 3 4" xfId="7351" xr:uid="{37F63DD5-8202-4CE4-839F-8362A2CE1EED}"/>
    <cellStyle name="Normal 6 8 4 2 3 5" xfId="8865" xr:uid="{07E670DF-D75D-4127-995C-7A1BE992B620}"/>
    <cellStyle name="Normal 6 8 4 2 3 6" xfId="12485" xr:uid="{7C2007D4-960F-412C-B13A-C86CBA0864F8}"/>
    <cellStyle name="Normal 6 8 4 2 3 7" xfId="14230" xr:uid="{83639957-FA5B-4BF0-9580-65291F8DC190}"/>
    <cellStyle name="Normal 6 8 4 2 4" xfId="2213" xr:uid="{5FD6CA95-8FF2-4886-9D91-8A1A19FAE760}"/>
    <cellStyle name="Normal 6 8 4 2 4 2" xfId="3933" xr:uid="{24631782-5812-4D3C-A049-19F1C88F04A9}"/>
    <cellStyle name="Normal 6 8 4 2 4 3" xfId="7859" xr:uid="{82622664-64DC-410B-B28F-993D29135745}"/>
    <cellStyle name="Normal 6 8 4 2 4 4" xfId="9377" xr:uid="{CD11F328-75F1-4190-AF12-CE0421F83510}"/>
    <cellStyle name="Normal 6 8 4 2 4 5" xfId="12991" xr:uid="{BDB47EF7-5ACB-4CAF-8F3C-0F292B143633}"/>
    <cellStyle name="Normal 6 8 4 2 4 6" xfId="14736" xr:uid="{525239C3-A37B-4EBB-A4C7-3AEB66692AA9}"/>
    <cellStyle name="Normal 6 8 4 2 5" xfId="4913" xr:uid="{7061D6C8-2AEF-4539-954B-281F8F77B718}"/>
    <cellStyle name="Normal 6 8 4 2 5 2" xfId="10375" xr:uid="{C3612C16-7C65-402B-B522-7AE8BAEFDC56}"/>
    <cellStyle name="Normal 6 8 4 2 6" xfId="5403" xr:uid="{C940C427-2427-4C7B-8146-A686B5BBAF3C}"/>
    <cellStyle name="Normal 6 8 4 2 6 2" xfId="10877" xr:uid="{52C17A5D-FAF6-49D7-940F-E0E46A62CA69}"/>
    <cellStyle name="Normal 6 8 4 2 7" xfId="5905" xr:uid="{BEF41AC2-ECB3-46E6-BC6D-3996BDE531E1}"/>
    <cellStyle name="Normal 6 8 4 2 7 2" xfId="11379" xr:uid="{A3F00E9E-EDF1-43C8-9150-82C4C4D777BB}"/>
    <cellStyle name="Normal 6 8 4 2 8" xfId="2929" xr:uid="{04C8F48C-111D-4584-8494-1A063D767F9E}"/>
    <cellStyle name="Normal 6 8 4 2 9" xfId="6845" xr:uid="{90736CB4-4173-4AA0-A0FA-132262D75D45}"/>
    <cellStyle name="Normal 6 8 4 3" xfId="1323" xr:uid="{AF26AF75-9C7B-4E5C-9E27-58977783D710}"/>
    <cellStyle name="Normal 6 8 4 3 10" xfId="12103" xr:uid="{412EE101-6919-438E-972E-546C9A3299E7}"/>
    <cellStyle name="Normal 6 8 4 3 11" xfId="13848" xr:uid="{8817CE41-702B-4782-8C37-10CA3D46800C}"/>
    <cellStyle name="Normal 6 8 4 3 2" xfId="1829" xr:uid="{3160CA11-0FF2-461E-A5DC-624FAAD5499E}"/>
    <cellStyle name="Normal 6 8 4 3 2 2" xfId="4551" xr:uid="{3799D2A3-1A08-4718-B672-546430C64D9B}"/>
    <cellStyle name="Normal 6 8 4 3 2 2 2" xfId="9997" xr:uid="{516396D5-525D-4968-8F60-771E16B0C617}"/>
    <cellStyle name="Normal 6 8 4 3 2 3" xfId="3541" xr:uid="{4128C3C3-01EE-4317-BB8C-D07E903F15C9}"/>
    <cellStyle name="Normal 6 8 4 3 2 4" xfId="7475" xr:uid="{EAB4B03D-45FF-4246-84B7-7BAE6126B5AF}"/>
    <cellStyle name="Normal 6 8 4 3 2 5" xfId="8989" xr:uid="{CCDD6FF2-3BCE-43CB-9715-FDC8AEFF2099}"/>
    <cellStyle name="Normal 6 8 4 3 2 6" xfId="12609" xr:uid="{7052504C-E88B-4CE8-A917-A621236A64BD}"/>
    <cellStyle name="Normal 6 8 4 3 2 7" xfId="14354" xr:uid="{A29C3B44-F8A9-4ABC-88B3-FAD7D814A1F3}"/>
    <cellStyle name="Normal 6 8 4 3 3" xfId="2337" xr:uid="{9558A4F2-FCD8-4408-98DA-4C8018ADD7BE}"/>
    <cellStyle name="Normal 6 8 4 3 3 2" xfId="4057" xr:uid="{1BA451FA-6E61-47F4-86EF-478305EFFE24}"/>
    <cellStyle name="Normal 6 8 4 3 3 3" xfId="7983" xr:uid="{4FE07735-7928-4121-9524-D9A7AD20768E}"/>
    <cellStyle name="Normal 6 8 4 3 3 4" xfId="9501" xr:uid="{A5589E06-801F-4147-9B92-9290D8834E83}"/>
    <cellStyle name="Normal 6 8 4 3 3 5" xfId="13115" xr:uid="{B792BC56-E77B-4C7C-8FBD-45F49B3A51C0}"/>
    <cellStyle name="Normal 6 8 4 3 3 6" xfId="14860" xr:uid="{D82518FE-2E8B-4247-8572-03AA7A680590}"/>
    <cellStyle name="Normal 6 8 4 3 4" xfId="5029" xr:uid="{2CCA4F22-DC93-49DE-8C0C-29E88D1D29CE}"/>
    <cellStyle name="Normal 6 8 4 3 4 2" xfId="10499" xr:uid="{DEFD6143-04B7-4DBE-A7F2-97D6BD636D57}"/>
    <cellStyle name="Normal 6 8 4 3 5" xfId="5527" xr:uid="{EFEACD8D-082B-4EB6-8301-F604DC0169E9}"/>
    <cellStyle name="Normal 6 8 4 3 5 2" xfId="11001" xr:uid="{D155A94B-16C5-4B22-A22F-380095AF0454}"/>
    <cellStyle name="Normal 6 8 4 3 6" xfId="6029" xr:uid="{7E8237E2-B124-49D7-B36F-6A179073BDF7}"/>
    <cellStyle name="Normal 6 8 4 3 6 2" xfId="11503" xr:uid="{23D69B9B-54A1-44B5-B242-EF143D754DBA}"/>
    <cellStyle name="Normal 6 8 4 3 7" xfId="3047" xr:uid="{B0A3AE5D-9872-466B-A7D5-7CAABF6D04CC}"/>
    <cellStyle name="Normal 6 8 4 3 8" xfId="6969" xr:uid="{724ADB67-45CE-45EB-AC7C-9D5EEF032DF1}"/>
    <cellStyle name="Normal 6 8 4 3 9" xfId="8493" xr:uid="{F837B723-A38A-48F9-BE07-0C8946E9269C}"/>
    <cellStyle name="Normal 6 8 4 4" xfId="1581" xr:uid="{339E9AC9-9ED3-4775-9784-73E991C5E064}"/>
    <cellStyle name="Normal 6 8 4 4 2" xfId="4303" xr:uid="{702EF382-AD0A-49E4-98A1-7A89A44E5078}"/>
    <cellStyle name="Normal 6 8 4 4 2 2" xfId="9749" xr:uid="{96FAA996-5010-4726-B168-C9F081456E0C}"/>
    <cellStyle name="Normal 6 8 4 4 3" xfId="3293" xr:uid="{C7FA9A82-5B97-4817-B812-ED2239CD1AC9}"/>
    <cellStyle name="Normal 6 8 4 4 4" xfId="7227" xr:uid="{B747C2F8-A48E-4914-A101-C68D51DF0CA2}"/>
    <cellStyle name="Normal 6 8 4 4 5" xfId="8741" xr:uid="{0500194A-5060-4DA8-831E-DA3C16A6CFF9}"/>
    <cellStyle name="Normal 6 8 4 4 6" xfId="12361" xr:uid="{9E6EE34B-EF0C-4168-8845-16BB686A85CB}"/>
    <cellStyle name="Normal 6 8 4 4 7" xfId="14106" xr:uid="{B46F3386-BD21-48DA-9F97-241430143551}"/>
    <cellStyle name="Normal 6 8 4 5" xfId="2089" xr:uid="{5EA0BFC2-5424-4C52-8E73-F2AFC23BE094}"/>
    <cellStyle name="Normal 6 8 4 5 2" xfId="3809" xr:uid="{3F7E5635-86F1-4899-8BAB-8EE4A0DDC624}"/>
    <cellStyle name="Normal 6 8 4 5 3" xfId="7735" xr:uid="{D546C511-1480-4B20-9D40-2D98A8595952}"/>
    <cellStyle name="Normal 6 8 4 5 4" xfId="9253" xr:uid="{EF55F682-A190-4D38-A2CF-E4E8C719584E}"/>
    <cellStyle name="Normal 6 8 4 5 5" xfId="12867" xr:uid="{35E13AAD-3FC6-4C6A-84A0-E8EE01C6CA92}"/>
    <cellStyle name="Normal 6 8 4 5 6" xfId="14612" xr:uid="{B538E01C-8E7B-45AA-8340-650C6D52366C}"/>
    <cellStyle name="Normal 6 8 4 6" xfId="4797" xr:uid="{6CFD6084-F5FB-4F60-8444-8F3848D4DD6C}"/>
    <cellStyle name="Normal 6 8 4 6 2" xfId="10251" xr:uid="{2430C418-6A05-40FE-A39A-FE5572792B12}"/>
    <cellStyle name="Normal 6 8 4 7" xfId="5279" xr:uid="{805F8309-95A6-4DB9-8249-E1A820EFDA48}"/>
    <cellStyle name="Normal 6 8 4 7 2" xfId="10753" xr:uid="{7AD6FBB7-7E3C-4E9F-BE54-DE5868E3A234}"/>
    <cellStyle name="Normal 6 8 4 8" xfId="5781" xr:uid="{A3A036FD-78C0-492B-8503-A59496080F3E}"/>
    <cellStyle name="Normal 6 8 4 8 2" xfId="11255" xr:uid="{E61CD458-9BE9-4941-9CBF-8E0D9067F0AF}"/>
    <cellStyle name="Normal 6 8 4 9" xfId="2813" xr:uid="{66EDCC07-DB86-4B06-97DE-D753480C5EC3}"/>
    <cellStyle name="Normal 6 8 5" xfId="1100" xr:uid="{6B6D39BD-71C1-4371-BB9D-B704FFB48EE7}"/>
    <cellStyle name="Normal 6 8 5 10" xfId="8270" xr:uid="{46814A4D-C8D4-4E60-99BB-073C234331F6}"/>
    <cellStyle name="Normal 6 8 5 11" xfId="11880" xr:uid="{E9270D27-A385-4E72-8D37-CD2D3B6F04C6}"/>
    <cellStyle name="Normal 6 8 5 12" xfId="13625" xr:uid="{A5ABD6A8-CEEE-4F9A-AB2F-858F32771CF1}"/>
    <cellStyle name="Normal 6 8 5 2" xfId="1348" xr:uid="{BDD3DFF0-C8EF-422E-8DBF-A7F43AE0FA45}"/>
    <cellStyle name="Normal 6 8 5 2 10" xfId="12128" xr:uid="{869BA58B-9FD1-4EAD-B179-753A5B086E00}"/>
    <cellStyle name="Normal 6 8 5 2 11" xfId="13873" xr:uid="{50A72ACB-6553-4C05-99F2-52D179E0443B}"/>
    <cellStyle name="Normal 6 8 5 2 2" xfId="1854" xr:uid="{EFC9E35A-DB64-445E-A587-6890EBED55DF}"/>
    <cellStyle name="Normal 6 8 5 2 2 2" xfId="4576" xr:uid="{4B48BFA2-76FB-4658-ACC6-58D56FD20BC5}"/>
    <cellStyle name="Normal 6 8 5 2 2 2 2" xfId="10022" xr:uid="{A2512839-1F03-45AE-8325-D913B50E07E3}"/>
    <cellStyle name="Normal 6 8 5 2 2 3" xfId="3566" xr:uid="{B1AFF5EF-F671-490E-BEA6-B37A59F07D2B}"/>
    <cellStyle name="Normal 6 8 5 2 2 4" xfId="7500" xr:uid="{AABB69F9-33E7-4C40-A5D3-6B2C7251BBBE}"/>
    <cellStyle name="Normal 6 8 5 2 2 5" xfId="9014" xr:uid="{23C18166-91B8-4B6B-B059-286F76B62707}"/>
    <cellStyle name="Normal 6 8 5 2 2 6" xfId="12634" xr:uid="{E8AEA144-80FD-42B2-BB25-9BF4A882006C}"/>
    <cellStyle name="Normal 6 8 5 2 2 7" xfId="14379" xr:uid="{DF70F3F6-68F3-47A1-8867-70B069425F5A}"/>
    <cellStyle name="Normal 6 8 5 2 3" xfId="2362" xr:uid="{114E7494-410E-4205-84B6-2B77BC57CC7E}"/>
    <cellStyle name="Normal 6 8 5 2 3 2" xfId="4082" xr:uid="{059A7CD9-2D89-45B3-8BB2-5DB7D33E2273}"/>
    <cellStyle name="Normal 6 8 5 2 3 3" xfId="8008" xr:uid="{1DFEC61D-E1D4-469C-AEF8-2DEB555EAD1A}"/>
    <cellStyle name="Normal 6 8 5 2 3 4" xfId="9526" xr:uid="{E2788F7E-E51D-41F1-884F-DB83A6D935C7}"/>
    <cellStyle name="Normal 6 8 5 2 3 5" xfId="13140" xr:uid="{5A2D072D-643A-422D-B634-FEC8CD3947AB}"/>
    <cellStyle name="Normal 6 8 5 2 3 6" xfId="14885" xr:uid="{3A46287F-9BE6-4E1D-9E58-4BB9F9B3D92F}"/>
    <cellStyle name="Normal 6 8 5 2 4" xfId="5054" xr:uid="{299854EF-69BB-48A8-817C-44ACB8DBCEBE}"/>
    <cellStyle name="Normal 6 8 5 2 4 2" xfId="10524" xr:uid="{087D7057-0538-456E-B0FD-DFCFB04C5126}"/>
    <cellStyle name="Normal 6 8 5 2 5" xfId="5552" xr:uid="{D99EAC4F-AB9D-4A7B-AA88-A58490A88F68}"/>
    <cellStyle name="Normal 6 8 5 2 5 2" xfId="11026" xr:uid="{A7ADB753-817F-4DFC-9BFC-FFF52E3879F1}"/>
    <cellStyle name="Normal 6 8 5 2 6" xfId="6054" xr:uid="{61EDC23C-B29D-4890-A729-5F92A7AEB6FF}"/>
    <cellStyle name="Normal 6 8 5 2 6 2" xfId="11528" xr:uid="{84985C6B-875F-4122-AB7E-0353D59046EE}"/>
    <cellStyle name="Normal 6 8 5 2 7" xfId="3072" xr:uid="{D24EDB95-048F-46DA-9B9F-B75AF05E1EBA}"/>
    <cellStyle name="Normal 6 8 5 2 8" xfId="6994" xr:uid="{95B59E4B-3EA3-4884-BA8D-83DDCC656CD3}"/>
    <cellStyle name="Normal 6 8 5 2 9" xfId="8518" xr:uid="{52C5B7D4-999E-4D5D-B717-AFCA23DBD5D3}"/>
    <cellStyle name="Normal 6 8 5 3" xfId="1606" xr:uid="{E9187BD7-A923-408F-AD5D-9BEC60621BB0}"/>
    <cellStyle name="Normal 6 8 5 3 2" xfId="4328" xr:uid="{67B2C8D5-66BD-44D5-8BC4-BCF341DD244B}"/>
    <cellStyle name="Normal 6 8 5 3 2 2" xfId="9774" xr:uid="{EF93B1B0-D238-4A3C-9D7F-E4BE1F667B0C}"/>
    <cellStyle name="Normal 6 8 5 3 3" xfId="3318" xr:uid="{DD9AB55F-6102-4F68-ACF0-FAD95360A7D5}"/>
    <cellStyle name="Normal 6 8 5 3 4" xfId="7252" xr:uid="{867190DB-83C2-4411-8490-4F795F0C4B03}"/>
    <cellStyle name="Normal 6 8 5 3 5" xfId="8766" xr:uid="{41495C27-93D6-49DE-BAD8-7A51F9A1E0F2}"/>
    <cellStyle name="Normal 6 8 5 3 6" xfId="12386" xr:uid="{6D0CF1B2-4E8A-49CD-B56B-84F4BD3E7209}"/>
    <cellStyle name="Normal 6 8 5 3 7" xfId="14131" xr:uid="{791728BB-32DF-42E5-82AC-3F28EB15AD3D}"/>
    <cellStyle name="Normal 6 8 5 4" xfId="2114" xr:uid="{C2B54869-8E76-485E-99E1-C8095F066F20}"/>
    <cellStyle name="Normal 6 8 5 4 2" xfId="3834" xr:uid="{F8D660AD-AF7B-4DED-AE44-3C5777F67200}"/>
    <cellStyle name="Normal 6 8 5 4 3" xfId="7760" xr:uid="{816EB178-A905-4437-BE7C-28E87FDFB511}"/>
    <cellStyle name="Normal 6 8 5 4 4" xfId="9278" xr:uid="{E409C533-D22A-45DB-82AC-51D14359A75A}"/>
    <cellStyle name="Normal 6 8 5 4 5" xfId="12892" xr:uid="{187B1FF0-1A9F-4B67-AE73-317BD5A3FEDC}"/>
    <cellStyle name="Normal 6 8 5 4 6" xfId="14637" xr:uid="{86781F4F-CAA2-46A7-B022-2BB604D87ADF}"/>
    <cellStyle name="Normal 6 8 5 5" xfId="4820" xr:uid="{2F4B99B8-C1D2-44A4-938C-3BE5C05B6D88}"/>
    <cellStyle name="Normal 6 8 5 5 2" xfId="10276" xr:uid="{49935384-2F9B-4D9C-8E2C-CC479516D47B}"/>
    <cellStyle name="Normal 6 8 5 6" xfId="5304" xr:uid="{D602A29C-D93F-4B1B-9366-2E0066A381AB}"/>
    <cellStyle name="Normal 6 8 5 6 2" xfId="10778" xr:uid="{62A0F4D5-2C5A-48D6-AE45-E06D3C562856}"/>
    <cellStyle name="Normal 6 8 5 7" xfId="5806" xr:uid="{A5EEF3E8-E91F-4CDF-BA86-176598D0EA40}"/>
    <cellStyle name="Normal 6 8 5 7 2" xfId="11280" xr:uid="{2A8B4B00-14D2-4B2B-ADCE-E03958AC7207}"/>
    <cellStyle name="Normal 6 8 5 8" xfId="2836" xr:uid="{369FEA4E-9320-410A-A4B1-93D148A1C87E}"/>
    <cellStyle name="Normal 6 8 5 9" xfId="6746" xr:uid="{00C92E6F-5651-482D-A0E8-8A286FF31A26}"/>
    <cellStyle name="Normal 6 8 6" xfId="1224" xr:uid="{1D8D64B6-2105-4B21-8E5A-FD3AB41A6BD9}"/>
    <cellStyle name="Normal 6 8 6 10" xfId="12004" xr:uid="{DAA5E217-378C-41B0-9622-670A1C05F8A9}"/>
    <cellStyle name="Normal 6 8 6 11" xfId="13749" xr:uid="{39075C92-C2EF-4ACD-B748-1014A702FC58}"/>
    <cellStyle name="Normal 6 8 6 2" xfId="1730" xr:uid="{6180FAAD-0E49-4836-BB62-D0A0FD1AA6C0}"/>
    <cellStyle name="Normal 6 8 6 2 2" xfId="4452" xr:uid="{843BD240-767C-4E6A-99E8-5F91C1928D3E}"/>
    <cellStyle name="Normal 6 8 6 2 2 2" xfId="9898" xr:uid="{A2FDA220-BD87-4D7A-B026-AE68BDD3B2C2}"/>
    <cellStyle name="Normal 6 8 6 2 3" xfId="3442" xr:uid="{8D5550E5-9B9F-41D2-AE52-F7CD65371B11}"/>
    <cellStyle name="Normal 6 8 6 2 4" xfId="7376" xr:uid="{B20CA830-CE14-4FB0-992E-FC050970C4A5}"/>
    <cellStyle name="Normal 6 8 6 2 5" xfId="8890" xr:uid="{F3627123-79D1-4755-88BB-78AB7F34A8F4}"/>
    <cellStyle name="Normal 6 8 6 2 6" xfId="12510" xr:uid="{E5E702FC-8270-42D1-85A0-3E773508D644}"/>
    <cellStyle name="Normal 6 8 6 2 7" xfId="14255" xr:uid="{3FEECE78-CCC3-44A0-94A8-7032C44457B9}"/>
    <cellStyle name="Normal 6 8 6 3" xfId="2238" xr:uid="{7A086999-81BD-4172-87A4-7ABE2942F250}"/>
    <cellStyle name="Normal 6 8 6 3 2" xfId="3958" xr:uid="{FD7AE84C-EBC4-47FE-B8B7-DCE0698173B3}"/>
    <cellStyle name="Normal 6 8 6 3 3" xfId="7884" xr:uid="{E050ACC9-6750-4DBB-91DF-A6E0796D5E29}"/>
    <cellStyle name="Normal 6 8 6 3 4" xfId="9402" xr:uid="{08865B24-441E-4AAF-8699-2142E2536FF3}"/>
    <cellStyle name="Normal 6 8 6 3 5" xfId="13016" xr:uid="{ACCB6279-F9F5-4017-BA1C-B4EC5F5BACBF}"/>
    <cellStyle name="Normal 6 8 6 3 6" xfId="14761" xr:uid="{D39C8FBC-F919-4741-A8D6-26CC276C1322}"/>
    <cellStyle name="Normal 6 8 6 4" xfId="4936" xr:uid="{05A7C72D-B49C-4DA7-8176-6CAB3E4697EB}"/>
    <cellStyle name="Normal 6 8 6 4 2" xfId="10400" xr:uid="{B5C9E621-70E2-49F0-8ACB-0BB3F887BD49}"/>
    <cellStyle name="Normal 6 8 6 5" xfId="5428" xr:uid="{C1E07063-EC7E-47AD-9917-C3B3BE6E994C}"/>
    <cellStyle name="Normal 6 8 6 5 2" xfId="10902" xr:uid="{ACE51C34-F631-40D9-BFE2-198E1299841E}"/>
    <cellStyle name="Normal 6 8 6 6" xfId="5930" xr:uid="{91AEC711-B4C3-4861-B8B3-DFDD4DDBDBB5}"/>
    <cellStyle name="Normal 6 8 6 6 2" xfId="11404" xr:uid="{45C92F6F-3F56-47FF-B94E-05215993E129}"/>
    <cellStyle name="Normal 6 8 6 7" xfId="2954" xr:uid="{98B00AF7-293F-4DF6-8343-4C3399D0EF6D}"/>
    <cellStyle name="Normal 6 8 6 8" xfId="6870" xr:uid="{8A4173C5-8775-44EA-BFE1-72BE3EFE97C4}"/>
    <cellStyle name="Normal 6 8 6 9" xfId="8394" xr:uid="{DC53D98C-D5CF-4933-9ABB-426AE58D5526}"/>
    <cellStyle name="Normal 6 8 7" xfId="1482" xr:uid="{0B3E1A78-A728-473D-8ACD-F5BD83384D2C}"/>
    <cellStyle name="Normal 6 8 7 2" xfId="4206" xr:uid="{F85FD2A2-ABE4-4393-B3CC-F9507C996AA1}"/>
    <cellStyle name="Normal 6 8 7 2 2" xfId="9650" xr:uid="{8DEA54D9-994B-41B4-BC8F-1A807C3AFDE2}"/>
    <cellStyle name="Normal 6 8 7 3" xfId="3196" xr:uid="{91CC0B22-3897-419B-B4CD-23827CFD8BE5}"/>
    <cellStyle name="Normal 6 8 7 4" xfId="7128" xr:uid="{EE3F0706-8FB4-45CE-9D3F-4753FB00FB57}"/>
    <cellStyle name="Normal 6 8 7 5" xfId="8642" xr:uid="{D7F88DB5-441D-4CDA-979D-CA3433B29401}"/>
    <cellStyle name="Normal 6 8 7 6" xfId="12262" xr:uid="{9149D80F-9A33-42A9-8248-C463CC23FCAD}"/>
    <cellStyle name="Normal 6 8 7 7" xfId="14007" xr:uid="{84878296-2FF6-4883-933F-1ED02B1BF264}"/>
    <cellStyle name="Normal 6 8 8" xfId="1990" xr:uid="{66ECA617-46DB-4294-9226-AB124863216F}"/>
    <cellStyle name="Normal 6 8 8 2" xfId="3710" xr:uid="{670C72A8-2B83-4BB6-923D-EACEC89B258D}"/>
    <cellStyle name="Normal 6 8 8 3" xfId="7636" xr:uid="{EE4B9FA2-210D-4D9F-A9F4-45FB6439E170}"/>
    <cellStyle name="Normal 6 8 8 4" xfId="9154" xr:uid="{633CB006-4B3D-4799-BD10-C55D597BD76B}"/>
    <cellStyle name="Normal 6 8 8 5" xfId="12768" xr:uid="{9DC66834-CC8C-496B-BD42-C43369090781}"/>
    <cellStyle name="Normal 6 8 8 6" xfId="14513" xr:uid="{37BE4388-7167-4E5C-8A04-2776DAA75836}"/>
    <cellStyle name="Normal 6 8 9" xfId="4706" xr:uid="{8C13660E-DE2D-4F2F-99EE-9F35C2F15E74}"/>
    <cellStyle name="Normal 6 8 9 2" xfId="10152" xr:uid="{09BD2941-21AF-4034-8D96-4BE97968A182}"/>
    <cellStyle name="Normal 6 9" xfId="982" xr:uid="{6D3DCB58-8278-43FE-88CA-4CB64F258B2A}"/>
    <cellStyle name="Normal 7" xfId="168" xr:uid="{00000000-0005-0000-0000-000075010000}"/>
    <cellStyle name="Normal 7 2" xfId="527" xr:uid="{00DF1B46-6329-463C-B924-DE2C3F02919E}"/>
    <cellStyle name="Normal 7 2 2" xfId="850" xr:uid="{EC013982-C9B7-4016-B059-773F5DE7C589}"/>
    <cellStyle name="Normal 7 3" xfId="6494" xr:uid="{765A02C3-374C-4AB5-8EBA-BCE728B0C6A9}"/>
    <cellStyle name="Normal 7 4" xfId="526" xr:uid="{FD2B755E-C24A-4BCC-A166-F6E812F9FA70}"/>
    <cellStyle name="Normal 8" xfId="215" xr:uid="{00000000-0005-0000-0000-000076010000}"/>
    <cellStyle name="Normal 8 2" xfId="338" xr:uid="{00000000-0005-0000-0000-000077010000}"/>
    <cellStyle name="Normal 8 2 2" xfId="390" xr:uid="{00000000-0005-0000-0000-000078010000}"/>
    <cellStyle name="Normal 8 2 2 2" xfId="6365" xr:uid="{2A10BB07-085E-426D-926C-50F41E7717FE}"/>
    <cellStyle name="Normal 8 2 2 3" xfId="13344" xr:uid="{B380C4D3-58AF-4B5F-904D-47257C415538}"/>
    <cellStyle name="Normal 8 2 2 4" xfId="2598" xr:uid="{EE304F48-6304-4CC4-8EE2-F572AFC67ABC}"/>
    <cellStyle name="Normal 8 2 3" xfId="441" xr:uid="{00000000-0005-0000-0000-000079010000}"/>
    <cellStyle name="Normal 8 2 3 2" xfId="6416" xr:uid="{CA230F26-0EAD-45D4-A9FE-134E09310F60}"/>
    <cellStyle name="Normal 8 2 3 3" xfId="13395" xr:uid="{5181BC2F-2910-4EE4-A61A-D7693B9DC71A}"/>
    <cellStyle name="Normal 8 2 3 4" xfId="2649" xr:uid="{5549D07C-6C2C-4625-A1BE-B79DDB5D9265}"/>
    <cellStyle name="Normal 8 2 4" xfId="498" xr:uid="{00000000-0005-0000-0000-00007A010000}"/>
    <cellStyle name="Normal 8 2 4 2" xfId="6472" xr:uid="{BB214AD6-8F23-4676-BE70-ED8E17CB1C6A}"/>
    <cellStyle name="Normal 8 2 4 3" xfId="13451" xr:uid="{7AB470B4-5CC5-420C-933B-64BF6CE99D1A}"/>
    <cellStyle name="Normal 8 2 4 4" xfId="2705" xr:uid="{F459B973-B5E2-4BA2-BB34-A24D8D20495E}"/>
    <cellStyle name="Normal 8 2 5" xfId="2546" xr:uid="{CE83230A-5842-4853-9C78-ECAE57FC047E}"/>
    <cellStyle name="Normal 8 2 5 2" xfId="6587" xr:uid="{0EC64F80-B6F1-41A6-8473-9838B858AEEC}"/>
    <cellStyle name="Normal 8 2 6" xfId="6314" xr:uid="{42A4BF42-3844-4BFE-A6D9-475D7DC90BDF}"/>
    <cellStyle name="Normal 8 2 7" xfId="11696" xr:uid="{D5312333-BE9B-4029-B495-D3916820E1FF}"/>
    <cellStyle name="Normal 8 2 8" xfId="13293" xr:uid="{9EB78EF2-62AA-4C34-8B4C-7618745DEA12}"/>
    <cellStyle name="Normal 8 2 9" xfId="851" xr:uid="{F302E504-390E-4D91-B166-B9508E383BD4}"/>
    <cellStyle name="Normal 8 3" xfId="361" xr:uid="{00000000-0005-0000-0000-00007B010000}"/>
    <cellStyle name="Normal 8 3 2" xfId="6337" xr:uid="{7F889B8E-AD5B-4E47-B7F9-795E5778EA57}"/>
    <cellStyle name="Normal 8 3 3" xfId="11668" xr:uid="{EE7B1EFC-D05A-4D17-BDED-8EAD742DC194}"/>
    <cellStyle name="Normal 8 3 4" xfId="13316" xr:uid="{80A0C1A1-621B-4E18-87F0-523C3231DF42}"/>
    <cellStyle name="Normal 8 3 5" xfId="2569" xr:uid="{3C8FB482-0842-447A-A31F-C73BBDD40467}"/>
    <cellStyle name="Normal 8 4" xfId="413" xr:uid="{00000000-0005-0000-0000-00007C010000}"/>
    <cellStyle name="Normal 8 4 2" xfId="6388" xr:uid="{7CEC98BD-722C-4AEC-AC1C-93E4F0F62D71}"/>
    <cellStyle name="Normal 8 4 3" xfId="13367" xr:uid="{9F475BBC-B7ED-48EF-97CB-57BDC5D76579}"/>
    <cellStyle name="Normal 8 4 4" xfId="2621" xr:uid="{B7F14041-4D8F-44DA-8A5D-8C596E2087FA}"/>
    <cellStyle name="Normal 8 5" xfId="469" xr:uid="{00000000-0005-0000-0000-00007D010000}"/>
    <cellStyle name="Normal 8 5 2" xfId="6444" xr:uid="{F15174B2-D6A3-4A69-8737-2A584103F7FB}"/>
    <cellStyle name="Normal 8 5 3" xfId="13423" xr:uid="{07C8D8E0-A936-400A-8E94-60C9ED2FE5E4}"/>
    <cellStyle name="Normal 8 5 4" xfId="2677" xr:uid="{25C79DDF-4CC6-4EA0-9754-9DA9279046AD}"/>
    <cellStyle name="Normal 8 6" xfId="2497" xr:uid="{8123EF63-9E5B-4064-9E5C-CDC74158DAFA}"/>
    <cellStyle name="Normal 8 6 2" xfId="6495" xr:uid="{5BDD16C2-D089-4646-A69B-E7B2B758563D}"/>
    <cellStyle name="Normal 8 7" xfId="6286" xr:uid="{7C0BB536-14F9-48A6-9FFF-D582DC30A8E0}"/>
    <cellStyle name="Normal 8 8" xfId="13265" xr:uid="{E0C17278-E5AF-4207-B6DF-EE4F1D3334F7}"/>
    <cellStyle name="Normal 8 9" xfId="528" xr:uid="{917D5EF7-067F-41C3-9832-B5D698562B5B}"/>
    <cellStyle name="Normal 9" xfId="219" xr:uid="{00000000-0005-0000-0000-00007E010000}"/>
    <cellStyle name="Normal 9 2" xfId="365" xr:uid="{00000000-0005-0000-0000-00007F010000}"/>
    <cellStyle name="Normal 9 2 2" xfId="2573" xr:uid="{CB8DBFB0-E099-4446-8573-79854E5457E1}"/>
    <cellStyle name="Normal 9 2 2 2" xfId="6588" xr:uid="{559244A4-C6E5-401B-BDBA-E2C3FA7F1B87}"/>
    <cellStyle name="Normal 9 2 3" xfId="6340" xr:uid="{6A69688E-1123-42D9-88E6-2B3697916FAA}"/>
    <cellStyle name="Normal 9 2 4" xfId="11671" xr:uid="{149A807C-9286-4312-8A4F-A7934EF0220E}"/>
    <cellStyle name="Normal 9 2 5" xfId="13319" xr:uid="{365086C0-41FA-4852-91D8-019E16AA8440}"/>
    <cellStyle name="Normal 9 2 6" xfId="852" xr:uid="{AF720FF0-6D3B-48DC-B409-61B8B3821F56}"/>
    <cellStyle name="Normal 9 3" xfId="416" xr:uid="{00000000-0005-0000-0000-000080010000}"/>
    <cellStyle name="Normal 9 3 2" xfId="6391" xr:uid="{6604A151-08C3-4D23-8226-07854FFF1107}"/>
    <cellStyle name="Normal 9 3 3" xfId="13370" xr:uid="{E17F0E0A-02A8-4844-8D8D-C18F7F857EB0}"/>
    <cellStyle name="Normal 9 3 4" xfId="2624" xr:uid="{F4552745-7DA2-4ADC-BBEC-6F983996252A}"/>
    <cellStyle name="Normal 9 4" xfId="473" xr:uid="{00000000-0005-0000-0000-000081010000}"/>
    <cellStyle name="Normal 9 4 2" xfId="6447" xr:uid="{91437718-CFCA-434C-AA0A-DBF84A7E7E3E}"/>
    <cellStyle name="Normal 9 4 3" xfId="13426" xr:uid="{2A075FA4-3CE0-4604-BCE5-CFD1F5A1BE1D}"/>
    <cellStyle name="Normal 9 4 4" xfId="2680" xr:uid="{BB3D4834-FF06-4AA9-B8F8-D750712409DB}"/>
    <cellStyle name="Normal 9 5" xfId="2501" xr:uid="{39A2ED0F-8696-4353-AFDC-AA602C1F0EDF}"/>
    <cellStyle name="Normal 9 5 2" xfId="6496" xr:uid="{806C501E-41C1-4509-9193-1A9B8FF5797D}"/>
    <cellStyle name="Normal 9 6" xfId="6289" xr:uid="{B8BCC288-0A69-4611-8F56-1AB53BA0B2BB}"/>
    <cellStyle name="Normal 9 7" xfId="13268" xr:uid="{A1D9D97B-9195-4198-869E-533CD377F784}"/>
    <cellStyle name="Normal 9 8" xfId="529" xr:uid="{AD4A021D-F03F-4140-8FAF-ED9B6D807F3D}"/>
    <cellStyle name="Note 10" xfId="853" xr:uid="{A50C17CD-9B5D-4425-8B36-9A1D8E624096}"/>
    <cellStyle name="Note 11" xfId="854" xr:uid="{6BF32CA5-E4AC-4982-A69D-909510EB223F}"/>
    <cellStyle name="Note 2" xfId="73" xr:uid="{00000000-0005-0000-0000-000082010000}"/>
    <cellStyle name="Note 2 2" xfId="148" xr:uid="{00000000-0005-0000-0000-000083010000}"/>
    <cellStyle name="Note 2 2 2" xfId="318" xr:uid="{00000000-0005-0000-0000-000084010000}"/>
    <cellStyle name="Note 2 2 2 2" xfId="2539" xr:uid="{B396A278-42B1-4DAD-B6A8-32A0B5E7D084}"/>
    <cellStyle name="Note 2 2 2 2 2" xfId="6590" xr:uid="{89218667-93E2-44F4-915C-DD98843A89AF}"/>
    <cellStyle name="Note 2 2 2 3" xfId="856" xr:uid="{2DFCA849-3246-450F-BC31-AF308E4DF6D5}"/>
    <cellStyle name="Note 2 3" xfId="264" xr:uid="{00000000-0005-0000-0000-000085010000}"/>
    <cellStyle name="Note 2 3 2" xfId="2527" xr:uid="{C6693CFA-47D7-4783-AC13-BC8BFFB7AF31}"/>
    <cellStyle name="Note 2 3 2 2" xfId="6589" xr:uid="{FA1BBFBC-DADF-46A0-9EF4-233407BDA69F}"/>
    <cellStyle name="Note 2 3 3" xfId="855" xr:uid="{53C6B756-E732-4A57-A5C6-86800F7DEB94}"/>
    <cellStyle name="Note 2_Allocators" xfId="857" xr:uid="{7B5477D5-E5DB-4B77-85C9-0F4F17E329F7}"/>
    <cellStyle name="Note 3" xfId="74" xr:uid="{00000000-0005-0000-0000-000086010000}"/>
    <cellStyle name="Note 3 2" xfId="149" xr:uid="{00000000-0005-0000-0000-000087010000}"/>
    <cellStyle name="Note 3 2 2" xfId="319" xr:uid="{00000000-0005-0000-0000-000088010000}"/>
    <cellStyle name="Note 3 2 2 2" xfId="2540" xr:uid="{1C4F0BDA-7547-4A5F-A814-009C0CC4A0C5}"/>
    <cellStyle name="Note 3 2 2 2 2" xfId="6591" xr:uid="{D1E80F86-94B6-4638-B658-E1DA1BE96EFE}"/>
    <cellStyle name="Note 3 2 2 3" xfId="859" xr:uid="{3669FCF7-F6D7-41F1-A2D4-33B4432377E8}"/>
    <cellStyle name="Note 3 3" xfId="265" xr:uid="{00000000-0005-0000-0000-000089010000}"/>
    <cellStyle name="Note 3 3 2" xfId="2528" xr:uid="{6E944212-146A-4FBA-92CC-A6651EABE6FF}"/>
    <cellStyle name="Note 3 3 2 2" xfId="6592" xr:uid="{A51CD684-FC34-462A-AA70-492D47186461}"/>
    <cellStyle name="Note 3 3 3" xfId="860" xr:uid="{7E01B1DF-202C-4F13-B84E-A8EB6FE23078}"/>
    <cellStyle name="Note 3 4" xfId="858" xr:uid="{9B3C85F8-3C85-4A0B-83E4-A548E28B0E6A}"/>
    <cellStyle name="Note 3_Allocators" xfId="861" xr:uid="{D525322F-FE5C-4330-8FB6-20341E4FA068}"/>
    <cellStyle name="Note 4" xfId="75" xr:uid="{00000000-0005-0000-0000-00008A010000}"/>
    <cellStyle name="Note 4 2" xfId="150" xr:uid="{00000000-0005-0000-0000-00008B010000}"/>
    <cellStyle name="Note 4 2 2" xfId="320" xr:uid="{00000000-0005-0000-0000-00008C010000}"/>
    <cellStyle name="Note 4 2 2 2" xfId="2541" xr:uid="{228A111E-07E7-4DBD-A153-4FEB69E635F0}"/>
    <cellStyle name="Note 4 2 2 2 2" xfId="6594" xr:uid="{036F5DC4-4F83-4A66-966F-BBC4AB0DBA65}"/>
    <cellStyle name="Note 4 2 2 3" xfId="863" xr:uid="{7D465020-88A9-48A3-A159-2263584BB6B6}"/>
    <cellStyle name="Note 4 3" xfId="266" xr:uid="{00000000-0005-0000-0000-00008D010000}"/>
    <cellStyle name="Note 4 3 2" xfId="2529" xr:uid="{4DC021A0-80F0-4BF5-897F-F0C09DA59F52}"/>
    <cellStyle name="Note 4 3 2 2" xfId="6593" xr:uid="{21D99CF4-DFA7-4D1E-A9C5-0E49BA5EFB86}"/>
    <cellStyle name="Note 4 3 3" xfId="862" xr:uid="{FFF2FDAD-D9CC-430C-87CE-402665E500BB}"/>
    <cellStyle name="Note 4_Allocators" xfId="864" xr:uid="{1BB4B959-B510-48F8-9FC5-201F95256D61}"/>
    <cellStyle name="Note 5" xfId="72" xr:uid="{00000000-0005-0000-0000-00008E010000}"/>
    <cellStyle name="Note 5 2" xfId="263" xr:uid="{00000000-0005-0000-0000-00008F010000}"/>
    <cellStyle name="Note 5 2 2" xfId="2526" xr:uid="{0C51A01E-C041-41D4-97E6-07738A554A60}"/>
    <cellStyle name="Note 5 2 2 2" xfId="6595" xr:uid="{07190F72-2ED9-405B-87C3-BFF12E69F1D3}"/>
    <cellStyle name="Note 5 2 3" xfId="865" xr:uid="{1DA63740-63FF-432A-96C4-5F556A19A918}"/>
    <cellStyle name="Note 5 3" xfId="6232" xr:uid="{C4C527DB-760D-491C-AD9E-3CBCB62D859F}"/>
    <cellStyle name="Note 6" xfId="216" xr:uid="{00000000-0005-0000-0000-000090010000}"/>
    <cellStyle name="Note 6 10" xfId="530" xr:uid="{B49452EE-536B-44F4-BDC2-1115CAEA8F51}"/>
    <cellStyle name="Note 6 2" xfId="339" xr:uid="{00000000-0005-0000-0000-000091010000}"/>
    <cellStyle name="Note 6 2 2" xfId="391" xr:uid="{00000000-0005-0000-0000-000092010000}"/>
    <cellStyle name="Note 6 2 2 2" xfId="6366" xr:uid="{C20A3FC5-1294-49E1-BA12-9487D21CCBC6}"/>
    <cellStyle name="Note 6 2 2 3" xfId="11697" xr:uid="{675D8F30-AE64-4BF2-BA9D-334D400B76F4}"/>
    <cellStyle name="Note 6 2 2 4" xfId="13345" xr:uid="{A478DE15-BCBB-4C87-BD53-024BC27FD018}"/>
    <cellStyle name="Note 6 2 2 5" xfId="2599" xr:uid="{4020C67F-B277-477F-8DA6-24253747DB4F}"/>
    <cellStyle name="Note 6 2 3" xfId="442" xr:uid="{00000000-0005-0000-0000-000093010000}"/>
    <cellStyle name="Note 6 2 3 2" xfId="6417" xr:uid="{5CADA53C-A6F7-4B88-AE89-DB62CE7F3898}"/>
    <cellStyle name="Note 6 2 3 3" xfId="13396" xr:uid="{FF7663DE-A8D5-4811-BED0-C7D158F6F4A5}"/>
    <cellStyle name="Note 6 2 3 4" xfId="2650" xr:uid="{382C5565-46F8-44B6-A000-CDAF89234A9C}"/>
    <cellStyle name="Note 6 2 4" xfId="499" xr:uid="{00000000-0005-0000-0000-000094010000}"/>
    <cellStyle name="Note 6 2 4 2" xfId="6473" xr:uid="{53DA4FEA-597B-417B-A930-A19D9AC7D4B0}"/>
    <cellStyle name="Note 6 2 4 3" xfId="13452" xr:uid="{5D40E82A-0F0D-4DF5-AA02-EA6C06A412F8}"/>
    <cellStyle name="Note 6 2 4 4" xfId="2706" xr:uid="{199F0AA6-1DA8-4E1B-8B72-CB1BB18A84AE}"/>
    <cellStyle name="Note 6 2 5" xfId="2547" xr:uid="{0ACF6F00-C002-4392-9598-2F6E87884909}"/>
    <cellStyle name="Note 6 2 5 2" xfId="6597" xr:uid="{CBBDFEC2-C03B-4A89-99F7-30E6518C1C26}"/>
    <cellStyle name="Note 6 2 6" xfId="6315" xr:uid="{0378F3CE-F616-4D61-A24B-80B67F3A4C77}"/>
    <cellStyle name="Note 6 2 7" xfId="13294" xr:uid="{BCAB5991-E3B7-4D67-AD5B-80CECEF82091}"/>
    <cellStyle name="Note 6 2 8" xfId="867" xr:uid="{195378A8-5D4F-4064-8A44-7A08E5A638CC}"/>
    <cellStyle name="Note 6 3" xfId="362" xr:uid="{00000000-0005-0000-0000-000095010000}"/>
    <cellStyle name="Note 6 3 2" xfId="2570" xr:uid="{B6403F9B-CDA8-4BAB-87DD-5995FAEE0D40}"/>
    <cellStyle name="Note 6 3 2 2" xfId="6596" xr:uid="{E809D1D3-79CE-4A10-AF53-63E51F79201C}"/>
    <cellStyle name="Note 6 3 3" xfId="6338" xr:uid="{D68A8503-2A20-4348-B471-7253BBA85CD6}"/>
    <cellStyle name="Note 6 3 4" xfId="11669" xr:uid="{DC69B97D-C1BD-4B6E-806A-3B8EE5DB3F2D}"/>
    <cellStyle name="Note 6 3 5" xfId="13317" xr:uid="{75203090-E899-4493-8A05-2D578D02B657}"/>
    <cellStyle name="Note 6 3 6" xfId="866" xr:uid="{5FB93F15-655B-4584-BFB8-447ADAF93E07}"/>
    <cellStyle name="Note 6 4" xfId="414" xr:uid="{00000000-0005-0000-0000-000096010000}"/>
    <cellStyle name="Note 6 4 2" xfId="6389" xr:uid="{9EFE123F-087B-4AAE-B7E2-6286B84DC691}"/>
    <cellStyle name="Note 6 4 3" xfId="13368" xr:uid="{D8AA6713-20CE-4A8C-AB36-DEA687CCC12B}"/>
    <cellStyle name="Note 6 4 4" xfId="2622" xr:uid="{0C721A72-D2AC-45E7-A38A-85739CBC0F2B}"/>
    <cellStyle name="Note 6 5" xfId="470" xr:uid="{00000000-0005-0000-0000-000097010000}"/>
    <cellStyle name="Note 6 5 2" xfId="6445" xr:uid="{4FB4AB78-E10F-43BD-8585-82F0CE4196F9}"/>
    <cellStyle name="Note 6 5 3" xfId="13424" xr:uid="{A17169CA-A07B-4F40-98BE-1D8904D68D9B}"/>
    <cellStyle name="Note 6 5 4" xfId="2678" xr:uid="{F012E522-F035-47D8-96C3-C67EB2914185}"/>
    <cellStyle name="Note 6 6" xfId="2498" xr:uid="{E8C77D1D-0ABA-460E-A042-2539B7A3E370}"/>
    <cellStyle name="Note 6 6 2" xfId="6497" xr:uid="{325EE906-4389-4862-A445-FE5041260136}"/>
    <cellStyle name="Note 6 6 3" xfId="13465" xr:uid="{A7D304CB-6E4F-413C-881E-68A6ACA19A8F}"/>
    <cellStyle name="Note 6 7" xfId="6287" xr:uid="{A959F9CF-A3F7-4FC6-9D69-0D7AF3A2976E}"/>
    <cellStyle name="Note 6 8" xfId="11720" xr:uid="{3C65EBA1-3B14-43EE-895F-D3C5EDD12D13}"/>
    <cellStyle name="Note 6 9" xfId="13266" xr:uid="{45AB927E-AC2C-4559-8E9D-F7364AC34267}"/>
    <cellStyle name="Note 6_Allocators" xfId="868" xr:uid="{4E80BD99-DA63-46AB-A4E4-89EB72515736}"/>
    <cellStyle name="Note 7" xfId="220" xr:uid="{00000000-0005-0000-0000-000098010000}"/>
    <cellStyle name="Note 7 2" xfId="366" xr:uid="{00000000-0005-0000-0000-000099010000}"/>
    <cellStyle name="Note 7 2 2" xfId="2574" xr:uid="{27D99B72-3655-40DA-8060-F8BC6864CEC7}"/>
    <cellStyle name="Note 7 2 2 2" xfId="6599" xr:uid="{8B084642-E230-452E-8CAD-9D68D8DE63DE}"/>
    <cellStyle name="Note 7 2 3" xfId="6341" xr:uid="{71432027-372A-4E62-8F0F-019343BC86FB}"/>
    <cellStyle name="Note 7 2 4" xfId="13320" xr:uid="{80B05307-1916-48AF-AE37-DB94B2DED2F5}"/>
    <cellStyle name="Note 7 2 5" xfId="870" xr:uid="{C0766F96-2F21-4FA2-9C89-6B233913CF13}"/>
    <cellStyle name="Note 7 3" xfId="417" xr:uid="{00000000-0005-0000-0000-00009A010000}"/>
    <cellStyle name="Note 7 3 2" xfId="6392" xr:uid="{87C25867-3D44-458F-BB9D-7E53A9A48418}"/>
    <cellStyle name="Note 7 3 3" xfId="11672" xr:uid="{8AF284C5-8266-4E82-83F4-E5CF663E1234}"/>
    <cellStyle name="Note 7 3 4" xfId="13371" xr:uid="{E8DE265E-E8E0-4B76-A940-517D416F31B7}"/>
    <cellStyle name="Note 7 3 5" xfId="2625" xr:uid="{CA24BEC9-6C57-479A-8F11-6A37576C2BA9}"/>
    <cellStyle name="Note 7 4" xfId="474" xr:uid="{00000000-0005-0000-0000-00009B010000}"/>
    <cellStyle name="Note 7 4 2" xfId="6448" xr:uid="{BF9B98B6-2742-4D25-988C-6CC186511B2B}"/>
    <cellStyle name="Note 7 4 3" xfId="13427" xr:uid="{20609623-557A-4C3C-A91B-58FBF962CE12}"/>
    <cellStyle name="Note 7 4 4" xfId="2681" xr:uid="{BEEE64BA-798B-469C-B47C-C9B142D04C32}"/>
    <cellStyle name="Note 7 5" xfId="2502" xr:uid="{532BBA09-5DD2-4F98-8760-A4EE17BD2B60}"/>
    <cellStyle name="Note 7 5 2" xfId="6598" xr:uid="{CAFB1AD4-CDD1-40AB-A865-8366488CA378}"/>
    <cellStyle name="Note 7 6" xfId="6290" xr:uid="{44D9A55D-F846-4AF2-B6A4-6ED2BC285DF5}"/>
    <cellStyle name="Note 7 7" xfId="13269" xr:uid="{33975550-4DEE-4D0E-9934-7C23BA13F506}"/>
    <cellStyle name="Note 7 8" xfId="869" xr:uid="{788EC160-AAE2-48D3-BE6C-83F80B1009F8}"/>
    <cellStyle name="Note 8" xfId="445" xr:uid="{00000000-0005-0000-0000-00009C010000}"/>
    <cellStyle name="Note 8 2" xfId="2653" xr:uid="{48EA9183-9F01-42F1-BC81-753C6E588550}"/>
    <cellStyle name="Note 8 2 2" xfId="6600" xr:uid="{2E3092D9-1CFB-4C65-8F1D-270D23A1F209}"/>
    <cellStyle name="Note 8 3" xfId="6420" xr:uid="{4FEC25C7-BB24-4B4A-85B0-33EBFED23A55}"/>
    <cellStyle name="Note 8 4" xfId="13399" xr:uid="{ED9B9B4E-2B87-4073-9B06-182E5D26087D}"/>
    <cellStyle name="Note 8 5" xfId="871" xr:uid="{03E0E794-2C0D-49C8-9123-E3E260362B5A}"/>
    <cellStyle name="Note 9" xfId="872" xr:uid="{325AEF16-1B73-4281-919F-8C46EFED2A55}"/>
    <cellStyle name="nPlosion" xfId="873" xr:uid="{FE24FA78-8ED8-474D-A0B4-4B72CC5FA5DA}"/>
    <cellStyle name="nvision" xfId="874" xr:uid="{EABA0EA5-B3C9-4E0D-BCC3-254C2EDD622F}"/>
    <cellStyle name="Output" xfId="184" builtinId="21" customBuiltin="1"/>
    <cellStyle name="Output 2" xfId="76" xr:uid="{00000000-0005-0000-0000-00009E010000}"/>
    <cellStyle name="Output 3" xfId="875" xr:uid="{B7B4A9FA-7C5C-4F35-BBD9-B0C83181803A}"/>
    <cellStyle name="Output 4" xfId="876" xr:uid="{F6166E8A-0CDE-4D6D-B3D0-82DC3D9A327B}"/>
    <cellStyle name="Output 5" xfId="877" xr:uid="{394B297D-EF5F-44C9-AB39-7811F20E7EE7}"/>
    <cellStyle name="Output 6" xfId="878" xr:uid="{D967D6AB-AEEB-4445-8244-24F9501096F0}"/>
    <cellStyle name="Output 7" xfId="6176" xr:uid="{FB81F04B-D39D-431A-9F21-193C36E87D49}"/>
    <cellStyle name="Percent" xfId="2" builtinId="5"/>
    <cellStyle name="Percent 10" xfId="879" xr:uid="{42A9121D-08B1-494B-8FE9-91FF237B862C}"/>
    <cellStyle name="Percent 11" xfId="880" xr:uid="{EE4D1CDB-750D-4A4F-866F-60D6E5819F54}"/>
    <cellStyle name="Percent 12" xfId="881" xr:uid="{F829C9FF-E95C-4281-854A-6A52C9152E25}"/>
    <cellStyle name="Percent 13" xfId="882" xr:uid="{FD82BB35-7843-412A-A3F3-8A5B41F44CB1}"/>
    <cellStyle name="Percent 13 10" xfId="5170" xr:uid="{463867F3-B644-42F2-825A-17C26A8CABA3}"/>
    <cellStyle name="Percent 13 10 2" xfId="10640" xr:uid="{D5C1488E-B23A-4DC0-ABF3-F8FC938FEACC}"/>
    <cellStyle name="Percent 13 11" xfId="5668" xr:uid="{2F78645D-2F89-4AED-846C-1EF3DC4F0DB9}"/>
    <cellStyle name="Percent 13 11 2" xfId="11142" xr:uid="{7FBFACBD-6774-4565-AF79-0C31A24B5EB5}"/>
    <cellStyle name="Percent 13 12" xfId="2712" xr:uid="{208B7651-E7A7-4CA6-8434-36C17109B07B}"/>
    <cellStyle name="Percent 13 13" xfId="6601" xr:uid="{C79CF8DB-66BD-46D8-86EA-EE1CAA5DE9CA}"/>
    <cellStyle name="Percent 13 14" xfId="8132" xr:uid="{67E27214-F86B-4A6D-87DA-01E769339832}"/>
    <cellStyle name="Percent 13 15" xfId="11742" xr:uid="{DFE9364E-9AC7-445F-9F89-2660C6011125}"/>
    <cellStyle name="Percent 13 16" xfId="13487" xr:uid="{8A139845-6807-4C23-9F48-40157E6CB4DB}"/>
    <cellStyle name="Percent 13 2" xfId="983" xr:uid="{20D7F26E-329C-489D-A6A8-81F218FCB4E4}"/>
    <cellStyle name="Percent 13 2 10" xfId="2732" xr:uid="{0416743A-3829-4B65-A3AE-2E243AB5C783}"/>
    <cellStyle name="Percent 13 2 11" xfId="6629" xr:uid="{9FFCFCBA-2313-4EA2-97B9-1928826D8497}"/>
    <cellStyle name="Percent 13 2 12" xfId="8154" xr:uid="{D131E20A-C2F5-40B4-8CF3-F129BDFC28F1}"/>
    <cellStyle name="Percent 13 2 13" xfId="11764" xr:uid="{F110673D-0E94-479A-AAF5-01E84F98E680}"/>
    <cellStyle name="Percent 13 2 14" xfId="13509" xr:uid="{A7977316-32F5-422E-AF70-1C6F8427EDE0}"/>
    <cellStyle name="Percent 13 2 2" xfId="1079" xr:uid="{EB7D384C-1282-4753-83D0-18C4448C7B40}"/>
    <cellStyle name="Percent 13 2 2 10" xfId="6725" xr:uid="{3E7B98B0-2C28-4FC2-9E2E-E5A2DA76573C}"/>
    <cellStyle name="Percent 13 2 2 11" xfId="8249" xr:uid="{CD99D77F-CB3F-4520-8CBE-C6A773CA22D9}"/>
    <cellStyle name="Percent 13 2 2 12" xfId="11859" xr:uid="{190423A8-30C4-400B-9E9B-ADE758BD6879}"/>
    <cellStyle name="Percent 13 2 2 13" xfId="13604" xr:uid="{6F3696FF-E69C-4AF5-B97D-55B2F5C73607}"/>
    <cellStyle name="Percent 13 2 2 2" xfId="1203" xr:uid="{B4C85B41-E6C9-4F8A-BD98-BEC9C3D958BF}"/>
    <cellStyle name="Percent 13 2 2 2 10" xfId="8373" xr:uid="{A4216D29-C30F-49AC-A664-0D1C0732E7E6}"/>
    <cellStyle name="Percent 13 2 2 2 11" xfId="11983" xr:uid="{BA348BCB-3FC7-4F5F-BB31-C32E2EC9F976}"/>
    <cellStyle name="Percent 13 2 2 2 12" xfId="13728" xr:uid="{FE3501AB-36F9-44E7-8519-47A1DBE4CC6A}"/>
    <cellStyle name="Percent 13 2 2 2 2" xfId="1451" xr:uid="{C6679446-7559-4503-85CE-89457BDCCB8B}"/>
    <cellStyle name="Percent 13 2 2 2 2 10" xfId="12231" xr:uid="{5CC12F03-A0FA-4163-A5FA-DB99151A159B}"/>
    <cellStyle name="Percent 13 2 2 2 2 11" xfId="13976" xr:uid="{CE5F9411-9B73-4B8E-A235-B570A00721F8}"/>
    <cellStyle name="Percent 13 2 2 2 2 2" xfId="1957" xr:uid="{7B82C31E-B8A5-4ADC-99D3-01ED3C31D7E6}"/>
    <cellStyle name="Percent 13 2 2 2 2 2 2" xfId="4679" xr:uid="{F57EDF06-C730-4D6E-9995-5CE6804A4A6E}"/>
    <cellStyle name="Percent 13 2 2 2 2 2 2 2" xfId="10125" xr:uid="{DAD00E49-94A4-40B4-B9F6-FDED35ED8978}"/>
    <cellStyle name="Percent 13 2 2 2 2 2 3" xfId="3669" xr:uid="{A1F7EB2E-5E94-4FE8-BB7A-B200793AB7FD}"/>
    <cellStyle name="Percent 13 2 2 2 2 2 4" xfId="7603" xr:uid="{8EA5E5FD-DD2D-48A4-8035-27E2B6C0E991}"/>
    <cellStyle name="Percent 13 2 2 2 2 2 5" xfId="9117" xr:uid="{B64AE285-27AD-45A8-BEBA-75B040F66039}"/>
    <cellStyle name="Percent 13 2 2 2 2 2 6" xfId="12737" xr:uid="{0BF973B4-92F3-4309-A8B5-67EBB0A16FCE}"/>
    <cellStyle name="Percent 13 2 2 2 2 2 7" xfId="14482" xr:uid="{51C39650-0B6C-485A-B539-0F30A53BDB12}"/>
    <cellStyle name="Percent 13 2 2 2 2 3" xfId="2465" xr:uid="{D1EB3BC1-C489-475C-A479-9364A54BFC59}"/>
    <cellStyle name="Percent 13 2 2 2 2 3 2" xfId="4185" xr:uid="{8764DAF3-359D-4797-AD16-2044B79C95CA}"/>
    <cellStyle name="Percent 13 2 2 2 2 3 3" xfId="8111" xr:uid="{30AABF5B-B7E5-45A8-B3EF-59B042591E80}"/>
    <cellStyle name="Percent 13 2 2 2 2 3 4" xfId="9629" xr:uid="{157D1047-513D-41E1-B206-6DD7A235346C}"/>
    <cellStyle name="Percent 13 2 2 2 2 3 5" xfId="13243" xr:uid="{FAD8C326-7DC6-4B60-B900-D3B6FC77FBDB}"/>
    <cellStyle name="Percent 13 2 2 2 2 3 6" xfId="14988" xr:uid="{3248B340-F674-4674-9C34-8DD7A532F721}"/>
    <cellStyle name="Percent 13 2 2 2 2 4" xfId="5157" xr:uid="{83CBEEA2-65CC-4A69-B0EC-FC584C6806D6}"/>
    <cellStyle name="Percent 13 2 2 2 2 4 2" xfId="10627" xr:uid="{295613C0-39D7-47EC-9A21-EB39616C1402}"/>
    <cellStyle name="Percent 13 2 2 2 2 5" xfId="5655" xr:uid="{2A62F372-4473-4FCA-B6C4-37A9945FD70E}"/>
    <cellStyle name="Percent 13 2 2 2 2 5 2" xfId="11129" xr:uid="{2840E49D-C34D-427D-9096-DA65F564C5B5}"/>
    <cellStyle name="Percent 13 2 2 2 2 6" xfId="6157" xr:uid="{2EE436AA-ED64-47F2-B45E-43747FEF3A59}"/>
    <cellStyle name="Percent 13 2 2 2 2 6 2" xfId="11631" xr:uid="{4FCEC239-0916-4D86-B982-172BE48B61E3}"/>
    <cellStyle name="Percent 13 2 2 2 2 7" xfId="3175" xr:uid="{E9ECA73E-604B-44F5-B72F-E74B50438B7B}"/>
    <cellStyle name="Percent 13 2 2 2 2 8" xfId="7097" xr:uid="{937971EA-6401-4CC0-9C9F-20C74C7D2472}"/>
    <cellStyle name="Percent 13 2 2 2 2 9" xfId="8621" xr:uid="{CE998CA0-D398-4836-9F6C-C396F7272CE4}"/>
    <cellStyle name="Percent 13 2 2 2 3" xfId="1709" xr:uid="{847ECFF5-7890-412C-A24B-67F856B48048}"/>
    <cellStyle name="Percent 13 2 2 2 3 2" xfId="4431" xr:uid="{5167265F-35CA-4F21-9327-3637591701BD}"/>
    <cellStyle name="Percent 13 2 2 2 3 2 2" xfId="9877" xr:uid="{3374D439-F707-4761-A981-64289684BE52}"/>
    <cellStyle name="Percent 13 2 2 2 3 3" xfId="3421" xr:uid="{8D585FA3-8349-4FDF-998C-BFF385E883DF}"/>
    <cellStyle name="Percent 13 2 2 2 3 4" xfId="7355" xr:uid="{6A314379-5928-418C-9562-75C109446EBB}"/>
    <cellStyle name="Percent 13 2 2 2 3 5" xfId="8869" xr:uid="{7B954F3F-43F0-42B9-B128-31AD8DF7D1D7}"/>
    <cellStyle name="Percent 13 2 2 2 3 6" xfId="12489" xr:uid="{FF662366-95D3-4E27-8BCD-0E357D1F44A8}"/>
    <cellStyle name="Percent 13 2 2 2 3 7" xfId="14234" xr:uid="{19D498B0-6FB9-4A63-AE10-1EB7EA2CA227}"/>
    <cellStyle name="Percent 13 2 2 2 4" xfId="2217" xr:uid="{F5754164-020C-4116-9292-1E76C10894F8}"/>
    <cellStyle name="Percent 13 2 2 2 4 2" xfId="3937" xr:uid="{C28AD337-0BC3-4AD4-B78B-C1C5DB6EE2F9}"/>
    <cellStyle name="Percent 13 2 2 2 4 3" xfId="7863" xr:uid="{8C098E11-7A53-4ACF-A8AA-594745950F35}"/>
    <cellStyle name="Percent 13 2 2 2 4 4" xfId="9381" xr:uid="{3C6A62ED-7612-49C4-BD37-E1D6019FEB78}"/>
    <cellStyle name="Percent 13 2 2 2 4 5" xfId="12995" xr:uid="{40B4991A-DE8C-45CB-A169-3B610593E887}"/>
    <cellStyle name="Percent 13 2 2 2 4 6" xfId="14740" xr:uid="{A9660F6D-8E54-44C9-84CB-8B91B5F854DC}"/>
    <cellStyle name="Percent 13 2 2 2 5" xfId="4917" xr:uid="{1826EB39-01AE-4E7B-B2DE-CCE173606094}"/>
    <cellStyle name="Percent 13 2 2 2 5 2" xfId="10379" xr:uid="{295E5047-9839-4075-98CB-0B8ECED718DF}"/>
    <cellStyle name="Percent 13 2 2 2 6" xfId="5407" xr:uid="{B06C1C37-8AD0-4AEC-ABA3-C0FB271590E8}"/>
    <cellStyle name="Percent 13 2 2 2 6 2" xfId="10881" xr:uid="{411C0EE5-1180-439A-B137-D0DB25E94283}"/>
    <cellStyle name="Percent 13 2 2 2 7" xfId="5909" xr:uid="{DB6121DE-65FE-4144-9C24-B4B6A6FCE697}"/>
    <cellStyle name="Percent 13 2 2 2 7 2" xfId="11383" xr:uid="{C63103F6-BB31-48D5-8BFE-734766742B64}"/>
    <cellStyle name="Percent 13 2 2 2 8" xfId="2933" xr:uid="{48CDE7B2-1B10-43F1-AFA5-29CA9812CC96}"/>
    <cellStyle name="Percent 13 2 2 2 9" xfId="6849" xr:uid="{DE309C03-901B-4E15-9901-613A58AE1820}"/>
    <cellStyle name="Percent 13 2 2 3" xfId="1327" xr:uid="{14C65645-800E-43FD-A11E-E0DD608160AA}"/>
    <cellStyle name="Percent 13 2 2 3 10" xfId="12107" xr:uid="{B7D8F548-80A1-40C0-B52F-EF04C9EF5BC9}"/>
    <cellStyle name="Percent 13 2 2 3 11" xfId="13852" xr:uid="{A2B3C41A-2FBE-43EF-8920-7F9C6CFD5D41}"/>
    <cellStyle name="Percent 13 2 2 3 2" xfId="1833" xr:uid="{13353127-6676-4F48-83D0-506688F08BCF}"/>
    <cellStyle name="Percent 13 2 2 3 2 2" xfId="4555" xr:uid="{ACDC0E4C-C59A-46CF-9E0C-CBAED858982C}"/>
    <cellStyle name="Percent 13 2 2 3 2 2 2" xfId="10001" xr:uid="{73994C30-951C-4E8C-A854-77B3B2D6FADC}"/>
    <cellStyle name="Percent 13 2 2 3 2 3" xfId="3545" xr:uid="{0ECD0D0E-6E70-4C46-B8FC-4E985C063291}"/>
    <cellStyle name="Percent 13 2 2 3 2 4" xfId="7479" xr:uid="{CC14F244-108C-4AC3-B18F-B750D58632D9}"/>
    <cellStyle name="Percent 13 2 2 3 2 5" xfId="8993" xr:uid="{94EBE845-3D90-41F4-9BFA-2AE978DE6A73}"/>
    <cellStyle name="Percent 13 2 2 3 2 6" xfId="12613" xr:uid="{FB9A613F-43EE-47A0-8AFA-680F1CAF2C04}"/>
    <cellStyle name="Percent 13 2 2 3 2 7" xfId="14358" xr:uid="{0F32F83C-250E-4B42-9BCB-D35EFC7FEFF2}"/>
    <cellStyle name="Percent 13 2 2 3 3" xfId="2341" xr:uid="{50B8B51D-851A-4B96-803B-83B124F9A95F}"/>
    <cellStyle name="Percent 13 2 2 3 3 2" xfId="4061" xr:uid="{F88CBCC0-3AAD-42F3-8FCB-7270529891CC}"/>
    <cellStyle name="Percent 13 2 2 3 3 3" xfId="7987" xr:uid="{08BF58AB-1717-4F6E-983F-0D5C80B5F6AD}"/>
    <cellStyle name="Percent 13 2 2 3 3 4" xfId="9505" xr:uid="{33D38D92-8E98-4A0A-AA08-C8A99C614393}"/>
    <cellStyle name="Percent 13 2 2 3 3 5" xfId="13119" xr:uid="{BAB1E9D8-0780-41D5-A168-F101E30B7A2B}"/>
    <cellStyle name="Percent 13 2 2 3 3 6" xfId="14864" xr:uid="{77DC667F-363C-48FD-9993-E128030EA781}"/>
    <cellStyle name="Percent 13 2 2 3 4" xfId="5033" xr:uid="{979F0737-B3A7-4B48-BD2E-5E25D6B1BAB3}"/>
    <cellStyle name="Percent 13 2 2 3 4 2" xfId="10503" xr:uid="{27C8AA0D-69CC-4747-B877-40F3DB0737D6}"/>
    <cellStyle name="Percent 13 2 2 3 5" xfId="5531" xr:uid="{EA9DE1B0-B20C-472D-88F4-08DFC69227C5}"/>
    <cellStyle name="Percent 13 2 2 3 5 2" xfId="11005" xr:uid="{F4163855-1EFC-4905-B991-545FAB15D2AB}"/>
    <cellStyle name="Percent 13 2 2 3 6" xfId="6033" xr:uid="{DFADB8D0-737B-4EC1-B219-BB91DE701AE1}"/>
    <cellStyle name="Percent 13 2 2 3 6 2" xfId="11507" xr:uid="{24D4C347-DB84-403B-B677-46B287E7567A}"/>
    <cellStyle name="Percent 13 2 2 3 7" xfId="3051" xr:uid="{C5FF6049-89DB-4ABE-B5B7-39D82CA5D4F5}"/>
    <cellStyle name="Percent 13 2 2 3 8" xfId="6973" xr:uid="{34A089D2-6134-45A2-872C-D61EE5FBDD08}"/>
    <cellStyle name="Percent 13 2 2 3 9" xfId="8497" xr:uid="{F72EC9AF-9736-42E9-8EBC-123FDBC35FB3}"/>
    <cellStyle name="Percent 13 2 2 4" xfId="1585" xr:uid="{DB3FE985-8E0F-4B02-A27D-B78E1E4CBF75}"/>
    <cellStyle name="Percent 13 2 2 4 2" xfId="4307" xr:uid="{6057F929-37CA-4CF7-8CCB-9133BEFCC7F8}"/>
    <cellStyle name="Percent 13 2 2 4 2 2" xfId="9753" xr:uid="{4D3B6E5A-C33B-43BB-BBF8-FB3C4D62CE53}"/>
    <cellStyle name="Percent 13 2 2 4 3" xfId="3297" xr:uid="{CC92433E-55DD-443B-A824-C9D20406BA2B}"/>
    <cellStyle name="Percent 13 2 2 4 4" xfId="7231" xr:uid="{1A5BB368-5EA3-42E0-940D-236275B4428E}"/>
    <cellStyle name="Percent 13 2 2 4 5" xfId="8745" xr:uid="{62C432E9-3172-40B1-904C-10BB65788FF7}"/>
    <cellStyle name="Percent 13 2 2 4 6" xfId="12365" xr:uid="{BE829ECA-5ABC-40CB-9017-B627D1077E4F}"/>
    <cellStyle name="Percent 13 2 2 4 7" xfId="14110" xr:uid="{B96C8E53-FB7B-401B-908E-9FD5F1288549}"/>
    <cellStyle name="Percent 13 2 2 5" xfId="2093" xr:uid="{35FA0499-D35A-42B9-8BCB-F521749B7D34}"/>
    <cellStyle name="Percent 13 2 2 5 2" xfId="3813" xr:uid="{C332CAD1-89A6-441C-AC15-1F5F6F8869D1}"/>
    <cellStyle name="Percent 13 2 2 5 3" xfId="7739" xr:uid="{16D3ED0B-B8EB-4B66-8510-7AD8213C46A9}"/>
    <cellStyle name="Percent 13 2 2 5 4" xfId="9257" xr:uid="{B1EDC1B8-5C9D-4481-8F63-C3AF4F5E9997}"/>
    <cellStyle name="Percent 13 2 2 5 5" xfId="12871" xr:uid="{68F4D4BD-7E8E-4923-9E5C-B3C41C7017EC}"/>
    <cellStyle name="Percent 13 2 2 5 6" xfId="14616" xr:uid="{FBE8DBE9-6A70-4902-8110-21D37E31D584}"/>
    <cellStyle name="Percent 13 2 2 6" xfId="4801" xr:uid="{561D38E6-B750-4C91-B2D7-0263A6D4290B}"/>
    <cellStyle name="Percent 13 2 2 6 2" xfId="10255" xr:uid="{CEC28602-93F7-45CC-973B-5DE412D15AD5}"/>
    <cellStyle name="Percent 13 2 2 7" xfId="5283" xr:uid="{F949D4A2-19C1-41BA-B600-DB4B47A6F46F}"/>
    <cellStyle name="Percent 13 2 2 7 2" xfId="10757" xr:uid="{6F5017A2-ACEC-427F-AEB0-77D53E68110B}"/>
    <cellStyle name="Percent 13 2 2 8" xfId="5785" xr:uid="{835C3F41-59E2-432B-B13E-10C17AAC115A}"/>
    <cellStyle name="Percent 13 2 2 8 2" xfId="11259" xr:uid="{B55465A0-8907-4697-85DC-A4DB03223952}"/>
    <cellStyle name="Percent 13 2 2 9" xfId="2817" xr:uid="{020C3AE1-6F66-4E0D-9CD9-11EAFC2308F7}"/>
    <cellStyle name="Percent 13 2 3" xfId="1108" xr:uid="{A671A623-21EC-4D12-8E3E-E9BF1D9621E5}"/>
    <cellStyle name="Percent 13 2 3 10" xfId="8278" xr:uid="{A85D3673-BEA7-4844-A6EA-D9A8703A5637}"/>
    <cellStyle name="Percent 13 2 3 11" xfId="11888" xr:uid="{D8146CF2-AA0B-421D-B211-3E2586163717}"/>
    <cellStyle name="Percent 13 2 3 12" xfId="13633" xr:uid="{F0FDCD2D-5231-4619-B93D-6C0E8E323EC6}"/>
    <cellStyle name="Percent 13 2 3 2" xfId="1356" xr:uid="{4E88FD5C-0D2A-48C0-BAC9-FD18937E0BF1}"/>
    <cellStyle name="Percent 13 2 3 2 10" xfId="12136" xr:uid="{3E9635FB-2109-4076-BFA6-21D457CFDEED}"/>
    <cellStyle name="Percent 13 2 3 2 11" xfId="13881" xr:uid="{FD7ED2F4-2085-44E3-9BA0-9921A9C2D762}"/>
    <cellStyle name="Percent 13 2 3 2 2" xfId="1862" xr:uid="{8AEDA650-2E08-4C0F-9A60-CDFA3462FC7B}"/>
    <cellStyle name="Percent 13 2 3 2 2 2" xfId="4584" xr:uid="{2D202D48-9A42-4B84-992D-F4A7E04E38EC}"/>
    <cellStyle name="Percent 13 2 3 2 2 2 2" xfId="10030" xr:uid="{CF0E48A6-BCEC-4B41-AF37-E0AF0D418C40}"/>
    <cellStyle name="Percent 13 2 3 2 2 3" xfId="3574" xr:uid="{2129BE7A-9F3B-4F2F-9CE9-588E89BEECFF}"/>
    <cellStyle name="Percent 13 2 3 2 2 4" xfId="7508" xr:uid="{170047FD-F0DD-4497-8110-1BB42FEA2111}"/>
    <cellStyle name="Percent 13 2 3 2 2 5" xfId="9022" xr:uid="{999B0CC1-8B6B-4EC5-ACD8-D02D741A0DFB}"/>
    <cellStyle name="Percent 13 2 3 2 2 6" xfId="12642" xr:uid="{FE481B5E-1571-426E-9CF8-A26FF84DC218}"/>
    <cellStyle name="Percent 13 2 3 2 2 7" xfId="14387" xr:uid="{322ADA1F-ADBE-464C-87EE-7F686F8E2BF0}"/>
    <cellStyle name="Percent 13 2 3 2 3" xfId="2370" xr:uid="{D937C02E-379C-416B-A874-49B438A522F5}"/>
    <cellStyle name="Percent 13 2 3 2 3 2" xfId="4090" xr:uid="{7FA0A817-D55A-4DEF-A933-E3FF367BA166}"/>
    <cellStyle name="Percent 13 2 3 2 3 3" xfId="8016" xr:uid="{0A3A5FEB-44F6-4CCE-9A88-CD1C13F0C79B}"/>
    <cellStyle name="Percent 13 2 3 2 3 4" xfId="9534" xr:uid="{DD72D4CF-6988-47D6-B27E-B4AE323CEE93}"/>
    <cellStyle name="Percent 13 2 3 2 3 5" xfId="13148" xr:uid="{E10FEB28-0043-4636-ABFA-A404747C9DF9}"/>
    <cellStyle name="Percent 13 2 3 2 3 6" xfId="14893" xr:uid="{4A3CA86A-747C-4228-818B-90C2EB966F79}"/>
    <cellStyle name="Percent 13 2 3 2 4" xfId="5062" xr:uid="{B4349C51-D0C7-48B8-B273-9FBC3FD883A5}"/>
    <cellStyle name="Percent 13 2 3 2 4 2" xfId="10532" xr:uid="{195BC570-7E3E-4AA3-891E-6C365D863020}"/>
    <cellStyle name="Percent 13 2 3 2 5" xfId="5560" xr:uid="{84113C6C-CE25-4A29-90C7-09C9F7547E3C}"/>
    <cellStyle name="Percent 13 2 3 2 5 2" xfId="11034" xr:uid="{64688665-4700-43A1-9292-570599D10D5B}"/>
    <cellStyle name="Percent 13 2 3 2 6" xfId="6062" xr:uid="{1B3886AF-417B-433A-8746-25B72997641D}"/>
    <cellStyle name="Percent 13 2 3 2 6 2" xfId="11536" xr:uid="{D482F987-7CA0-40E1-8B0D-52DEB5042776}"/>
    <cellStyle name="Percent 13 2 3 2 7" xfId="3080" xr:uid="{4E2B365D-C3CE-402E-9CF7-25B0D38516E3}"/>
    <cellStyle name="Percent 13 2 3 2 8" xfId="7002" xr:uid="{FE706404-F2AF-4447-9853-7A3F4CC11380}"/>
    <cellStyle name="Percent 13 2 3 2 9" xfId="8526" xr:uid="{0926CC9C-8564-4C87-AE17-24F5E306B0D5}"/>
    <cellStyle name="Percent 13 2 3 3" xfId="1614" xr:uid="{928F0713-3E19-4B77-A857-0EC417F0F8F5}"/>
    <cellStyle name="Percent 13 2 3 3 2" xfId="4336" xr:uid="{66D444CE-ADF2-4773-9E91-948D69223152}"/>
    <cellStyle name="Percent 13 2 3 3 2 2" xfId="9782" xr:uid="{EFF1276D-C281-4D7A-BE48-8AC6776AAD54}"/>
    <cellStyle name="Percent 13 2 3 3 3" xfId="3326" xr:uid="{72D1DA56-7DFF-4147-8F8C-0813C2FC7F15}"/>
    <cellStyle name="Percent 13 2 3 3 4" xfId="7260" xr:uid="{E3B6CA2B-17B2-4B1F-8B9D-ED49705F5330}"/>
    <cellStyle name="Percent 13 2 3 3 5" xfId="8774" xr:uid="{031693F3-B9EB-4363-A387-9367BE279F6B}"/>
    <cellStyle name="Percent 13 2 3 3 6" xfId="12394" xr:uid="{49F85F7A-3F16-4247-8499-243131059A09}"/>
    <cellStyle name="Percent 13 2 3 3 7" xfId="14139" xr:uid="{1BFB57A7-E8F2-46FE-9C39-74107D272874}"/>
    <cellStyle name="Percent 13 2 3 4" xfId="2122" xr:uid="{AD28B00A-C47E-448E-8298-DA22DDB03689}"/>
    <cellStyle name="Percent 13 2 3 4 2" xfId="3842" xr:uid="{EFC48BBB-BB1B-4F23-9E1C-CDA2250D955F}"/>
    <cellStyle name="Percent 13 2 3 4 3" xfId="7768" xr:uid="{6817B207-2E78-4E1D-BF0E-1E3EB4FC56E6}"/>
    <cellStyle name="Percent 13 2 3 4 4" xfId="9286" xr:uid="{8CE67763-23EC-4679-B3DF-C333497FA932}"/>
    <cellStyle name="Percent 13 2 3 4 5" xfId="12900" xr:uid="{CF7442D8-5ECC-41F6-A77D-FAFE2F5563CF}"/>
    <cellStyle name="Percent 13 2 3 4 6" xfId="14645" xr:uid="{31716182-7C06-421D-88B5-1EB712FC1DAA}"/>
    <cellStyle name="Percent 13 2 3 5" xfId="4828" xr:uid="{49944047-1C50-4593-B674-21FDD6EE8A5E}"/>
    <cellStyle name="Percent 13 2 3 5 2" xfId="10284" xr:uid="{1C25F556-66E9-4313-9900-6A622D8BD943}"/>
    <cellStyle name="Percent 13 2 3 6" xfId="5312" xr:uid="{FCF892F3-9CD4-458D-978C-AEBF56DAAC2C}"/>
    <cellStyle name="Percent 13 2 3 6 2" xfId="10786" xr:uid="{17A2F876-DFB3-4DA5-A06E-C63CB14CBEA6}"/>
    <cellStyle name="Percent 13 2 3 7" xfId="5814" xr:uid="{4A0E02EB-8D0B-402C-99E4-3C3E5C829994}"/>
    <cellStyle name="Percent 13 2 3 7 2" xfId="11288" xr:uid="{641FF79F-FEAB-42D9-9E2D-9E7782EE0F2E}"/>
    <cellStyle name="Percent 13 2 3 8" xfId="2844" xr:uid="{C29BDA8A-3AE6-45D8-8080-2A2A93595E52}"/>
    <cellStyle name="Percent 13 2 3 9" xfId="6754" xr:uid="{F0843E0D-35C4-4644-864D-C5D8A6203586}"/>
    <cellStyle name="Percent 13 2 4" xfId="1232" xr:uid="{71912B9E-E25E-4C25-A29F-11259498A260}"/>
    <cellStyle name="Percent 13 2 4 10" xfId="12012" xr:uid="{0FA9A2F9-645F-4F9A-9A99-2AA5FD9DDBBE}"/>
    <cellStyle name="Percent 13 2 4 11" xfId="13757" xr:uid="{8259DA79-21E2-4475-AB54-3AE7C4D0700B}"/>
    <cellStyle name="Percent 13 2 4 2" xfId="1738" xr:uid="{645E11DF-7F3B-45B0-8D70-0141DEDD3A5F}"/>
    <cellStyle name="Percent 13 2 4 2 2" xfId="4460" xr:uid="{3385ED3B-2923-45F8-8BC7-CE97F3AF9759}"/>
    <cellStyle name="Percent 13 2 4 2 2 2" xfId="9906" xr:uid="{7B5690EE-2D22-47E3-9706-FEEEAFCD4D9A}"/>
    <cellStyle name="Percent 13 2 4 2 3" xfId="3450" xr:uid="{DAD100EC-C817-4EB2-8B85-E7C5D6FE47D4}"/>
    <cellStyle name="Percent 13 2 4 2 4" xfId="7384" xr:uid="{463B1ACA-F3A1-476A-8DF9-D2D39C38FCF9}"/>
    <cellStyle name="Percent 13 2 4 2 5" xfId="8898" xr:uid="{4EC3F964-3C0D-45A1-AA84-34EE3A4E0260}"/>
    <cellStyle name="Percent 13 2 4 2 6" xfId="12518" xr:uid="{46274A30-8236-4796-9679-59A8D191DED5}"/>
    <cellStyle name="Percent 13 2 4 2 7" xfId="14263" xr:uid="{DE1B7A3F-737B-421F-813D-2A4C6F2F4D06}"/>
    <cellStyle name="Percent 13 2 4 3" xfId="2246" xr:uid="{AE785B4C-CC24-4E1E-9012-60B93AE71966}"/>
    <cellStyle name="Percent 13 2 4 3 2" xfId="3966" xr:uid="{93B9701D-C15D-4554-92BE-FA5217ECD630}"/>
    <cellStyle name="Percent 13 2 4 3 3" xfId="7892" xr:uid="{92B2FEBE-2FE4-41A1-8593-019CAF8BB152}"/>
    <cellStyle name="Percent 13 2 4 3 4" xfId="9410" xr:uid="{DDB289C9-AED8-4267-ADF3-BD6EBF03E39C}"/>
    <cellStyle name="Percent 13 2 4 3 5" xfId="13024" xr:uid="{3CCB92F0-E39D-41BF-A998-31C7B34C87A5}"/>
    <cellStyle name="Percent 13 2 4 3 6" xfId="14769" xr:uid="{2EE28015-318F-4029-9E46-2286435DB7D0}"/>
    <cellStyle name="Percent 13 2 4 4" xfId="4944" xr:uid="{25A21A92-545C-463E-AD6E-D4921F8AB726}"/>
    <cellStyle name="Percent 13 2 4 4 2" xfId="10408" xr:uid="{7DE6CDBB-9D00-4731-B1B9-DE82E75A6A65}"/>
    <cellStyle name="Percent 13 2 4 5" xfId="5436" xr:uid="{99051312-6BB9-457F-AC1D-2AD78C264964}"/>
    <cellStyle name="Percent 13 2 4 5 2" xfId="10910" xr:uid="{B7C842F2-33B7-4511-B054-92B33EEB1A32}"/>
    <cellStyle name="Percent 13 2 4 6" xfId="5938" xr:uid="{06151F97-9119-43EA-862A-44932A27A3D5}"/>
    <cellStyle name="Percent 13 2 4 6 2" xfId="11412" xr:uid="{7A59D99E-93BB-4046-A362-69DC9C21A048}"/>
    <cellStyle name="Percent 13 2 4 7" xfId="2962" xr:uid="{FEE9C3AF-CCB8-4CEB-9A62-31637ABFBF49}"/>
    <cellStyle name="Percent 13 2 4 8" xfId="6878" xr:uid="{4F0AB90E-E6BB-4503-80CA-BDE8DCB570A1}"/>
    <cellStyle name="Percent 13 2 4 9" xfId="8402" xr:uid="{F745DA19-33CC-4506-AD75-7F91DAB15BB2}"/>
    <cellStyle name="Percent 13 2 5" xfId="1490" xr:uid="{66B484F1-5C6D-43E1-BD26-DEC24DB316F6}"/>
    <cellStyle name="Percent 13 2 5 2" xfId="4214" xr:uid="{01FA54DE-3BE4-4CE2-B2D4-7E063F2F1E8D}"/>
    <cellStyle name="Percent 13 2 5 2 2" xfId="9658" xr:uid="{3A0679EB-86F8-48BA-9C8E-E21145DA6BA9}"/>
    <cellStyle name="Percent 13 2 5 3" xfId="3204" xr:uid="{E1A37111-900D-44BE-AECD-80DC95EFAE3D}"/>
    <cellStyle name="Percent 13 2 5 4" xfId="7136" xr:uid="{5AAEB10B-A15F-49B7-BF4E-296F97105763}"/>
    <cellStyle name="Percent 13 2 5 5" xfId="8650" xr:uid="{3F2505B5-4300-45BD-97EB-645384DC6BBE}"/>
    <cellStyle name="Percent 13 2 5 6" xfId="12270" xr:uid="{FDFBB7E6-A78A-44C2-A3A2-0EA9C474FDEA}"/>
    <cellStyle name="Percent 13 2 5 7" xfId="14015" xr:uid="{8AEF3AAF-B95C-4CBC-9CFB-CC75DA3F8DE4}"/>
    <cellStyle name="Percent 13 2 6" xfId="1998" xr:uid="{E27F6249-C6CD-42A2-9F82-14CE160903D5}"/>
    <cellStyle name="Percent 13 2 6 2" xfId="3718" xr:uid="{5229DB66-F615-4FBE-A65F-6F7E3547FE8D}"/>
    <cellStyle name="Percent 13 2 6 3" xfId="7644" xr:uid="{D9BDA963-CA35-4753-8F14-CF034B2DFFB4}"/>
    <cellStyle name="Percent 13 2 6 4" xfId="9162" xr:uid="{8CA94330-D4B7-464D-9D5C-B5BB75BE3AF3}"/>
    <cellStyle name="Percent 13 2 6 5" xfId="12776" xr:uid="{611AE38A-D050-4214-8C88-5648E19CE8AF}"/>
    <cellStyle name="Percent 13 2 6 6" xfId="14521" xr:uid="{6A1BBE14-B428-49A5-A683-7869B48B342B}"/>
    <cellStyle name="Percent 13 2 7" xfId="4714" xr:uid="{33428156-5C25-4373-9AEB-2AA5B6B2C11C}"/>
    <cellStyle name="Percent 13 2 7 2" xfId="10160" xr:uid="{A4D2894C-A6FA-4786-A828-B8EF81469D89}"/>
    <cellStyle name="Percent 13 2 8" xfId="5190" xr:uid="{9DE35DC2-F01A-472E-9D20-973539E5FB3A}"/>
    <cellStyle name="Percent 13 2 8 2" xfId="10662" xr:uid="{83DEC339-8B8A-4303-90BC-1F52DDECD81D}"/>
    <cellStyle name="Percent 13 2 9" xfId="5690" xr:uid="{5C84C89C-4714-46DF-869D-F09FD1AE2EB2}"/>
    <cellStyle name="Percent 13 2 9 2" xfId="11164" xr:uid="{D8A5BEDD-7D6B-41F9-8E4E-2FC009279F58}"/>
    <cellStyle name="Percent 13 3" xfId="1004" xr:uid="{FAD5A61A-FB38-42AD-841C-8E00558555B5}"/>
    <cellStyle name="Percent 13 3 10" xfId="2750" xr:uid="{FE270788-25B3-4048-BC37-AF8D23F3F349}"/>
    <cellStyle name="Percent 13 3 11" xfId="6650" xr:uid="{DBCE37B2-F1D7-4973-B27F-25014DF58BC7}"/>
    <cellStyle name="Percent 13 3 12" xfId="8174" xr:uid="{2BDB7CE9-1CA2-430C-AE2D-07BDDB8C0EE6}"/>
    <cellStyle name="Percent 13 3 13" xfId="11784" xr:uid="{74628090-7D2A-4D99-8E90-BD2FAC2B1CC5}"/>
    <cellStyle name="Percent 13 3 14" xfId="13529" xr:uid="{24DEBCCD-0F24-4E67-85FF-B6642D4CB796}"/>
    <cellStyle name="Percent 13 3 2" xfId="1080" xr:uid="{216F04E0-2D4F-477D-820A-A5ECF608B2D4}"/>
    <cellStyle name="Percent 13 3 2 10" xfId="6726" xr:uid="{280C0304-1DDF-41CE-8E36-436FFF92E2BA}"/>
    <cellStyle name="Percent 13 3 2 11" xfId="8250" xr:uid="{21A599DA-71E1-4E5A-AE0F-6FEEEBEA5BD0}"/>
    <cellStyle name="Percent 13 3 2 12" xfId="11860" xr:uid="{AE04E630-65C1-463F-BF7D-6521990B7394}"/>
    <cellStyle name="Percent 13 3 2 13" xfId="13605" xr:uid="{177A0F4A-F40C-4040-82B7-B99756E8C471}"/>
    <cellStyle name="Percent 13 3 2 2" xfId="1204" xr:uid="{33E24153-5E02-442B-8845-6C6045FB25FD}"/>
    <cellStyle name="Percent 13 3 2 2 10" xfId="8374" xr:uid="{1D60615B-5BB0-4DA4-9235-1F60E22CA75A}"/>
    <cellStyle name="Percent 13 3 2 2 11" xfId="11984" xr:uid="{9E308E40-7212-46F4-A212-14EA84E159BD}"/>
    <cellStyle name="Percent 13 3 2 2 12" xfId="13729" xr:uid="{4A6D2798-AD37-4595-9C30-AB7EED1BDE69}"/>
    <cellStyle name="Percent 13 3 2 2 2" xfId="1452" xr:uid="{99F3E6A0-6D64-4264-BB4C-7282FBD33FFA}"/>
    <cellStyle name="Percent 13 3 2 2 2 10" xfId="12232" xr:uid="{AD1B292D-AB6E-4BF6-BC2A-8B29A5922F81}"/>
    <cellStyle name="Percent 13 3 2 2 2 11" xfId="13977" xr:uid="{9634D750-191D-4046-8A25-A186264C5071}"/>
    <cellStyle name="Percent 13 3 2 2 2 2" xfId="1958" xr:uid="{F729D597-BAED-4228-919B-B961F20BA41E}"/>
    <cellStyle name="Percent 13 3 2 2 2 2 2" xfId="4680" xr:uid="{60214F43-7898-445B-B71E-6EA14A323609}"/>
    <cellStyle name="Percent 13 3 2 2 2 2 2 2" xfId="10126" xr:uid="{5F1503BB-958A-47F5-AF2A-2B66D95E0FC3}"/>
    <cellStyle name="Percent 13 3 2 2 2 2 3" xfId="3670" xr:uid="{91B4DA6F-1490-47A6-B7C8-58D3A034756A}"/>
    <cellStyle name="Percent 13 3 2 2 2 2 4" xfId="7604" xr:uid="{694B063B-528B-4199-A252-2941C3CF0ACA}"/>
    <cellStyle name="Percent 13 3 2 2 2 2 5" xfId="9118" xr:uid="{3FF3F690-4727-4AFF-8519-02F7665F7BBF}"/>
    <cellStyle name="Percent 13 3 2 2 2 2 6" xfId="12738" xr:uid="{B75A4863-6C59-4F6A-AD9C-1794F43243AF}"/>
    <cellStyle name="Percent 13 3 2 2 2 2 7" xfId="14483" xr:uid="{68C7BE8C-6AB0-47BB-A548-52C6524869EE}"/>
    <cellStyle name="Percent 13 3 2 2 2 3" xfId="2466" xr:uid="{1C017D72-1D8B-4A63-9513-2C5C5749EB2C}"/>
    <cellStyle name="Percent 13 3 2 2 2 3 2" xfId="4186" xr:uid="{5A2E333F-8E49-4084-A7FD-16385F097DF5}"/>
    <cellStyle name="Percent 13 3 2 2 2 3 3" xfId="8112" xr:uid="{8B9DEE25-19E3-44EB-9340-499F665177A5}"/>
    <cellStyle name="Percent 13 3 2 2 2 3 4" xfId="9630" xr:uid="{7E8D7B50-5087-44C3-BC35-6CD23DB40BE3}"/>
    <cellStyle name="Percent 13 3 2 2 2 3 5" xfId="13244" xr:uid="{885F23DA-9205-4905-BB62-BB394E0A2424}"/>
    <cellStyle name="Percent 13 3 2 2 2 3 6" xfId="14989" xr:uid="{C84A1D0B-1869-4C90-B261-94B5191842A7}"/>
    <cellStyle name="Percent 13 3 2 2 2 4" xfId="5158" xr:uid="{564A8131-600B-48AE-9316-3F12864E253F}"/>
    <cellStyle name="Percent 13 3 2 2 2 4 2" xfId="10628" xr:uid="{D0C09262-076C-4EC0-991A-A7B15D1CCDDC}"/>
    <cellStyle name="Percent 13 3 2 2 2 5" xfId="5656" xr:uid="{9EB2E598-0162-486F-B954-490796A86F9E}"/>
    <cellStyle name="Percent 13 3 2 2 2 5 2" xfId="11130" xr:uid="{D1740896-024B-41C9-A27A-FB989D8959FF}"/>
    <cellStyle name="Percent 13 3 2 2 2 6" xfId="6158" xr:uid="{F1E60463-7F27-47CE-9F2A-FDAF8118C852}"/>
    <cellStyle name="Percent 13 3 2 2 2 6 2" xfId="11632" xr:uid="{CE5286DB-BEAC-47C1-B1DB-920715AEB57B}"/>
    <cellStyle name="Percent 13 3 2 2 2 7" xfId="3176" xr:uid="{1E6FD3B9-C1F9-4CDE-9038-5F537C108BC4}"/>
    <cellStyle name="Percent 13 3 2 2 2 8" xfId="7098" xr:uid="{36F78CB3-CDBE-46B1-8EAF-DBE0BA7F0190}"/>
    <cellStyle name="Percent 13 3 2 2 2 9" xfId="8622" xr:uid="{CF2D5B2F-DADE-4589-AD29-E4FA03507F25}"/>
    <cellStyle name="Percent 13 3 2 2 3" xfId="1710" xr:uid="{ED03777C-D5B2-4B6F-9136-F96ACA49FC02}"/>
    <cellStyle name="Percent 13 3 2 2 3 2" xfId="4432" xr:uid="{2EA48D4F-0E24-4759-B6BD-29627A3C4144}"/>
    <cellStyle name="Percent 13 3 2 2 3 2 2" xfId="9878" xr:uid="{0887EB84-403A-4AEB-8AF2-1B79823C3E42}"/>
    <cellStyle name="Percent 13 3 2 2 3 3" xfId="3422" xr:uid="{DCB0D302-FAAB-4108-87F2-8CB88091B44E}"/>
    <cellStyle name="Percent 13 3 2 2 3 4" xfId="7356" xr:uid="{7F90AAC9-E966-4F01-AC1E-E64F4D5DA201}"/>
    <cellStyle name="Percent 13 3 2 2 3 5" xfId="8870" xr:uid="{D3CD8A3E-CA62-4645-B92D-BF33021A665D}"/>
    <cellStyle name="Percent 13 3 2 2 3 6" xfId="12490" xr:uid="{9D668FF5-EF05-4047-A380-75988A06F41B}"/>
    <cellStyle name="Percent 13 3 2 2 3 7" xfId="14235" xr:uid="{39D77AC8-C968-4809-8CE9-09FB7DEAF349}"/>
    <cellStyle name="Percent 13 3 2 2 4" xfId="2218" xr:uid="{40AB7759-0D9B-43CC-9FB6-52EFDDC25D3E}"/>
    <cellStyle name="Percent 13 3 2 2 4 2" xfId="3938" xr:uid="{70E07F15-8D3B-41DD-858A-EEB0847C568E}"/>
    <cellStyle name="Percent 13 3 2 2 4 3" xfId="7864" xr:uid="{80D44526-2DA0-441F-8AE2-B7749FAA1886}"/>
    <cellStyle name="Percent 13 3 2 2 4 4" xfId="9382" xr:uid="{7A25DAA1-F649-4E47-B68B-81B5F47C7DFB}"/>
    <cellStyle name="Percent 13 3 2 2 4 5" xfId="12996" xr:uid="{3F030066-4CA3-47A2-B150-F0B361346818}"/>
    <cellStyle name="Percent 13 3 2 2 4 6" xfId="14741" xr:uid="{632A2B20-69DC-47DE-9392-E7BE763D1A21}"/>
    <cellStyle name="Percent 13 3 2 2 5" xfId="4918" xr:uid="{CAB991C4-1AB1-4926-ABA1-8BAB6E3D034E}"/>
    <cellStyle name="Percent 13 3 2 2 5 2" xfId="10380" xr:uid="{2C9545B6-A364-4AA8-B130-D8A72DABC4B6}"/>
    <cellStyle name="Percent 13 3 2 2 6" xfId="5408" xr:uid="{822B4141-EC52-42A9-96C2-37BBCCCCEF0F}"/>
    <cellStyle name="Percent 13 3 2 2 6 2" xfId="10882" xr:uid="{5296AF72-355D-499F-85EC-D60C1FB9E684}"/>
    <cellStyle name="Percent 13 3 2 2 7" xfId="5910" xr:uid="{FEE661D6-3554-4839-9AB3-5371E51C2EDD}"/>
    <cellStyle name="Percent 13 3 2 2 7 2" xfId="11384" xr:uid="{49942E52-82D1-4CCA-BED4-5A4AD3866C8E}"/>
    <cellStyle name="Percent 13 3 2 2 8" xfId="2934" xr:uid="{1CE225E4-9AE0-4418-AD0F-39C7B0FF037D}"/>
    <cellStyle name="Percent 13 3 2 2 9" xfId="6850" xr:uid="{08C01263-440B-4BBA-8E7C-A52077D1F39C}"/>
    <cellStyle name="Percent 13 3 2 3" xfId="1328" xr:uid="{C72AFDAB-44CC-4B34-A6F5-5D8DF6FE6837}"/>
    <cellStyle name="Percent 13 3 2 3 10" xfId="12108" xr:uid="{23148CFD-0D50-4179-A031-C9F3DDC3741B}"/>
    <cellStyle name="Percent 13 3 2 3 11" xfId="13853" xr:uid="{B3F43A2C-3AD0-4C7D-A2D8-C650A05224F2}"/>
    <cellStyle name="Percent 13 3 2 3 2" xfId="1834" xr:uid="{C7E16A81-85FA-4B55-92F5-41709BC239A2}"/>
    <cellStyle name="Percent 13 3 2 3 2 2" xfId="4556" xr:uid="{A4ED8789-6BD4-4153-910A-A3FE97231908}"/>
    <cellStyle name="Percent 13 3 2 3 2 2 2" xfId="10002" xr:uid="{EDFA78EA-25AA-45BE-86A1-0E0A2E749E8F}"/>
    <cellStyle name="Percent 13 3 2 3 2 3" xfId="3546" xr:uid="{B49828BF-1B9F-4200-901A-43E9DD32781A}"/>
    <cellStyle name="Percent 13 3 2 3 2 4" xfId="7480" xr:uid="{6EAB91B0-2005-49D1-A38A-3A50F07C7514}"/>
    <cellStyle name="Percent 13 3 2 3 2 5" xfId="8994" xr:uid="{0B113298-39BC-4BD1-AC43-D1F8011D92DE}"/>
    <cellStyle name="Percent 13 3 2 3 2 6" xfId="12614" xr:uid="{47D28050-F9D4-4465-BB59-EADCA4291F9C}"/>
    <cellStyle name="Percent 13 3 2 3 2 7" xfId="14359" xr:uid="{453D6655-3E2C-4F21-B0BD-CC73B67BCDFC}"/>
    <cellStyle name="Percent 13 3 2 3 3" xfId="2342" xr:uid="{82FA59B5-FAE3-495D-BCD4-6C39F9A6A791}"/>
    <cellStyle name="Percent 13 3 2 3 3 2" xfId="4062" xr:uid="{C2ECDC7E-E2DD-4B25-9F39-6A7370A3A8E8}"/>
    <cellStyle name="Percent 13 3 2 3 3 3" xfId="7988" xr:uid="{75667D3B-5E62-4D1D-8576-757027BE50AA}"/>
    <cellStyle name="Percent 13 3 2 3 3 4" xfId="9506" xr:uid="{7D7110B1-6E8A-4019-B32C-13540D5B0743}"/>
    <cellStyle name="Percent 13 3 2 3 3 5" xfId="13120" xr:uid="{BB28255D-19CA-4AFA-8996-8BA8FD02EACC}"/>
    <cellStyle name="Percent 13 3 2 3 3 6" xfId="14865" xr:uid="{4E8DC7B5-02B9-4D30-B95C-CB7686E63059}"/>
    <cellStyle name="Percent 13 3 2 3 4" xfId="5034" xr:uid="{A871EF6A-4C98-4BF9-9F68-81B46437B28E}"/>
    <cellStyle name="Percent 13 3 2 3 4 2" xfId="10504" xr:uid="{CAE983B4-B9B9-4457-B659-BBA641FA4C96}"/>
    <cellStyle name="Percent 13 3 2 3 5" xfId="5532" xr:uid="{7F50D7A2-C078-400E-90DA-39EE343B45B6}"/>
    <cellStyle name="Percent 13 3 2 3 5 2" xfId="11006" xr:uid="{3FB18993-4163-4FD8-97D2-A2C525A99444}"/>
    <cellStyle name="Percent 13 3 2 3 6" xfId="6034" xr:uid="{BB18401F-9168-4017-A4BE-88E57895A581}"/>
    <cellStyle name="Percent 13 3 2 3 6 2" xfId="11508" xr:uid="{4A1FBE1B-8594-48FD-BFC8-6C3CB6C5E554}"/>
    <cellStyle name="Percent 13 3 2 3 7" xfId="3052" xr:uid="{23042530-DC36-49BF-89C8-D0754F0F63AB}"/>
    <cellStyle name="Percent 13 3 2 3 8" xfId="6974" xr:uid="{828EA8DF-2CBB-427F-AC1F-165A7597C5D0}"/>
    <cellStyle name="Percent 13 3 2 3 9" xfId="8498" xr:uid="{C95CC445-2920-463F-BB0C-D1C729309DF7}"/>
    <cellStyle name="Percent 13 3 2 4" xfId="1586" xr:uid="{C6B9FA5A-B946-4879-95CC-79868EC8FE88}"/>
    <cellStyle name="Percent 13 3 2 4 2" xfId="4308" xr:uid="{920F1A0A-D3E7-4F79-B695-07369407FE1F}"/>
    <cellStyle name="Percent 13 3 2 4 2 2" xfId="9754" xr:uid="{410C170D-55FF-4043-A3E8-E6BDF591057C}"/>
    <cellStyle name="Percent 13 3 2 4 3" xfId="3298" xr:uid="{0DBFF086-E4F1-4016-9042-34D4BDED5C50}"/>
    <cellStyle name="Percent 13 3 2 4 4" xfId="7232" xr:uid="{4A3BC82D-8893-4990-80A7-6BEC15BEE00E}"/>
    <cellStyle name="Percent 13 3 2 4 5" xfId="8746" xr:uid="{C2889A32-BF0E-48F2-A6E7-948269C21CBF}"/>
    <cellStyle name="Percent 13 3 2 4 6" xfId="12366" xr:uid="{EA81F428-D46E-4928-A2A3-8D2BBCA89B31}"/>
    <cellStyle name="Percent 13 3 2 4 7" xfId="14111" xr:uid="{6FF1B32C-498D-4D22-8DD9-F8E91FCDA081}"/>
    <cellStyle name="Percent 13 3 2 5" xfId="2094" xr:uid="{C2A94B47-080D-4562-A978-9F631BF05F7D}"/>
    <cellStyle name="Percent 13 3 2 5 2" xfId="3814" xr:uid="{9A04821C-E62C-4152-AD90-FC824F0D7556}"/>
    <cellStyle name="Percent 13 3 2 5 3" xfId="7740" xr:uid="{B8E88910-64A6-4F2C-9B5D-2F9C6CB141B5}"/>
    <cellStyle name="Percent 13 3 2 5 4" xfId="9258" xr:uid="{9A1F3E29-CC7C-46BA-AAA9-B48C57196C10}"/>
    <cellStyle name="Percent 13 3 2 5 5" xfId="12872" xr:uid="{3FDA7C93-0B5D-4003-8F05-3C65BDD4D806}"/>
    <cellStyle name="Percent 13 3 2 5 6" xfId="14617" xr:uid="{B8AF864D-5E36-4B33-8091-AD1A9F5955B2}"/>
    <cellStyle name="Percent 13 3 2 6" xfId="4802" xr:uid="{E2B073E3-A63D-4938-BC7C-3128E69C15CF}"/>
    <cellStyle name="Percent 13 3 2 6 2" xfId="10256" xr:uid="{A69C1F9A-2FAF-47C2-ABBC-88A37B36174D}"/>
    <cellStyle name="Percent 13 3 2 7" xfId="5284" xr:uid="{21EAA988-B12B-496B-9FC5-100FD4AE5AAD}"/>
    <cellStyle name="Percent 13 3 2 7 2" xfId="10758" xr:uid="{523E0C53-5DC0-4E36-B3F9-8C81A4CAF6DD}"/>
    <cellStyle name="Percent 13 3 2 8" xfId="5786" xr:uid="{6565F174-5A08-4A73-A3AF-355B50AA6B47}"/>
    <cellStyle name="Percent 13 3 2 8 2" xfId="11260" xr:uid="{EBDBC30D-94BC-4B13-AFCA-18D9768ACFE6}"/>
    <cellStyle name="Percent 13 3 2 9" xfId="2818" xr:uid="{51256645-CC9B-483C-BF73-2FE08AF6FDC9}"/>
    <cellStyle name="Percent 13 3 3" xfId="1128" xr:uid="{D3AE33D8-3B71-4A43-8CE1-40E91FC5474C}"/>
    <cellStyle name="Percent 13 3 3 10" xfId="8298" xr:uid="{B542ECBB-E13F-4836-917E-48C877296DCE}"/>
    <cellStyle name="Percent 13 3 3 11" xfId="11908" xr:uid="{884BBA3B-571E-4710-A5EC-D5FA63304B72}"/>
    <cellStyle name="Percent 13 3 3 12" xfId="13653" xr:uid="{6156F371-B1DD-4FF1-AAC9-E2A9958F519D}"/>
    <cellStyle name="Percent 13 3 3 2" xfId="1376" xr:uid="{ED348DDE-59A3-431A-98AD-87A5B7D11328}"/>
    <cellStyle name="Percent 13 3 3 2 10" xfId="12156" xr:uid="{7DA63169-49B7-48A2-93CB-6AC9D0CF0821}"/>
    <cellStyle name="Percent 13 3 3 2 11" xfId="13901" xr:uid="{BD9B7D50-B1DE-4F9D-A7E2-0A371F452955}"/>
    <cellStyle name="Percent 13 3 3 2 2" xfId="1882" xr:uid="{2C223C5C-5101-42B2-9FC3-129DAE726645}"/>
    <cellStyle name="Percent 13 3 3 2 2 2" xfId="4604" xr:uid="{3D6C5152-B4FD-48A9-A193-5811EC4C440B}"/>
    <cellStyle name="Percent 13 3 3 2 2 2 2" xfId="10050" xr:uid="{1C9E3475-E6C6-438D-A50B-93A0CD91DE74}"/>
    <cellStyle name="Percent 13 3 3 2 2 3" xfId="3594" xr:uid="{20F119CC-6EDA-4F87-9876-47F2D697EC42}"/>
    <cellStyle name="Percent 13 3 3 2 2 4" xfId="7528" xr:uid="{326663F4-5CF2-4F99-A326-5AB16E831536}"/>
    <cellStyle name="Percent 13 3 3 2 2 5" xfId="9042" xr:uid="{795DBE15-7E5A-401B-B3ED-941677BA440F}"/>
    <cellStyle name="Percent 13 3 3 2 2 6" xfId="12662" xr:uid="{BC0C3A7F-0664-44D1-ABFA-48D29A707E80}"/>
    <cellStyle name="Percent 13 3 3 2 2 7" xfId="14407" xr:uid="{9DF395A4-786D-45A8-8335-8E32714D8699}"/>
    <cellStyle name="Percent 13 3 3 2 3" xfId="2390" xr:uid="{1910D893-A151-45A0-A58D-1CF9619F722D}"/>
    <cellStyle name="Percent 13 3 3 2 3 2" xfId="4110" xr:uid="{BEE5BB6F-3EED-403C-BDC2-9BB4B5762CBD}"/>
    <cellStyle name="Percent 13 3 3 2 3 3" xfId="8036" xr:uid="{4ADBF4DA-FF47-40A2-9A25-B17DCF354113}"/>
    <cellStyle name="Percent 13 3 3 2 3 4" xfId="9554" xr:uid="{06E382C9-0FBE-42C5-8D1A-A4A5BB90947C}"/>
    <cellStyle name="Percent 13 3 3 2 3 5" xfId="13168" xr:uid="{C9F4D599-0698-4914-B496-DAD6D8ADE6C5}"/>
    <cellStyle name="Percent 13 3 3 2 3 6" xfId="14913" xr:uid="{2AC373E1-4CAE-4E21-B5E0-CF18F777C1EC}"/>
    <cellStyle name="Percent 13 3 3 2 4" xfId="5082" xr:uid="{CDE2AC4A-AA72-4DDE-A45D-FEB8F2581509}"/>
    <cellStyle name="Percent 13 3 3 2 4 2" xfId="10552" xr:uid="{4832BCB9-4C3C-4B0C-84AA-4141445155AF}"/>
    <cellStyle name="Percent 13 3 3 2 5" xfId="5580" xr:uid="{94C1AFF0-19DC-423C-B67F-5A5A0C04DD6E}"/>
    <cellStyle name="Percent 13 3 3 2 5 2" xfId="11054" xr:uid="{41A57AC5-48C4-4EDD-89DA-7820257B1FA7}"/>
    <cellStyle name="Percent 13 3 3 2 6" xfId="6082" xr:uid="{A0A99D1B-AF9A-47FA-95D0-362273F0B7B7}"/>
    <cellStyle name="Percent 13 3 3 2 6 2" xfId="11556" xr:uid="{B96ED8A0-2156-467C-AA9B-02E3D473EB81}"/>
    <cellStyle name="Percent 13 3 3 2 7" xfId="3100" xr:uid="{66C53118-F67D-4755-892A-7A6B0DCD2D5E}"/>
    <cellStyle name="Percent 13 3 3 2 8" xfId="7022" xr:uid="{45F21CE6-AB15-481B-9856-5DCC3664BA43}"/>
    <cellStyle name="Percent 13 3 3 2 9" xfId="8546" xr:uid="{E8ED4602-7406-4DAE-9BD6-5712AD892D2D}"/>
    <cellStyle name="Percent 13 3 3 3" xfId="1634" xr:uid="{67D15D20-C107-4B2E-BBFE-B48F59A30F8D}"/>
    <cellStyle name="Percent 13 3 3 3 2" xfId="4356" xr:uid="{A5991DBC-0C13-4820-84FC-B26EDCC031DB}"/>
    <cellStyle name="Percent 13 3 3 3 2 2" xfId="9802" xr:uid="{FA3A0D13-0A83-4A26-93BF-5221A12BDD16}"/>
    <cellStyle name="Percent 13 3 3 3 3" xfId="3346" xr:uid="{6C872FBF-80F6-4628-98CA-9FD8EB40F557}"/>
    <cellStyle name="Percent 13 3 3 3 4" xfId="7280" xr:uid="{349687BA-C6AE-4B04-BB7D-5843F9C88005}"/>
    <cellStyle name="Percent 13 3 3 3 5" xfId="8794" xr:uid="{E0CC9FC4-1F35-4E8D-9D5C-C22261D4D6D0}"/>
    <cellStyle name="Percent 13 3 3 3 6" xfId="12414" xr:uid="{80906650-CD7F-4A1B-BF88-CEBC94976417}"/>
    <cellStyle name="Percent 13 3 3 3 7" xfId="14159" xr:uid="{B54E2D7F-66EE-4511-81F1-54FEA93F38DD}"/>
    <cellStyle name="Percent 13 3 3 4" xfId="2142" xr:uid="{3B2BD2CC-90B4-4DED-BD98-AB7B101D5098}"/>
    <cellStyle name="Percent 13 3 3 4 2" xfId="3862" xr:uid="{47881741-91C5-43B5-9545-98BD68616A3D}"/>
    <cellStyle name="Percent 13 3 3 4 3" xfId="7788" xr:uid="{00197D74-C60B-461E-9D7C-543972DE05AE}"/>
    <cellStyle name="Percent 13 3 3 4 4" xfId="9306" xr:uid="{C3056DF1-4544-4721-ACE5-9F480093E9D3}"/>
    <cellStyle name="Percent 13 3 3 4 5" xfId="12920" xr:uid="{45CCD9A3-7C7E-424D-9705-060327ABD0BB}"/>
    <cellStyle name="Percent 13 3 3 4 6" xfId="14665" xr:uid="{F83C8A9D-8422-404F-91AC-ADE39F53C68C}"/>
    <cellStyle name="Percent 13 3 3 5" xfId="4846" xr:uid="{4F12CFB8-E3D9-4D1A-90C0-2A97232F1187}"/>
    <cellStyle name="Percent 13 3 3 5 2" xfId="10304" xr:uid="{142900A1-E19D-4FF8-B542-F4907334127E}"/>
    <cellStyle name="Percent 13 3 3 6" xfId="5332" xr:uid="{11F9248A-F3F4-44CE-A3EB-87EFF7AFD2DF}"/>
    <cellStyle name="Percent 13 3 3 6 2" xfId="10806" xr:uid="{FD5DA883-0743-4A68-A5DB-F1E1E2F14955}"/>
    <cellStyle name="Percent 13 3 3 7" xfId="5834" xr:uid="{DBF733E0-D23F-4284-B414-FC717E894CB6}"/>
    <cellStyle name="Percent 13 3 3 7 2" xfId="11308" xr:uid="{BD80C33B-61C0-485E-AB21-4C17853BA99C}"/>
    <cellStyle name="Percent 13 3 3 8" xfId="2862" xr:uid="{21CCEDE7-5912-4984-BC34-4C472836302C}"/>
    <cellStyle name="Percent 13 3 3 9" xfId="6774" xr:uid="{B72D0659-4524-445D-A6A8-C8CAA8E64581}"/>
    <cellStyle name="Percent 13 3 4" xfId="1252" xr:uid="{6DE84BBF-C441-4D94-9751-F104AFFD3E86}"/>
    <cellStyle name="Percent 13 3 4 10" xfId="12032" xr:uid="{9FAEAE97-3B22-46E0-80E3-4F0F3C77F2B4}"/>
    <cellStyle name="Percent 13 3 4 11" xfId="13777" xr:uid="{664F6DD4-E311-4707-9D80-8F0EB5D26F3D}"/>
    <cellStyle name="Percent 13 3 4 2" xfId="1758" xr:uid="{DCC0F3F1-448C-449A-B0B6-E8A497E2D787}"/>
    <cellStyle name="Percent 13 3 4 2 2" xfId="4480" xr:uid="{A144CC5E-89DF-4BCE-B536-B406B3C7E2EB}"/>
    <cellStyle name="Percent 13 3 4 2 2 2" xfId="9926" xr:uid="{1C82B77F-A158-4D2B-B7A8-1D1297A344D0}"/>
    <cellStyle name="Percent 13 3 4 2 3" xfId="3470" xr:uid="{7046D3F6-765F-406E-9AE9-320FA8D72BC5}"/>
    <cellStyle name="Percent 13 3 4 2 4" xfId="7404" xr:uid="{A02155D3-9818-4059-82B7-FC39C254CE23}"/>
    <cellStyle name="Percent 13 3 4 2 5" xfId="8918" xr:uid="{D42A83AE-83A1-4031-9187-CD33769CC261}"/>
    <cellStyle name="Percent 13 3 4 2 6" xfId="12538" xr:uid="{35AC8C0B-B002-4D8D-BEE9-3168264A41BC}"/>
    <cellStyle name="Percent 13 3 4 2 7" xfId="14283" xr:uid="{FE0A28CB-6DCA-48F4-81A6-EE8AFACACC90}"/>
    <cellStyle name="Percent 13 3 4 3" xfId="2266" xr:uid="{4242909C-0066-424B-A8B4-CCF6B6353A4C}"/>
    <cellStyle name="Percent 13 3 4 3 2" xfId="3986" xr:uid="{430BCE5E-1993-4D1F-9235-CBA73E91D961}"/>
    <cellStyle name="Percent 13 3 4 3 3" xfId="7912" xr:uid="{4182A505-99B5-4DEB-A077-28314F74C7E0}"/>
    <cellStyle name="Percent 13 3 4 3 4" xfId="9430" xr:uid="{208AE4E7-5F37-453D-A6AE-505B1536D0C5}"/>
    <cellStyle name="Percent 13 3 4 3 5" xfId="13044" xr:uid="{78D69E70-A8A7-4C3E-A659-138ADCC0FE4D}"/>
    <cellStyle name="Percent 13 3 4 3 6" xfId="14789" xr:uid="{0B2B12DE-9CAC-4051-AB4B-98132E06A39E}"/>
    <cellStyle name="Percent 13 3 4 4" xfId="4962" xr:uid="{7D51F710-ACDF-4480-AD99-FF1AA6442EBB}"/>
    <cellStyle name="Percent 13 3 4 4 2" xfId="10428" xr:uid="{0EEF880E-7FFC-48A5-8ADF-39947DAD8122}"/>
    <cellStyle name="Percent 13 3 4 5" xfId="5456" xr:uid="{3115A332-C0A9-4B9D-B13A-174ECAF9BF85}"/>
    <cellStyle name="Percent 13 3 4 5 2" xfId="10930" xr:uid="{1DE62F90-5949-4496-97BD-915679BB679C}"/>
    <cellStyle name="Percent 13 3 4 6" xfId="5958" xr:uid="{2C8AA712-C07C-4AD9-9B64-CF92B16119EC}"/>
    <cellStyle name="Percent 13 3 4 6 2" xfId="11432" xr:uid="{059B0539-4D1C-4C51-9EE1-AB278A7DF32A}"/>
    <cellStyle name="Percent 13 3 4 7" xfId="2980" xr:uid="{3D3D077E-3D7E-469B-8BA5-3633A1EBA158}"/>
    <cellStyle name="Percent 13 3 4 8" xfId="6898" xr:uid="{DB849C0D-3C26-4963-99E3-2B85CBD84EAB}"/>
    <cellStyle name="Percent 13 3 4 9" xfId="8422" xr:uid="{37BCE9FE-BDDA-4B88-9305-2830A3D9A98E}"/>
    <cellStyle name="Percent 13 3 5" xfId="1510" xr:uid="{0A3A90C4-983E-499F-94D1-10AF2BA68B99}"/>
    <cellStyle name="Percent 13 3 5 2" xfId="4234" xr:uid="{F77755D5-0304-4940-A262-C0F416846519}"/>
    <cellStyle name="Percent 13 3 5 2 2" xfId="9678" xr:uid="{D599808E-F739-47D9-9AF3-36BEE0F72B18}"/>
    <cellStyle name="Percent 13 3 5 3" xfId="3224" xr:uid="{C2B1EBD2-1342-4A30-8536-B2A129FDA970}"/>
    <cellStyle name="Percent 13 3 5 4" xfId="7156" xr:uid="{3A651640-DBEB-45D2-8C02-0076906963B4}"/>
    <cellStyle name="Percent 13 3 5 5" xfId="8670" xr:uid="{9C9F4D13-21DF-499E-BD7E-F40141E82081}"/>
    <cellStyle name="Percent 13 3 5 6" xfId="12290" xr:uid="{B9F4CF23-EEA9-4B47-A26C-3FDFBFAA847C}"/>
    <cellStyle name="Percent 13 3 5 7" xfId="14035" xr:uid="{1B74CA9A-5C0C-454A-85CE-AC3951B0CAD8}"/>
    <cellStyle name="Percent 13 3 6" xfId="2018" xr:uid="{744F635F-A28D-4F15-87EC-3793FA0F8BD6}"/>
    <cellStyle name="Percent 13 3 6 2" xfId="3738" xr:uid="{C620BD52-686E-4E51-B36A-FCBEF150A805}"/>
    <cellStyle name="Percent 13 3 6 3" xfId="7664" xr:uid="{F003F250-B3E3-4E9D-B35E-DD62340A85C3}"/>
    <cellStyle name="Percent 13 3 6 4" xfId="9182" xr:uid="{56161CB2-54E8-4626-8553-68FA2CEA8F97}"/>
    <cellStyle name="Percent 13 3 6 5" xfId="12796" xr:uid="{93C44DF1-CEBF-4EAA-A8E5-8EC52073ADC6}"/>
    <cellStyle name="Percent 13 3 6 6" xfId="14541" xr:uid="{CDC4CF45-2D0C-4685-B6C0-AED6D106C385}"/>
    <cellStyle name="Percent 13 3 7" xfId="4734" xr:uid="{81A574CE-814C-41FA-84F4-B4F3551F5EE3}"/>
    <cellStyle name="Percent 13 3 7 2" xfId="10180" xr:uid="{54007DE3-51F0-40AB-AC36-CA644A390712}"/>
    <cellStyle name="Percent 13 3 8" xfId="5208" xr:uid="{7D7B4ACA-25AB-46DC-91CA-FFF45958248C}"/>
    <cellStyle name="Percent 13 3 8 2" xfId="10682" xr:uid="{7282A5DE-1517-4446-AC1E-91BE2847D9A1}"/>
    <cellStyle name="Percent 13 3 9" xfId="5710" xr:uid="{C157405D-E6D4-4CA6-AC76-AF7030E61FAB}"/>
    <cellStyle name="Percent 13 3 9 2" xfId="11184" xr:uid="{585E6B7B-89E5-4E55-A15A-5D25D8CBD0E0}"/>
    <cellStyle name="Percent 13 4" xfId="1078" xr:uid="{C866C874-C894-445B-A600-25CEFFEE5F15}"/>
    <cellStyle name="Percent 13 4 10" xfId="6724" xr:uid="{03CD47EF-A2B6-4A04-9F79-3103FFA12AAB}"/>
    <cellStyle name="Percent 13 4 11" xfId="8248" xr:uid="{745EBD07-1DCD-4600-86D4-E318D1E09219}"/>
    <cellStyle name="Percent 13 4 12" xfId="11858" xr:uid="{BDA88C9D-F35C-4A4E-AAC7-14CE352E2E27}"/>
    <cellStyle name="Percent 13 4 13" xfId="13603" xr:uid="{7365F2D4-6B90-4A13-ABF1-31C783071BD3}"/>
    <cellStyle name="Percent 13 4 2" xfId="1202" xr:uid="{B51FFA1A-CB41-4C55-ABC2-BFE8CFAF2637}"/>
    <cellStyle name="Percent 13 4 2 10" xfId="8372" xr:uid="{2EFBABAF-7B4A-4AB1-934E-39963736CD27}"/>
    <cellStyle name="Percent 13 4 2 11" xfId="11982" xr:uid="{CA9E5EA2-526C-4C85-97BE-A607494BABC1}"/>
    <cellStyle name="Percent 13 4 2 12" xfId="13727" xr:uid="{78C50842-2CDC-4BC6-A4BE-3006BF2CA344}"/>
    <cellStyle name="Percent 13 4 2 2" xfId="1450" xr:uid="{6FC0B165-0FA4-4766-8E47-7D14AE06DB26}"/>
    <cellStyle name="Percent 13 4 2 2 10" xfId="12230" xr:uid="{EDB1371B-0F92-460C-8570-8B5414E95917}"/>
    <cellStyle name="Percent 13 4 2 2 11" xfId="13975" xr:uid="{DD2CA267-1392-465D-AABF-E67A5AEC7FDE}"/>
    <cellStyle name="Percent 13 4 2 2 2" xfId="1956" xr:uid="{AE60572A-8D9B-44D5-80B8-E6FE38739572}"/>
    <cellStyle name="Percent 13 4 2 2 2 2" xfId="4678" xr:uid="{790570C5-6C1F-4118-9989-B25817E024F5}"/>
    <cellStyle name="Percent 13 4 2 2 2 2 2" xfId="10124" xr:uid="{465D1564-0D3D-41B4-871E-DAB4FCAFEEB7}"/>
    <cellStyle name="Percent 13 4 2 2 2 3" xfId="3668" xr:uid="{39F9A2EE-43DD-4A87-96A2-3C307E949283}"/>
    <cellStyle name="Percent 13 4 2 2 2 4" xfId="7602" xr:uid="{436BED69-D758-479B-BCB2-255286D6CE38}"/>
    <cellStyle name="Percent 13 4 2 2 2 5" xfId="9116" xr:uid="{50C49AC7-3648-452C-B31C-357C44AE2337}"/>
    <cellStyle name="Percent 13 4 2 2 2 6" xfId="12736" xr:uid="{2D1E0C6F-A624-4A26-A03E-D7E018BD6BA1}"/>
    <cellStyle name="Percent 13 4 2 2 2 7" xfId="14481" xr:uid="{A71B9AA2-A671-4A91-97A8-0D68F65C4E26}"/>
    <cellStyle name="Percent 13 4 2 2 3" xfId="2464" xr:uid="{9F241140-C172-4938-97CD-E6FEEB8B70A8}"/>
    <cellStyle name="Percent 13 4 2 2 3 2" xfId="4184" xr:uid="{125CF16B-71F5-4B21-907C-981BF51EB804}"/>
    <cellStyle name="Percent 13 4 2 2 3 3" xfId="8110" xr:uid="{6F2988BD-8EBE-4A7F-9EFA-2D1D8399D7AC}"/>
    <cellStyle name="Percent 13 4 2 2 3 4" xfId="9628" xr:uid="{2D4D2838-8EF5-40CA-A717-A7547C9A4FE1}"/>
    <cellStyle name="Percent 13 4 2 2 3 5" xfId="13242" xr:uid="{5BCFB328-8388-4268-9800-BD1C4F809328}"/>
    <cellStyle name="Percent 13 4 2 2 3 6" xfId="14987" xr:uid="{1BE90C2A-2ACB-4C42-BF8F-721AE764F2FC}"/>
    <cellStyle name="Percent 13 4 2 2 4" xfId="5156" xr:uid="{77379283-E65B-4633-82F5-D788D7F0CC6A}"/>
    <cellStyle name="Percent 13 4 2 2 4 2" xfId="10626" xr:uid="{867AF9E8-5DE5-4BA6-B387-6430A091129B}"/>
    <cellStyle name="Percent 13 4 2 2 5" xfId="5654" xr:uid="{B3180E4F-1DC9-45FE-A734-314DE7F924EF}"/>
    <cellStyle name="Percent 13 4 2 2 5 2" xfId="11128" xr:uid="{CCF29169-6347-4702-9275-CA074F040459}"/>
    <cellStyle name="Percent 13 4 2 2 6" xfId="6156" xr:uid="{859CD639-CCE0-4192-8037-37257AD5802E}"/>
    <cellStyle name="Percent 13 4 2 2 6 2" xfId="11630" xr:uid="{35C913FB-B701-46C0-BCCB-F44B06553C95}"/>
    <cellStyle name="Percent 13 4 2 2 7" xfId="3174" xr:uid="{A48D08AC-D71C-4D26-A4A2-40310F0CC4D0}"/>
    <cellStyle name="Percent 13 4 2 2 8" xfId="7096" xr:uid="{E6F498E0-5D95-4254-B067-55AC57994BEB}"/>
    <cellStyle name="Percent 13 4 2 2 9" xfId="8620" xr:uid="{9AA8B19D-FB66-4FCE-9465-67123DAAB692}"/>
    <cellStyle name="Percent 13 4 2 3" xfId="1708" xr:uid="{E4EC8949-7681-4562-80FD-1313DADAE859}"/>
    <cellStyle name="Percent 13 4 2 3 2" xfId="4430" xr:uid="{FC54FB7B-1D75-4BD9-AEE1-32813AD70455}"/>
    <cellStyle name="Percent 13 4 2 3 2 2" xfId="9876" xr:uid="{36087402-BA7F-4E5B-A7AF-E2D5A664324C}"/>
    <cellStyle name="Percent 13 4 2 3 3" xfId="3420" xr:uid="{28B1B430-5C1B-4429-ABB1-86B7180099A6}"/>
    <cellStyle name="Percent 13 4 2 3 4" xfId="7354" xr:uid="{A591C409-66E6-4D99-B93B-7C80AD46FCDA}"/>
    <cellStyle name="Percent 13 4 2 3 5" xfId="8868" xr:uid="{DA16E7BE-1D9D-4A44-877C-29A2A8F3F69A}"/>
    <cellStyle name="Percent 13 4 2 3 6" xfId="12488" xr:uid="{B5E7C5E9-05D8-4F1E-90CF-49F94D8780CE}"/>
    <cellStyle name="Percent 13 4 2 3 7" xfId="14233" xr:uid="{39151FB6-8B72-4F8F-852D-B570DB374F00}"/>
    <cellStyle name="Percent 13 4 2 4" xfId="2216" xr:uid="{D3952AD2-906A-4C7F-8386-F52A3A7ADAF0}"/>
    <cellStyle name="Percent 13 4 2 4 2" xfId="3936" xr:uid="{429FB8B6-A012-42D0-A589-F4B6A6E14C45}"/>
    <cellStyle name="Percent 13 4 2 4 3" xfId="7862" xr:uid="{CDA8EDCC-6A7F-417F-BA4E-BC65CCCDB2B2}"/>
    <cellStyle name="Percent 13 4 2 4 4" xfId="9380" xr:uid="{C335B8CD-06BE-4D45-92A7-A81EF402BC67}"/>
    <cellStyle name="Percent 13 4 2 4 5" xfId="12994" xr:uid="{BA66B6EA-451D-4A88-9990-E16A9A37427B}"/>
    <cellStyle name="Percent 13 4 2 4 6" xfId="14739" xr:uid="{ADE6ED03-63D3-4FC7-9674-04403DF82D9E}"/>
    <cellStyle name="Percent 13 4 2 5" xfId="4916" xr:uid="{B76C1BB0-1E8F-46CE-ACF4-EF437C7F4973}"/>
    <cellStyle name="Percent 13 4 2 5 2" xfId="10378" xr:uid="{66BE5ADC-B08E-486E-86A6-B77B880DDDC3}"/>
    <cellStyle name="Percent 13 4 2 6" xfId="5406" xr:uid="{C30C4684-5444-430F-B5F9-C1718069B65C}"/>
    <cellStyle name="Percent 13 4 2 6 2" xfId="10880" xr:uid="{9C1F9AE9-5CFA-4257-AA7D-A8850802AE85}"/>
    <cellStyle name="Percent 13 4 2 7" xfId="5908" xr:uid="{E8A38937-864E-4E61-9392-10DEF05AF3AC}"/>
    <cellStyle name="Percent 13 4 2 7 2" xfId="11382" xr:uid="{D758677A-F272-44AC-9C6D-76C639DB5879}"/>
    <cellStyle name="Percent 13 4 2 8" xfId="2932" xr:uid="{7A0F706E-DA92-4A4C-9BA0-B894AF9E8851}"/>
    <cellStyle name="Percent 13 4 2 9" xfId="6848" xr:uid="{8B201508-0864-430E-B263-39F3C3BBA5C6}"/>
    <cellStyle name="Percent 13 4 3" xfId="1326" xr:uid="{338F90DB-C5BA-47D1-88A2-D8E804E121DD}"/>
    <cellStyle name="Percent 13 4 3 10" xfId="12106" xr:uid="{808015A5-692A-4C3B-B436-587D47500A25}"/>
    <cellStyle name="Percent 13 4 3 11" xfId="13851" xr:uid="{DEA4B9C2-2F00-464B-A063-93E121C22D0E}"/>
    <cellStyle name="Percent 13 4 3 2" xfId="1832" xr:uid="{C8911880-D14D-4274-8644-AC30651825D7}"/>
    <cellStyle name="Percent 13 4 3 2 2" xfId="4554" xr:uid="{FEED12EA-8689-4D0B-9FDD-8DA780BD1A9D}"/>
    <cellStyle name="Percent 13 4 3 2 2 2" xfId="10000" xr:uid="{B05E5AA8-75EC-44FC-9557-F0BC35B059F7}"/>
    <cellStyle name="Percent 13 4 3 2 3" xfId="3544" xr:uid="{8785921A-4F71-4E38-AADA-90CF18801854}"/>
    <cellStyle name="Percent 13 4 3 2 4" xfId="7478" xr:uid="{17CBE66C-AD88-45E1-9027-AA52F5F61F74}"/>
    <cellStyle name="Percent 13 4 3 2 5" xfId="8992" xr:uid="{1FDDFEE4-A8DC-42EE-A77C-E2F770E7F21F}"/>
    <cellStyle name="Percent 13 4 3 2 6" xfId="12612" xr:uid="{2A1D9C33-CF2E-41A4-A393-63F4865EAB74}"/>
    <cellStyle name="Percent 13 4 3 2 7" xfId="14357" xr:uid="{A57A8717-5F2F-4A89-80C3-F8891C5C32C7}"/>
    <cellStyle name="Percent 13 4 3 3" xfId="2340" xr:uid="{2D921528-C0B2-45DD-A1BD-20887C90BA5C}"/>
    <cellStyle name="Percent 13 4 3 3 2" xfId="4060" xr:uid="{8E4094CE-5B00-4575-BD36-27298DB4DBD9}"/>
    <cellStyle name="Percent 13 4 3 3 3" xfId="7986" xr:uid="{D5872B96-6C1A-43D0-BEF2-B9BBB6D0BA18}"/>
    <cellStyle name="Percent 13 4 3 3 4" xfId="9504" xr:uid="{EF5F0255-885D-4D71-8C01-A99AD2725BBC}"/>
    <cellStyle name="Percent 13 4 3 3 5" xfId="13118" xr:uid="{5D820E3C-9D1A-410F-926A-2B6D95D9A993}"/>
    <cellStyle name="Percent 13 4 3 3 6" xfId="14863" xr:uid="{EFB0EE9A-35FB-43DB-A04A-7D7EA71938A6}"/>
    <cellStyle name="Percent 13 4 3 4" xfId="5032" xr:uid="{D252295F-09A4-4B7E-BAF1-BBD7664AE6E0}"/>
    <cellStyle name="Percent 13 4 3 4 2" xfId="10502" xr:uid="{E80D0D85-54D9-4F9E-A2AD-61CDD55D2F08}"/>
    <cellStyle name="Percent 13 4 3 5" xfId="5530" xr:uid="{09B39B70-71EB-40EA-90B0-E230B8C92189}"/>
    <cellStyle name="Percent 13 4 3 5 2" xfId="11004" xr:uid="{F9305CFD-F323-4B4C-9DB6-1122B30FF3CC}"/>
    <cellStyle name="Percent 13 4 3 6" xfId="6032" xr:uid="{E031A305-FC87-4801-BB33-4B139E7E3FCD}"/>
    <cellStyle name="Percent 13 4 3 6 2" xfId="11506" xr:uid="{3E1EA1A9-3D75-40BD-ADB7-4A2D3FA6C99C}"/>
    <cellStyle name="Percent 13 4 3 7" xfId="3050" xr:uid="{A2D756F4-280B-41B8-9660-60C43A534301}"/>
    <cellStyle name="Percent 13 4 3 8" xfId="6972" xr:uid="{647ACEE4-A685-4479-96D3-5ABCB2237FBD}"/>
    <cellStyle name="Percent 13 4 3 9" xfId="8496" xr:uid="{7349B33A-62E5-4E96-BD82-E0BB437519E2}"/>
    <cellStyle name="Percent 13 4 4" xfId="1584" xr:uid="{11D9A751-057D-4989-AFBE-CBD92391F020}"/>
    <cellStyle name="Percent 13 4 4 2" xfId="4306" xr:uid="{77E5ED3D-AFB0-4C2B-A70A-045DC500EB84}"/>
    <cellStyle name="Percent 13 4 4 2 2" xfId="9752" xr:uid="{CD1E436B-2580-4FD7-911E-2674794B3A4A}"/>
    <cellStyle name="Percent 13 4 4 3" xfId="3296" xr:uid="{3497725D-0E5C-4888-B7B7-68C3B85A023C}"/>
    <cellStyle name="Percent 13 4 4 4" xfId="7230" xr:uid="{33AD82CA-1C02-47D0-987E-7AD9A660350E}"/>
    <cellStyle name="Percent 13 4 4 5" xfId="8744" xr:uid="{49DC4699-4590-43EC-BC48-36252DBD3031}"/>
    <cellStyle name="Percent 13 4 4 6" xfId="12364" xr:uid="{E868E026-674F-4DBD-BC67-4675F7E78F28}"/>
    <cellStyle name="Percent 13 4 4 7" xfId="14109" xr:uid="{5CDE621E-5E56-4A08-95B7-0EBD2B6B3249}"/>
    <cellStyle name="Percent 13 4 5" xfId="2092" xr:uid="{9EC2B8BD-CFFA-4E2A-B812-10E462A55056}"/>
    <cellStyle name="Percent 13 4 5 2" xfId="3812" xr:uid="{DBDF8E32-40F4-48E1-BCB5-3FC6182A0FED}"/>
    <cellStyle name="Percent 13 4 5 3" xfId="7738" xr:uid="{559A7B09-2B50-4DC4-B6FA-F0A5F6692BAC}"/>
    <cellStyle name="Percent 13 4 5 4" xfId="9256" xr:uid="{28EB24A8-2FE6-4994-97BC-AEC016BCAF44}"/>
    <cellStyle name="Percent 13 4 5 5" xfId="12870" xr:uid="{816E6C9C-DFBA-43CE-B88E-55D6A8D9437C}"/>
    <cellStyle name="Percent 13 4 5 6" xfId="14615" xr:uid="{31B54AC8-7AD2-4343-BFC1-10126CBDA22D}"/>
    <cellStyle name="Percent 13 4 6" xfId="4800" xr:uid="{CF1F2C88-D2E7-4FFB-97AC-2BB8C49A4679}"/>
    <cellStyle name="Percent 13 4 6 2" xfId="10254" xr:uid="{80DBBBD7-277B-41EB-8443-470348FC74CB}"/>
    <cellStyle name="Percent 13 4 7" xfId="5282" xr:uid="{D1E3A85A-C400-4336-949D-F07797EA85AF}"/>
    <cellStyle name="Percent 13 4 7 2" xfId="10756" xr:uid="{EEC9EDFA-693B-483B-B7F5-3DFC8478DE25}"/>
    <cellStyle name="Percent 13 4 8" xfId="5784" xr:uid="{1093DB0A-EA21-4569-80E8-17294E1E1219}"/>
    <cellStyle name="Percent 13 4 8 2" xfId="11258" xr:uid="{FDAA833A-E07D-4ED7-8F79-D3DAA77D5088}"/>
    <cellStyle name="Percent 13 4 9" xfId="2816" xr:uid="{59328884-1EBF-4222-838D-B4EC20FF4EFE}"/>
    <cellStyle name="Percent 13 5" xfId="1086" xr:uid="{B229D29C-7C45-4F7F-A5EF-2385D146B3C8}"/>
    <cellStyle name="Percent 13 5 10" xfId="8256" xr:uid="{B6A0988B-DDA4-4181-A5BD-C314C571A4B2}"/>
    <cellStyle name="Percent 13 5 11" xfId="11866" xr:uid="{1B6A09CC-3367-4C74-945C-72D71FF71321}"/>
    <cellStyle name="Percent 13 5 12" xfId="13611" xr:uid="{FEEF6696-C6F6-4BFB-8232-F0022D6CC7CB}"/>
    <cellStyle name="Percent 13 5 2" xfId="1334" xr:uid="{55180EC1-063E-488B-B94B-55B841DE2904}"/>
    <cellStyle name="Percent 13 5 2 10" xfId="12114" xr:uid="{2D216E0F-3ADA-40DE-B21F-8CFA14BE6821}"/>
    <cellStyle name="Percent 13 5 2 11" xfId="13859" xr:uid="{A4420313-E7AC-4582-9FF8-ABBBD9A5CDFC}"/>
    <cellStyle name="Percent 13 5 2 2" xfId="1840" xr:uid="{A384D1DD-58B5-4DC2-A19C-777F30B487E2}"/>
    <cellStyle name="Percent 13 5 2 2 2" xfId="4562" xr:uid="{D9794B5E-1684-4310-A4D4-ED8482771837}"/>
    <cellStyle name="Percent 13 5 2 2 2 2" xfId="10008" xr:uid="{E24FAF7B-289F-418A-B021-C341B5CB28E3}"/>
    <cellStyle name="Percent 13 5 2 2 3" xfId="3552" xr:uid="{D893B2A9-F1E7-4A64-96F2-3C3A3E839373}"/>
    <cellStyle name="Percent 13 5 2 2 4" xfId="7486" xr:uid="{952D0991-8148-4255-B541-21B2FC49D30F}"/>
    <cellStyle name="Percent 13 5 2 2 5" xfId="9000" xr:uid="{2B8CB706-AC2A-4940-B78C-79496FED7550}"/>
    <cellStyle name="Percent 13 5 2 2 6" xfId="12620" xr:uid="{918473EF-E002-47B3-BA70-D30FDC2E2D18}"/>
    <cellStyle name="Percent 13 5 2 2 7" xfId="14365" xr:uid="{A6403229-4291-4137-AC4B-52872BB57B6F}"/>
    <cellStyle name="Percent 13 5 2 3" xfId="2348" xr:uid="{426B43B3-C548-4CC5-87CC-E647E6ADC5DA}"/>
    <cellStyle name="Percent 13 5 2 3 2" xfId="4068" xr:uid="{B5553281-632C-4583-A91F-211B8B156D6C}"/>
    <cellStyle name="Percent 13 5 2 3 3" xfId="7994" xr:uid="{EFE3F52F-2D7F-4863-BA1E-55A2A158EBC8}"/>
    <cellStyle name="Percent 13 5 2 3 4" xfId="9512" xr:uid="{729F9811-DDFF-4309-81D4-7377477825CD}"/>
    <cellStyle name="Percent 13 5 2 3 5" xfId="13126" xr:uid="{DC5F8913-E8EF-4196-A38F-69FF56EAD1BC}"/>
    <cellStyle name="Percent 13 5 2 3 6" xfId="14871" xr:uid="{52B5A8ED-1CB3-461A-8A9A-585B9F3720BE}"/>
    <cellStyle name="Percent 13 5 2 4" xfId="5040" xr:uid="{2471921F-FDA9-4BC4-A576-F8FA2F346740}"/>
    <cellStyle name="Percent 13 5 2 4 2" xfId="10510" xr:uid="{08360DD3-6037-4C3D-8A47-34063389B234}"/>
    <cellStyle name="Percent 13 5 2 5" xfId="5538" xr:uid="{9CA9D968-AEB2-4B08-87B3-0713D4EDEB56}"/>
    <cellStyle name="Percent 13 5 2 5 2" xfId="11012" xr:uid="{A655A0A3-C15E-4DD9-BECC-DB91616FE047}"/>
    <cellStyle name="Percent 13 5 2 6" xfId="6040" xr:uid="{6E0EAAA9-F4B8-4B02-8B4A-14B0A759F26C}"/>
    <cellStyle name="Percent 13 5 2 6 2" xfId="11514" xr:uid="{10C3C30A-EEB4-4048-94CE-09094CF4750E}"/>
    <cellStyle name="Percent 13 5 2 7" xfId="3058" xr:uid="{FE9E048B-4873-4104-9F13-17F88EB7D832}"/>
    <cellStyle name="Percent 13 5 2 8" xfId="6980" xr:uid="{FD8EF659-38D6-4D1F-B106-345EBE7736F7}"/>
    <cellStyle name="Percent 13 5 2 9" xfId="8504" xr:uid="{1BC13254-E53B-463E-A794-AEAEFFFFAA92}"/>
    <cellStyle name="Percent 13 5 3" xfId="1592" xr:uid="{B20C2F04-A3E6-40B7-869A-6F8329E2E1B5}"/>
    <cellStyle name="Percent 13 5 3 2" xfId="4314" xr:uid="{866B2BF3-C19D-478F-909E-DFB8FB84EC39}"/>
    <cellStyle name="Percent 13 5 3 2 2" xfId="9760" xr:uid="{80348A49-B171-4E37-BECD-D18896AD6408}"/>
    <cellStyle name="Percent 13 5 3 3" xfId="3304" xr:uid="{B75D3A0B-29A6-439E-8E6D-FD3DC8EE24E4}"/>
    <cellStyle name="Percent 13 5 3 4" xfId="7238" xr:uid="{F54554A7-6A38-428E-BE51-EDC5F354CB23}"/>
    <cellStyle name="Percent 13 5 3 5" xfId="8752" xr:uid="{8391E917-EF40-4015-A77A-520552E392D9}"/>
    <cellStyle name="Percent 13 5 3 6" xfId="12372" xr:uid="{A2B7B64D-FCC9-4E9A-96D9-718319A62769}"/>
    <cellStyle name="Percent 13 5 3 7" xfId="14117" xr:uid="{4E7ABEFC-6C19-4353-8122-E981BD5ABA3B}"/>
    <cellStyle name="Percent 13 5 4" xfId="2100" xr:uid="{C531DA59-105C-4AC5-94E5-DA2FD14BE344}"/>
    <cellStyle name="Percent 13 5 4 2" xfId="3820" xr:uid="{82B0D2AD-12D4-48F4-8676-C30DDE32F50E}"/>
    <cellStyle name="Percent 13 5 4 3" xfId="7746" xr:uid="{BF1C178F-D632-4C1A-BB55-01FF55E1CB8D}"/>
    <cellStyle name="Percent 13 5 4 4" xfId="9264" xr:uid="{59348005-86A0-44F3-8FF0-4820C29B9BFA}"/>
    <cellStyle name="Percent 13 5 4 5" xfId="12878" xr:uid="{AA92AB84-AE84-40EC-B3D3-7C57BC7B2FC9}"/>
    <cellStyle name="Percent 13 5 4 6" xfId="14623" xr:uid="{121F60B6-04EC-41EC-A7E8-D8AA7C79E074}"/>
    <cellStyle name="Percent 13 5 5" xfId="4808" xr:uid="{5A286ABC-D4C6-408A-9552-A2CE7EDDC1B2}"/>
    <cellStyle name="Percent 13 5 5 2" xfId="10262" xr:uid="{088FBF20-B9AA-4FAC-937C-F001CAA3E97B}"/>
    <cellStyle name="Percent 13 5 6" xfId="5290" xr:uid="{D20301A4-84AD-4D8F-AA68-72481E64C107}"/>
    <cellStyle name="Percent 13 5 6 2" xfId="10764" xr:uid="{C332C35F-D335-4EC3-8254-D1E9591B23EB}"/>
    <cellStyle name="Percent 13 5 7" xfId="5792" xr:uid="{44B1F6FE-851B-4B25-8785-67B225748F94}"/>
    <cellStyle name="Percent 13 5 7 2" xfId="11266" xr:uid="{D03F0454-EB73-4C96-A78E-FD22FBD6ED93}"/>
    <cellStyle name="Percent 13 5 8" xfId="2824" xr:uid="{4FCA7D05-68F4-40F9-8482-FA2E167E2571}"/>
    <cellStyle name="Percent 13 5 9" xfId="6732" xr:uid="{38304153-7D9F-4687-9F66-D57DE49DE9A2}"/>
    <cellStyle name="Percent 13 6" xfId="1210" xr:uid="{FC416691-C3C3-4ED4-B83D-FBD6005238CD}"/>
    <cellStyle name="Percent 13 6 10" xfId="11990" xr:uid="{65E52534-0576-4DB5-A2B4-250C0CE4C5BF}"/>
    <cellStyle name="Percent 13 6 11" xfId="13735" xr:uid="{53F726B4-3BD0-4A22-8807-8A3F2005D0A2}"/>
    <cellStyle name="Percent 13 6 2" xfId="1716" xr:uid="{BB0233C4-B85F-4289-BBD0-DB980F32D1C5}"/>
    <cellStyle name="Percent 13 6 2 2" xfId="4438" xr:uid="{0BC4430D-EB6D-4064-A2FA-69B1C81CABE3}"/>
    <cellStyle name="Percent 13 6 2 2 2" xfId="9884" xr:uid="{4372EC5B-109E-4AF1-B7D2-BEFDE8069F86}"/>
    <cellStyle name="Percent 13 6 2 3" xfId="3428" xr:uid="{6FEA23EE-D9D6-4F13-9D3F-8C95A7EFD3AC}"/>
    <cellStyle name="Percent 13 6 2 4" xfId="7362" xr:uid="{1C154FBB-961A-4870-9FCA-FF3105469A49}"/>
    <cellStyle name="Percent 13 6 2 5" xfId="8876" xr:uid="{171A7813-6C11-4D37-B8F8-2BB67F1994E8}"/>
    <cellStyle name="Percent 13 6 2 6" xfId="12496" xr:uid="{B19E0077-B689-411E-92EF-45A8250C3F4D}"/>
    <cellStyle name="Percent 13 6 2 7" xfId="14241" xr:uid="{A77B2AB3-7475-4C80-B841-109448317E1C}"/>
    <cellStyle name="Percent 13 6 3" xfId="2224" xr:uid="{EBA11C3C-396D-457A-9BB1-7117882B72B3}"/>
    <cellStyle name="Percent 13 6 3 2" xfId="3944" xr:uid="{6C07CE50-487A-43CB-AD41-B1A821E86A05}"/>
    <cellStyle name="Percent 13 6 3 3" xfId="7870" xr:uid="{01524A12-8191-4445-8A1A-8E720A21F093}"/>
    <cellStyle name="Percent 13 6 3 4" xfId="9388" xr:uid="{550F43FF-9391-469C-9431-4AE2592993A1}"/>
    <cellStyle name="Percent 13 6 3 5" xfId="13002" xr:uid="{2CEE4C3A-83B0-4570-AB0A-507AB1C33E2C}"/>
    <cellStyle name="Percent 13 6 3 6" xfId="14747" xr:uid="{FF944333-060F-45F7-A01C-4AC65AE6ECED}"/>
    <cellStyle name="Percent 13 6 4" xfId="4924" xr:uid="{A42D4F5C-84BB-4A87-95D0-37694BE10554}"/>
    <cellStyle name="Percent 13 6 4 2" xfId="10386" xr:uid="{AE8C4814-183F-41B0-872B-8868BA136185}"/>
    <cellStyle name="Percent 13 6 5" xfId="5414" xr:uid="{011CDCE1-3C94-41A1-B688-92276055073F}"/>
    <cellStyle name="Percent 13 6 5 2" xfId="10888" xr:uid="{4F732BBC-7556-4A98-AE4D-1C2A2848333E}"/>
    <cellStyle name="Percent 13 6 6" xfId="5916" xr:uid="{D2210986-D6B4-4BC3-8D8A-6360C32B8ED0}"/>
    <cellStyle name="Percent 13 6 6 2" xfId="11390" xr:uid="{B50F3C02-D6A7-47C9-A08C-CF4777152259}"/>
    <cellStyle name="Percent 13 6 7" xfId="2940" xr:uid="{2804C419-38EA-496C-9691-25951D17D208}"/>
    <cellStyle name="Percent 13 6 8" xfId="6856" xr:uid="{F9683A9D-349A-454D-844E-E94A584A4B95}"/>
    <cellStyle name="Percent 13 6 9" xfId="8380" xr:uid="{0CF4ECFE-6768-45E5-B967-0A3E3D6D0373}"/>
    <cellStyle name="Percent 13 7" xfId="1468" xr:uid="{1A1D0F66-058A-4EF7-B928-BE04E2D2911A}"/>
    <cellStyle name="Percent 13 7 2" xfId="4192" xr:uid="{B306EF33-85FE-4B02-814D-ECCA552E76A9}"/>
    <cellStyle name="Percent 13 7 2 2" xfId="9636" xr:uid="{B3939811-0175-4A97-9DB9-6E1D2A2F242D}"/>
    <cellStyle name="Percent 13 7 3" xfId="3182" xr:uid="{E7B2BF88-AF0D-4959-9402-B475DFF7A6FE}"/>
    <cellStyle name="Percent 13 7 4" xfId="7114" xr:uid="{7A7B50F0-493E-4772-BE17-19EEB0C00D49}"/>
    <cellStyle name="Percent 13 7 5" xfId="8628" xr:uid="{D209F822-C31E-4977-B616-565A10A018A0}"/>
    <cellStyle name="Percent 13 7 6" xfId="12248" xr:uid="{F65337E2-D2B4-42CF-8037-080E9380C913}"/>
    <cellStyle name="Percent 13 7 7" xfId="13993" xr:uid="{3A5FBF73-6DC2-4416-AC58-9782746B03D2}"/>
    <cellStyle name="Percent 13 8" xfId="1975" xr:uid="{F2A54ED7-AA18-4518-96E7-D00F17842927}"/>
    <cellStyle name="Percent 13 8 2" xfId="3696" xr:uid="{9FD83F29-CDC6-416A-9DA8-253AF55F9330}"/>
    <cellStyle name="Percent 13 8 3" xfId="7621" xr:uid="{BB477C3F-5A51-4DED-8A0A-804FE688113C}"/>
    <cellStyle name="Percent 13 8 4" xfId="9140" xr:uid="{EBA14266-6333-4B4A-83D6-4AECE85AA10F}"/>
    <cellStyle name="Percent 13 8 5" xfId="12754" xr:uid="{CEC9DF30-B2C1-4925-BB92-1E4324335B13}"/>
    <cellStyle name="Percent 13 8 6" xfId="14499" xr:uid="{2AA2B277-41E7-48DC-9C17-0CE3E6A09640}"/>
    <cellStyle name="Percent 13 9" xfId="4692" xr:uid="{2EB6BBB3-A4F4-401A-9397-B1625FAEEA3B}"/>
    <cellStyle name="Percent 13 9 2" xfId="10138" xr:uid="{DD05022B-F58E-49BC-ABA1-FACC043FF7E0}"/>
    <cellStyle name="Percent 2" xfId="78" xr:uid="{00000000-0005-0000-0000-0000A0010000}"/>
    <cellStyle name="Percent 2 10" xfId="509" xr:uid="{0AE99532-4719-4908-A808-DBCF965250D9}"/>
    <cellStyle name="Percent 2 2" xfId="79" xr:uid="{00000000-0005-0000-0000-0000A1010000}"/>
    <cellStyle name="Percent 2 2 2" xfId="80" xr:uid="{00000000-0005-0000-0000-0000A2010000}"/>
    <cellStyle name="Percent 2 2 2 2" xfId="151" xr:uid="{00000000-0005-0000-0000-0000A3010000}"/>
    <cellStyle name="Percent 2 2 2 2 2" xfId="321" xr:uid="{00000000-0005-0000-0000-0000A4010000}"/>
    <cellStyle name="Percent 2 2 2 3" xfId="269" xr:uid="{00000000-0005-0000-0000-0000A5010000}"/>
    <cellStyle name="Percent 2 2 3" xfId="81" xr:uid="{00000000-0005-0000-0000-0000A6010000}"/>
    <cellStyle name="Percent 2 2 3 2" xfId="152" xr:uid="{00000000-0005-0000-0000-0000A7010000}"/>
    <cellStyle name="Percent 2 2 3 2 2" xfId="322" xr:uid="{00000000-0005-0000-0000-0000A8010000}"/>
    <cellStyle name="Percent 2 2 3 3" xfId="270" xr:uid="{00000000-0005-0000-0000-0000A9010000}"/>
    <cellStyle name="Percent 2 2 4" xfId="82" xr:uid="{00000000-0005-0000-0000-0000AA010000}"/>
    <cellStyle name="Percent 2 2 4 2" xfId="153" xr:uid="{00000000-0005-0000-0000-0000AB010000}"/>
    <cellStyle name="Percent 2 2 4 2 2" xfId="323" xr:uid="{00000000-0005-0000-0000-0000AC010000}"/>
    <cellStyle name="Percent 2 2 4 3" xfId="271" xr:uid="{00000000-0005-0000-0000-0000AD010000}"/>
    <cellStyle name="Percent 2 2 5" xfId="268" xr:uid="{00000000-0005-0000-0000-0000AE010000}"/>
    <cellStyle name="Percent 2 3" xfId="83" xr:uid="{00000000-0005-0000-0000-0000AF010000}"/>
    <cellStyle name="Percent 2 3 2" xfId="84" xr:uid="{00000000-0005-0000-0000-0000B0010000}"/>
    <cellStyle name="Percent 2 3 2 2" xfId="154" xr:uid="{00000000-0005-0000-0000-0000B1010000}"/>
    <cellStyle name="Percent 2 3 2 2 2" xfId="324" xr:uid="{00000000-0005-0000-0000-0000B2010000}"/>
    <cellStyle name="Percent 2 3 2 3" xfId="273" xr:uid="{00000000-0005-0000-0000-0000B3010000}"/>
    <cellStyle name="Percent 2 3 3" xfId="85" xr:uid="{00000000-0005-0000-0000-0000B4010000}"/>
    <cellStyle name="Percent 2 3 3 2" xfId="155" xr:uid="{00000000-0005-0000-0000-0000B5010000}"/>
    <cellStyle name="Percent 2 3 3 2 2" xfId="325" xr:uid="{00000000-0005-0000-0000-0000B6010000}"/>
    <cellStyle name="Percent 2 3 3 3" xfId="274" xr:uid="{00000000-0005-0000-0000-0000B7010000}"/>
    <cellStyle name="Percent 2 3 4" xfId="86" xr:uid="{00000000-0005-0000-0000-0000B8010000}"/>
    <cellStyle name="Percent 2 3 4 2" xfId="156" xr:uid="{00000000-0005-0000-0000-0000B9010000}"/>
    <cellStyle name="Percent 2 3 4 2 2" xfId="326" xr:uid="{00000000-0005-0000-0000-0000BA010000}"/>
    <cellStyle name="Percent 2 3 4 3" xfId="275" xr:uid="{00000000-0005-0000-0000-0000BB010000}"/>
    <cellStyle name="Percent 2 3 5" xfId="272" xr:uid="{00000000-0005-0000-0000-0000BC010000}"/>
    <cellStyle name="Percent 2 4" xfId="87" xr:uid="{00000000-0005-0000-0000-0000BD010000}"/>
    <cellStyle name="Percent 2 4 2" xfId="157" xr:uid="{00000000-0005-0000-0000-0000BE010000}"/>
    <cellStyle name="Percent 2 4 2 2" xfId="327" xr:uid="{00000000-0005-0000-0000-0000BF010000}"/>
    <cellStyle name="Percent 2 4 3" xfId="276" xr:uid="{00000000-0005-0000-0000-0000C0010000}"/>
    <cellStyle name="Percent 2 5" xfId="88" xr:uid="{00000000-0005-0000-0000-0000C1010000}"/>
    <cellStyle name="Percent 2 5 2" xfId="158" xr:uid="{00000000-0005-0000-0000-0000C2010000}"/>
    <cellStyle name="Percent 2 5 2 2" xfId="328" xr:uid="{00000000-0005-0000-0000-0000C3010000}"/>
    <cellStyle name="Percent 2 5 3" xfId="277" xr:uid="{00000000-0005-0000-0000-0000C4010000}"/>
    <cellStyle name="Percent 2 6" xfId="89" xr:uid="{00000000-0005-0000-0000-0000C5010000}"/>
    <cellStyle name="Percent 2 6 2" xfId="159" xr:uid="{00000000-0005-0000-0000-0000C6010000}"/>
    <cellStyle name="Percent 2 6 2 2" xfId="329" xr:uid="{00000000-0005-0000-0000-0000C7010000}"/>
    <cellStyle name="Percent 2 6 3" xfId="278" xr:uid="{00000000-0005-0000-0000-0000C8010000}"/>
    <cellStyle name="Percent 2 7" xfId="102" xr:uid="{00000000-0005-0000-0000-0000C9010000}"/>
    <cellStyle name="Percent 2 7 2" xfId="3679" xr:uid="{5AED49F9-7A7B-4518-A1B8-61541E7017A4}"/>
    <cellStyle name="Percent 2 8" xfId="6479" xr:uid="{392C7B48-27CF-412B-AF42-A4BDFE2B76D8}"/>
    <cellStyle name="Percent 2 8 2" xfId="13455" xr:uid="{81E031FC-7C54-4CA0-B393-74B0449DFF67}"/>
    <cellStyle name="Percent 2 9" xfId="11710" xr:uid="{9D04F7A8-1F47-47D7-AABC-A9E3969A40F5}"/>
    <cellStyle name="Percent 3" xfId="90" xr:uid="{00000000-0005-0000-0000-0000CA010000}"/>
    <cellStyle name="Percent 3 2" xfId="91" xr:uid="{00000000-0005-0000-0000-0000CB010000}"/>
    <cellStyle name="Percent 3 2 2" xfId="160" xr:uid="{00000000-0005-0000-0000-0000CC010000}"/>
    <cellStyle name="Percent 3 2 2 2" xfId="330" xr:uid="{00000000-0005-0000-0000-0000CD010000}"/>
    <cellStyle name="Percent 3 2 3" xfId="280" xr:uid="{00000000-0005-0000-0000-0000CE010000}"/>
    <cellStyle name="Percent 3 3" xfId="92" xr:uid="{00000000-0005-0000-0000-0000CF010000}"/>
    <cellStyle name="Percent 3 3 2" xfId="161" xr:uid="{00000000-0005-0000-0000-0000D0010000}"/>
    <cellStyle name="Percent 3 3 2 2" xfId="331" xr:uid="{00000000-0005-0000-0000-0000D1010000}"/>
    <cellStyle name="Percent 3 3 3" xfId="281" xr:uid="{00000000-0005-0000-0000-0000D2010000}"/>
    <cellStyle name="Percent 3 4" xfId="93" xr:uid="{00000000-0005-0000-0000-0000D3010000}"/>
    <cellStyle name="Percent 3 4 2" xfId="162" xr:uid="{00000000-0005-0000-0000-0000D4010000}"/>
    <cellStyle name="Percent 3 4 2 2" xfId="332" xr:uid="{00000000-0005-0000-0000-0000D5010000}"/>
    <cellStyle name="Percent 3 4 3" xfId="282" xr:uid="{00000000-0005-0000-0000-0000D6010000}"/>
    <cellStyle name="Percent 3 4 3 2" xfId="2531" xr:uid="{538FE4F9-3935-4587-87D8-3D1EA8C7D6F0}"/>
    <cellStyle name="Percent 3 4 3 2 2" xfId="6606" xr:uid="{D4A104C5-8F1C-4D60-8688-DA97ECC079F0}"/>
    <cellStyle name="Percent 3 4 3 3" xfId="955" xr:uid="{BB1EA671-1962-4AD6-B032-2368D0793E6A}"/>
    <cellStyle name="Percent 3 5" xfId="120" xr:uid="{00000000-0005-0000-0000-0000D7010000}"/>
    <cellStyle name="Percent 3 5 2" xfId="293" xr:uid="{00000000-0005-0000-0000-0000D8010000}"/>
    <cellStyle name="Percent 3 5 2 2" xfId="2536" xr:uid="{5A1AF4DF-FBD2-4F78-A5EC-9CFFC4BB399B}"/>
    <cellStyle name="Percent 3 5 2 2 2" xfId="6630" xr:uid="{ED81439B-2DAB-4F8A-A9E4-0464AB626CB5}"/>
    <cellStyle name="Percent 3 5 2 3" xfId="984" xr:uid="{A9543565-13A6-4E07-8FF1-E53B3CC47417}"/>
    <cellStyle name="Percent 3 5 3" xfId="3685" xr:uid="{00DB7679-8ADB-4CBE-9927-DCE4DFAB039C}"/>
    <cellStyle name="Percent 3 6" xfId="279" xr:uid="{00000000-0005-0000-0000-0000D9010000}"/>
    <cellStyle name="Percent 3 6 2" xfId="2530" xr:uid="{4C3BF6E0-E84E-4B65-8D88-05008557FEAC}"/>
    <cellStyle name="Percent 3 6 2 2" xfId="6521" xr:uid="{4556E578-9C8B-48D1-A6ED-C4BFD2B4AE3D}"/>
    <cellStyle name="Percent 3 6 3" xfId="561" xr:uid="{3A7AA557-3969-4818-BD5F-83BE115C7170}"/>
    <cellStyle name="Percent 3 7" xfId="6255" xr:uid="{EC8A3AF7-FE00-4CF9-811A-8978A958BD8A}"/>
    <cellStyle name="Percent 3 7 2" xfId="11699" xr:uid="{53D91549-2D80-4379-8B17-596ABD684E1F}"/>
    <cellStyle name="Percent 4" xfId="167" xr:uid="{00000000-0005-0000-0000-0000DA010000}"/>
    <cellStyle name="Percent 4 2" xfId="884" xr:uid="{D3151FC5-F698-4A6D-8B14-C99ACFC0F041}"/>
    <cellStyle name="Percent 4 3" xfId="885" xr:uid="{EF81E1CF-F88A-4F2B-ACFD-C1BDB49DE0E1}"/>
    <cellStyle name="Percent 4 4" xfId="886" xr:uid="{598793D0-3370-435F-AB54-4AA4F7BCB243}"/>
    <cellStyle name="Percent 4 5" xfId="883" xr:uid="{170CE908-22C4-4042-A4D2-EEAC40200A01}"/>
    <cellStyle name="Percent 5" xfId="77" xr:uid="{00000000-0005-0000-0000-0000DB010000}"/>
    <cellStyle name="Percent 5 2" xfId="267" xr:uid="{00000000-0005-0000-0000-0000DC010000}"/>
    <cellStyle name="Percent 6" xfId="235" xr:uid="{00000000-0005-0000-0000-0000DD010000}"/>
    <cellStyle name="Percent 6 2" xfId="381" xr:uid="{00000000-0005-0000-0000-0000DE010000}"/>
    <cellStyle name="Percent 6 2 2" xfId="2589" xr:uid="{613D724A-E28F-4AAA-8424-AA1B35D85602}"/>
    <cellStyle name="Percent 6 2 2 2" xfId="6602" xr:uid="{DD1D8348-1A8F-4AC6-B626-FB5FFCB84C0D}"/>
    <cellStyle name="Percent 6 2 3" xfId="6356" xr:uid="{CF462367-0F48-46A5-B3ED-82624183FAC7}"/>
    <cellStyle name="Percent 6 2 4" xfId="13335" xr:uid="{1F0C4DFD-CC43-470A-9480-6376662D0548}"/>
    <cellStyle name="Percent 6 2 5" xfId="887" xr:uid="{7C5925C3-EC0E-421D-9497-8E8D4BA02ACE}"/>
    <cellStyle name="Percent 6 3" xfId="432" xr:uid="{00000000-0005-0000-0000-0000DF010000}"/>
    <cellStyle name="Percent 6 3 2" xfId="6407" xr:uid="{1994E933-522C-4EB4-AEB9-D82165CAC097}"/>
    <cellStyle name="Percent 6 3 3" xfId="11687" xr:uid="{A4539AD4-BF09-4DE1-973F-AD990E14F14D}"/>
    <cellStyle name="Percent 6 3 4" xfId="13386" xr:uid="{45C6A7DB-367F-4EE2-9382-B80D1FD72681}"/>
    <cellStyle name="Percent 6 3 5" xfId="2640" xr:uid="{7D3138A6-A498-4CA6-9619-AF880F334969}"/>
    <cellStyle name="Percent 6 4" xfId="489" xr:uid="{00000000-0005-0000-0000-0000E0010000}"/>
    <cellStyle name="Percent 6 4 2" xfId="6463" xr:uid="{1571B3EC-E20E-41D4-B247-261AB06D1C38}"/>
    <cellStyle name="Percent 6 4 3" xfId="13442" xr:uid="{464B6CD0-93E1-49C3-9485-D20A7E6C0980}"/>
    <cellStyle name="Percent 6 4 4" xfId="2696" xr:uid="{40C20827-A78B-405E-BF86-8C0304C5FCF2}"/>
    <cellStyle name="Percent 6 5" xfId="2517" xr:uid="{46BB1E41-3AD8-4957-8AFB-C78C028CED32}"/>
    <cellStyle name="Percent 6 5 2" xfId="6498" xr:uid="{54CEBB82-EA0D-4CFA-928B-B4E75478C501}"/>
    <cellStyle name="Percent 6 6" xfId="6305" xr:uid="{01993ED4-B6EF-44FF-B908-30A5B338D013}"/>
    <cellStyle name="Percent 6 7" xfId="13284" xr:uid="{F07DC256-6089-400D-97E5-1FA7E9C713E0}"/>
    <cellStyle name="Percent 6 8" xfId="531" xr:uid="{A3F0AF1F-77E3-4304-898C-8B00410DF36B}"/>
    <cellStyle name="Percent 7" xfId="460" xr:uid="{00000000-0005-0000-0000-0000E1010000}"/>
    <cellStyle name="Percent 7 2" xfId="888" xr:uid="{5CD935D1-890D-4925-BCFA-1B6E00FFAB75}"/>
    <cellStyle name="Percent 7 3" xfId="2668" xr:uid="{1E923C2D-526D-4CAA-8724-CAA2EC86CF02}"/>
    <cellStyle name="Percent 7 3 2" xfId="6501" xr:uid="{3119006F-B6EA-4584-9336-B5794229EC27}"/>
    <cellStyle name="Percent 7 4" xfId="6435" xr:uid="{80A136B2-1441-432F-83D0-9D0BB6A2F5F9}"/>
    <cellStyle name="Percent 7 5" xfId="13414" xr:uid="{634615A2-25E7-4085-80F3-FAF24D67B39E}"/>
    <cellStyle name="Percent 7 6" xfId="536" xr:uid="{17BDD3EF-DF83-4745-9295-DB0BD26C2143}"/>
    <cellStyle name="Percent 8" xfId="540" xr:uid="{CD6E5593-406B-4464-8BD2-EB230A2194AA}"/>
    <cellStyle name="Percent 8 2" xfId="889" xr:uid="{4FB6BE4C-00B9-4296-88A5-044004F7E5FD}"/>
    <cellStyle name="Percent 8 3" xfId="6505" xr:uid="{C2942278-C9EC-41E9-A338-15A23B434911}"/>
    <cellStyle name="Percent 8 4" xfId="11724" xr:uid="{78CBB6AB-8BC5-40B6-8AB3-E4E9E08677FB}"/>
    <cellStyle name="Percent 8 5" xfId="13469" xr:uid="{63643516-2FB1-4460-B760-F10E5CD8D55D}"/>
    <cellStyle name="Percent 9" xfId="890" xr:uid="{DD1CDAEE-6976-497C-AA2E-5690F2CF2490}"/>
    <cellStyle name="PSChar" xfId="94" xr:uid="{00000000-0005-0000-0000-0000E2010000}"/>
    <cellStyle name="PSChar 2" xfId="121" xr:uid="{00000000-0005-0000-0000-0000E3010000}"/>
    <cellStyle name="PSChar 2 2" xfId="294" xr:uid="{00000000-0005-0000-0000-0000E4010000}"/>
    <cellStyle name="PSChar 2 3" xfId="891" xr:uid="{44ADF0B7-F093-440E-AF17-357E3C84D279}"/>
    <cellStyle name="PSChar 3" xfId="104" xr:uid="{00000000-0005-0000-0000-0000E5010000}"/>
    <cellStyle name="PSChar 3 2" xfId="285" xr:uid="{00000000-0005-0000-0000-0000E6010000}"/>
    <cellStyle name="PSChar 3 3" xfId="892" xr:uid="{41831AE6-1858-4D43-AE06-6C947B411169}"/>
    <cellStyle name="PSChar 4" xfId="893" xr:uid="{8322F181-DA60-4F9E-8E67-D1049F6D7B76}"/>
    <cellStyle name="PSChar 5" xfId="894" xr:uid="{3E2D1F09-EBED-4F52-A5E3-BAA26F8D8C92}"/>
    <cellStyle name="PSChar 6" xfId="895" xr:uid="{F8FDE8D9-65D4-4E77-AA52-8AB0366B54A2}"/>
    <cellStyle name="PSDate" xfId="122" xr:uid="{00000000-0005-0000-0000-0000E7010000}"/>
    <cellStyle name="PSDate 2" xfId="171" xr:uid="{00000000-0005-0000-0000-0000E8010000}"/>
    <cellStyle name="PSDate 2 2" xfId="896" xr:uid="{C03AFBA2-2EDA-4BCD-A53F-EA1C50F5A172}"/>
    <cellStyle name="PSDate 2 3" xfId="897" xr:uid="{4F3672C5-8A0A-462F-9A0B-92BA5A161E30}"/>
    <cellStyle name="PSDate 3" xfId="898" xr:uid="{53364B52-66FE-4E94-82EB-6C0575ACF727}"/>
    <cellStyle name="PSDate 3 2" xfId="899" xr:uid="{CA763C41-4E63-489B-AEED-FD6CCC3B2D83}"/>
    <cellStyle name="PSDate 4" xfId="900" xr:uid="{946E83C6-E36D-4390-BDC3-DAD7C52325AF}"/>
    <cellStyle name="PSDate 5" xfId="901" xr:uid="{F7C4C33F-65B1-47D2-A292-F6CFE3895843}"/>
    <cellStyle name="PSDate 6" xfId="902" xr:uid="{AE9506CE-7D7A-4AA3-8FDC-F2AC6DA62324}"/>
    <cellStyle name="PSDec" xfId="105" xr:uid="{00000000-0005-0000-0000-0000E9010000}"/>
    <cellStyle name="PSDec 2" xfId="123" xr:uid="{00000000-0005-0000-0000-0000EA010000}"/>
    <cellStyle name="PSDec 2 2" xfId="295" xr:uid="{00000000-0005-0000-0000-0000EB010000}"/>
    <cellStyle name="PSDec 2 3" xfId="903" xr:uid="{876B84DA-B5FF-4329-A55E-CCF725EBC84D}"/>
    <cellStyle name="PSDec 3" xfId="172" xr:uid="{00000000-0005-0000-0000-0000EC010000}"/>
    <cellStyle name="PSDec 3 2" xfId="904" xr:uid="{A05F585A-CCAC-468D-ACB7-A6F30B3BF576}"/>
    <cellStyle name="PSDec 4" xfId="905" xr:uid="{DAD2E425-E042-49DC-9B22-2F3C779339EE}"/>
    <cellStyle name="PSDec 5" xfId="906" xr:uid="{EB784E89-5052-4648-A9C6-3EAD2D49025C}"/>
    <cellStyle name="PSDec 6" xfId="907" xr:uid="{41CADDBB-97F1-4F80-8183-B0046688D170}"/>
    <cellStyle name="PSHeading" xfId="106" xr:uid="{00000000-0005-0000-0000-0000ED010000}"/>
    <cellStyle name="PSHeading 10" xfId="908" xr:uid="{541BFA4C-E109-40E5-9E01-0FFEF2F917D2}"/>
    <cellStyle name="PSHeading 11" xfId="909" xr:uid="{B3C09D88-531F-458D-BE44-247F06242E6C}"/>
    <cellStyle name="PSHeading 2" xfId="124" xr:uid="{00000000-0005-0000-0000-0000EE010000}"/>
    <cellStyle name="PSHeading 2 2" xfId="910" xr:uid="{D9210C37-70AC-422E-BDB3-9E44B6B4AC94}"/>
    <cellStyle name="PSHeading 2 3" xfId="911" xr:uid="{B12CCB53-F388-4A0E-9C6C-56DD434168BC}"/>
    <cellStyle name="PSHeading 2_108 Summary" xfId="912" xr:uid="{F1C51E68-2EEC-409F-B37E-717748F4CDB9}"/>
    <cellStyle name="PSHeading 3" xfId="913" xr:uid="{CFB966D3-3EFA-458F-8535-28C2A5113F22}"/>
    <cellStyle name="PSHeading 3 2" xfId="914" xr:uid="{881FCD97-9E85-45F2-A640-BA6DF5643033}"/>
    <cellStyle name="PSHeading 3_108 Summary" xfId="915" xr:uid="{A154FCD2-3C7D-4064-AD4D-D9A765EB8434}"/>
    <cellStyle name="PSHeading 4" xfId="916" xr:uid="{FB769EF2-8F3A-4EC4-A3F7-21A505C654F1}"/>
    <cellStyle name="PSHeading 5" xfId="917" xr:uid="{C2C909D8-4417-4A0A-864B-EDC33EE61EAC}"/>
    <cellStyle name="PSHeading 6" xfId="918" xr:uid="{DF755A58-84D2-4E8A-BB3B-506615503A66}"/>
    <cellStyle name="PSHeading 7" xfId="919" xr:uid="{05D51AD9-D499-403B-8F62-2E99AC4AFBEF}"/>
    <cellStyle name="PSHeading 8" xfId="920" xr:uid="{A125F7EA-A392-485D-A930-4A1C29164561}"/>
    <cellStyle name="PSHeading 9" xfId="921" xr:uid="{3ECFE914-0986-419B-8992-C343A97C7793}"/>
    <cellStyle name="PSHeading_101 check" xfId="922" xr:uid="{34CCB475-77EF-4E31-9C8D-C7D128962A39}"/>
    <cellStyle name="PSInt" xfId="107" xr:uid="{00000000-0005-0000-0000-0000EF010000}"/>
    <cellStyle name="PSInt 2" xfId="173" xr:uid="{00000000-0005-0000-0000-0000F0010000}"/>
    <cellStyle name="PSInt 2 2" xfId="923" xr:uid="{F493B116-9010-4D57-9D4D-EF05E65FEE48}"/>
    <cellStyle name="PSInt 2 3" xfId="924" xr:uid="{8453EBD3-6780-4C21-8B29-9A1D41BC0801}"/>
    <cellStyle name="PSInt 3" xfId="925" xr:uid="{229C53C1-45FD-420B-A375-8702FAAB6C5E}"/>
    <cellStyle name="PSInt 3 2" xfId="926" xr:uid="{0A5E906B-68ED-4665-884A-E40555B959F2}"/>
    <cellStyle name="PSInt 4" xfId="927" xr:uid="{B8B89C09-51B2-450E-B20F-64BA812044D8}"/>
    <cellStyle name="PSInt 5" xfId="928" xr:uid="{A073DD39-2B29-41F9-9EEB-66DFA58D5261}"/>
    <cellStyle name="PSInt 6" xfId="929" xr:uid="{3AEAD7DA-DD5C-41DE-B215-476182086073}"/>
    <cellStyle name="PSSpacer" xfId="125" xr:uid="{00000000-0005-0000-0000-0000F1010000}"/>
    <cellStyle name="PSSpacer 2" xfId="174" xr:uid="{00000000-0005-0000-0000-0000F2010000}"/>
    <cellStyle name="PSSpacer 2 2" xfId="930" xr:uid="{5E12F918-D2C6-46FE-85C5-5C22C0495336}"/>
    <cellStyle name="PSSpacer 2 3" xfId="931" xr:uid="{9B81A1ED-E4E3-411B-B81A-7452AD07389F}"/>
    <cellStyle name="PSSpacer 3" xfId="932" xr:uid="{0AD74301-D874-4F43-B9B1-7DE3057B549A}"/>
    <cellStyle name="PSSpacer 3 2" xfId="933" xr:uid="{DF84FDB6-7E1A-4D22-BF2C-6D2517D095A6}"/>
    <cellStyle name="PSSpacer 4" xfId="934" xr:uid="{AE58B5C5-1656-4C23-81B8-9F03DF1A4CDD}"/>
    <cellStyle name="PSSpacer 5" xfId="935" xr:uid="{DD235BA9-63BC-46FC-8CFF-20692009D6C9}"/>
    <cellStyle name="PSSpacer 6" xfId="936" xr:uid="{81BAA9E6-755D-4001-8BEE-A1F0FE85C98D}"/>
    <cellStyle name="Title" xfId="175" builtinId="15" customBuiltin="1"/>
    <cellStyle name="Title 2" xfId="95" xr:uid="{00000000-0005-0000-0000-0000F4010000}"/>
    <cellStyle name="Title 2 2" xfId="937" xr:uid="{A718DEF0-FF9B-4D40-B390-3F2247151EBD}"/>
    <cellStyle name="Title 2 2 2" xfId="6235" xr:uid="{A40A4716-845C-4DF8-94EF-D3EE68318B62}"/>
    <cellStyle name="Title 3" xfId="938" xr:uid="{144BE4D6-BBB7-47DE-BA32-691435832C8B}"/>
    <cellStyle name="Title 4" xfId="939" xr:uid="{D04C0301-F472-4068-9401-0E07C282F402}"/>
    <cellStyle name="Title 5" xfId="940" xr:uid="{FC489D68-A07E-489A-A951-E3C471BC8627}"/>
    <cellStyle name="Title 6" xfId="6167" xr:uid="{3EE7C6E9-2148-478B-A254-5AD8724ACA50}"/>
    <cellStyle name="Total" xfId="190" builtinId="25" customBuiltin="1"/>
    <cellStyle name="Total 2" xfId="96" xr:uid="{00000000-0005-0000-0000-0000F6010000}"/>
    <cellStyle name="Total 2 2" xfId="941" xr:uid="{32EDC489-EFC8-42C5-911C-CCBFBE268563}"/>
    <cellStyle name="Total 2 2 2" xfId="6236" xr:uid="{B8B10D4F-D1B9-4E9E-9A6A-5A3EB98D90E3}"/>
    <cellStyle name="Total 3" xfId="942" xr:uid="{744BAD1F-0732-4F5D-829D-3A49FC02B315}"/>
    <cellStyle name="Total 4" xfId="943" xr:uid="{464149CC-1B49-4CD1-88E4-89502AA041C0}"/>
    <cellStyle name="Total 5" xfId="944" xr:uid="{E2C05104-FAAE-4366-A01B-4B3A4B20CE6E}"/>
    <cellStyle name="Total 6" xfId="945" xr:uid="{172D53C8-10C1-418C-8561-6A307988E987}"/>
    <cellStyle name="Total 7" xfId="946" xr:uid="{ACAF078E-204C-465F-B339-A275EB9CE01E}"/>
    <cellStyle name="Total 8" xfId="947" xr:uid="{FB42CA8F-61EA-4325-8F7C-E76D785EA954}"/>
    <cellStyle name="Total 9" xfId="6182" xr:uid="{F9E8AAC7-3730-464B-8BAD-566A3EDA3888}"/>
    <cellStyle name="Warning Text" xfId="188" builtinId="11" customBuiltin="1"/>
    <cellStyle name="Warning Text 2" xfId="97" xr:uid="{00000000-0005-0000-0000-0000F8010000}"/>
    <cellStyle name="Warning Text 3" xfId="948" xr:uid="{74F66E61-8BC8-4B03-BA55-B65A0BAE99E3}"/>
    <cellStyle name="Warning Text 4" xfId="949" xr:uid="{2D764E18-171A-40BA-A6B9-F105BEEFA90D}"/>
    <cellStyle name="Warning Text 5" xfId="950" xr:uid="{C1960B73-E8BC-4AC3-952F-EF70AB691577}"/>
    <cellStyle name="Warning Text 6" xfId="951" xr:uid="{41C565B9-15EC-4423-880E-83B403DD2CA5}"/>
    <cellStyle name="Warning Text 7" xfId="6180" xr:uid="{C9F7D726-A281-4DB0-99EA-6D88E710DB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workbookViewId="0">
      <selection activeCell="F11" sqref="F11"/>
    </sheetView>
  </sheetViews>
  <sheetFormatPr defaultRowHeight="12.75"/>
  <cols>
    <col min="2" max="2" width="8.7109375" customWidth="1"/>
    <col min="3" max="3" width="3.140625" customWidth="1"/>
    <col min="4" max="4" width="17.42578125" customWidth="1"/>
    <col min="5" max="5" width="1.7109375" customWidth="1"/>
    <col min="6" max="6" width="18.140625" customWidth="1"/>
  </cols>
  <sheetData>
    <row r="1" spans="1:6">
      <c r="A1" t="str">
        <f>+RS!B2</f>
        <v>KENTUCKY POWER BILLING ANALYSIS</v>
      </c>
    </row>
    <row r="2" spans="1:6">
      <c r="A2" t="str">
        <f>+RS!B3</f>
        <v>PER BOOKS</v>
      </c>
    </row>
    <row r="3" spans="1:6">
      <c r="A3" t="str">
        <f>+RS!B4</f>
        <v>TEST YEAR ENDED MARCH 31, 2023</v>
      </c>
    </row>
    <row r="5" spans="1:6">
      <c r="A5" s="52" t="s">
        <v>248</v>
      </c>
    </row>
    <row r="7" spans="1:6">
      <c r="D7" s="1" t="s">
        <v>308</v>
      </c>
      <c r="F7" s="1" t="s">
        <v>320</v>
      </c>
    </row>
    <row r="8" spans="1:6">
      <c r="A8" s="3" t="s">
        <v>2</v>
      </c>
      <c r="D8" s="3" t="s">
        <v>249</v>
      </c>
      <c r="F8" s="3" t="s">
        <v>250</v>
      </c>
    </row>
    <row r="9" spans="1:6">
      <c r="A9" s="3"/>
      <c r="D9" s="3"/>
      <c r="F9" s="3"/>
    </row>
    <row r="10" spans="1:6">
      <c r="A10" s="3"/>
    </row>
    <row r="11" spans="1:6">
      <c r="A11" s="9" t="s">
        <v>97</v>
      </c>
      <c r="D11" s="6">
        <f>RS!C17+RS!C18</f>
        <v>1583231</v>
      </c>
      <c r="F11" s="10">
        <f>RS!G34</f>
        <v>474969.3</v>
      </c>
    </row>
    <row r="12" spans="1:6">
      <c r="A12" s="9"/>
    </row>
    <row r="13" spans="1:6">
      <c r="A13" s="9" t="s">
        <v>98</v>
      </c>
      <c r="D13" s="6" t="e">
        <f>#REF!+#REF!+#REF!</f>
        <v>#REF!</v>
      </c>
      <c r="F13" s="10" t="e">
        <f>#REF!</f>
        <v>#REF!</v>
      </c>
    </row>
    <row r="14" spans="1:6">
      <c r="A14" s="9"/>
    </row>
    <row r="15" spans="1:6">
      <c r="A15" s="9" t="s">
        <v>157</v>
      </c>
      <c r="D15" s="16" t="e">
        <f>#REF!</f>
        <v>#REF!</v>
      </c>
      <c r="F15" s="13" t="e">
        <f>#REF!</f>
        <v>#REF!</v>
      </c>
    </row>
    <row r="16" spans="1:6">
      <c r="A16" s="9"/>
    </row>
    <row r="17" spans="1:6">
      <c r="A17" s="9" t="s">
        <v>17</v>
      </c>
      <c r="D17" s="6" t="e">
        <f>SUM(D11:D15)</f>
        <v>#REF!</v>
      </c>
      <c r="F17" s="8" t="e">
        <f>SUM(F11:F15)</f>
        <v>#REF!</v>
      </c>
    </row>
  </sheetData>
  <pageMargins left="0.5" right="0.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79"/>
  <sheetViews>
    <sheetView zoomScale="85" zoomScaleNormal="85" workbookViewId="0">
      <selection activeCell="B6" sqref="B6"/>
    </sheetView>
  </sheetViews>
  <sheetFormatPr defaultRowHeight="12.75"/>
  <cols>
    <col min="1" max="1" width="19" customWidth="1"/>
    <col min="2" max="2" width="21.85546875" customWidth="1"/>
    <col min="3" max="3" width="16.85546875" customWidth="1"/>
    <col min="4" max="4" width="16" bestFit="1" customWidth="1"/>
    <col min="5" max="5" width="12.5703125" customWidth="1"/>
  </cols>
  <sheetData>
    <row r="1" spans="1:5">
      <c r="A1" t="str">
        <f>+RS!B2</f>
        <v>KENTUCKY POWER BILLING ANALYSIS</v>
      </c>
    </row>
    <row r="2" spans="1:5">
      <c r="A2" t="str">
        <f>+RS!B4</f>
        <v>TEST YEAR ENDED MARCH 31, 2023</v>
      </c>
    </row>
    <row r="3" spans="1:5">
      <c r="A3" t="s">
        <v>149</v>
      </c>
    </row>
    <row r="6" spans="1:5">
      <c r="A6" s="1"/>
      <c r="B6" s="1" t="s">
        <v>6</v>
      </c>
      <c r="C6" s="1" t="s">
        <v>6</v>
      </c>
      <c r="D6" s="1"/>
      <c r="E6" s="1"/>
    </row>
    <row r="7" spans="1:5">
      <c r="A7" s="1"/>
      <c r="B7" s="1" t="s">
        <v>146</v>
      </c>
      <c r="C7" s="1" t="s">
        <v>147</v>
      </c>
      <c r="D7" s="1"/>
      <c r="E7" s="1" t="s">
        <v>77</v>
      </c>
    </row>
    <row r="8" spans="1:5">
      <c r="A8" s="3" t="s">
        <v>2</v>
      </c>
      <c r="B8" s="3" t="s">
        <v>313</v>
      </c>
      <c r="C8" s="3" t="s">
        <v>144</v>
      </c>
      <c r="D8" s="3" t="s">
        <v>76</v>
      </c>
      <c r="E8" s="3" t="s">
        <v>76</v>
      </c>
    </row>
    <row r="9" spans="1:5">
      <c r="A9" s="3"/>
      <c r="B9" s="3"/>
      <c r="C9" s="3"/>
      <c r="D9" s="3"/>
      <c r="E9" s="3"/>
    </row>
    <row r="10" spans="1:5">
      <c r="A10" t="s">
        <v>80</v>
      </c>
      <c r="B10" s="8" t="e">
        <f>'PB - BSRR'!C10</f>
        <v>#REF!</v>
      </c>
      <c r="C10" s="8" t="e">
        <f>RS!#REF!</f>
        <v>#REF!</v>
      </c>
      <c r="D10" s="8" t="e">
        <f>+C10-B10</f>
        <v>#REF!</v>
      </c>
      <c r="E10" s="14" t="e">
        <f>+D10/B10</f>
        <v>#REF!</v>
      </c>
    </row>
    <row r="11" spans="1:5">
      <c r="B11" s="8"/>
      <c r="C11" s="8"/>
      <c r="D11" s="8"/>
    </row>
    <row r="12" spans="1:5">
      <c r="A12" t="s">
        <v>81</v>
      </c>
      <c r="B12" s="8" t="e">
        <f>'PB - BSRR'!C12</f>
        <v>#REF!</v>
      </c>
      <c r="C12" s="8" t="e">
        <f>#REF!</f>
        <v>#REF!</v>
      </c>
      <c r="D12" s="8" t="e">
        <f>+C12-B12</f>
        <v>#REF!</v>
      </c>
      <c r="E12" s="14" t="e">
        <f>+D12/B12</f>
        <v>#REF!</v>
      </c>
    </row>
    <row r="13" spans="1:5">
      <c r="B13" s="8"/>
      <c r="C13" s="8"/>
      <c r="D13" s="8"/>
    </row>
    <row r="14" spans="1:5">
      <c r="A14" t="s">
        <v>160</v>
      </c>
      <c r="B14" s="8" t="e">
        <f>'PB - BSRR'!C14</f>
        <v>#REF!</v>
      </c>
      <c r="C14" s="8" t="e">
        <f>#REF!</f>
        <v>#REF!</v>
      </c>
      <c r="D14" s="8" t="e">
        <f>+C14-B14</f>
        <v>#REF!</v>
      </c>
      <c r="E14" s="14" t="e">
        <f>+D14/B14</f>
        <v>#REF!</v>
      </c>
    </row>
    <row r="15" spans="1:5">
      <c r="B15" s="8"/>
      <c r="C15" s="8"/>
      <c r="D15" s="8"/>
    </row>
    <row r="16" spans="1:5">
      <c r="A16" t="s">
        <v>82</v>
      </c>
      <c r="B16" s="8" t="e">
        <f>'PB - BSRR'!C16</f>
        <v>#REF!</v>
      </c>
      <c r="C16" s="8" t="e">
        <f>#REF!</f>
        <v>#REF!</v>
      </c>
      <c r="D16" s="8" t="e">
        <f>+C16-B16</f>
        <v>#REF!</v>
      </c>
      <c r="E16" s="14" t="e">
        <f>+D16/B16</f>
        <v>#REF!</v>
      </c>
    </row>
    <row r="17" spans="1:5">
      <c r="B17" s="8"/>
      <c r="C17" s="8"/>
      <c r="D17" s="8"/>
    </row>
    <row r="18" spans="1:5">
      <c r="A18" t="s">
        <v>83</v>
      </c>
      <c r="B18" s="8" t="e">
        <f>'PB - BSRR'!C18</f>
        <v>#REF!</v>
      </c>
      <c r="C18" s="8" t="e">
        <f>#REF!</f>
        <v>#REF!</v>
      </c>
      <c r="D18" s="8" t="e">
        <f>+C18-B18</f>
        <v>#REF!</v>
      </c>
      <c r="E18" s="14" t="e">
        <f>+D18/B18</f>
        <v>#REF!</v>
      </c>
    </row>
    <row r="19" spans="1:5">
      <c r="B19" s="8"/>
      <c r="C19" s="8"/>
      <c r="D19" s="8"/>
    </row>
    <row r="20" spans="1:5">
      <c r="A20" t="s">
        <v>195</v>
      </c>
      <c r="B20" s="8" t="e">
        <f>'PB - BSRR'!C20</f>
        <v>#REF!</v>
      </c>
      <c r="C20" s="8" t="e">
        <f>'SGS TOD NA'!H40</f>
        <v>#REF!</v>
      </c>
      <c r="D20" s="8" t="e">
        <f>+C20-B20</f>
        <v>#REF!</v>
      </c>
      <c r="E20" s="14" t="e">
        <f>+D20/B20</f>
        <v>#REF!</v>
      </c>
    </row>
    <row r="21" spans="1:5">
      <c r="B21" s="8"/>
      <c r="C21" s="8"/>
      <c r="D21" s="8"/>
    </row>
    <row r="22" spans="1:5">
      <c r="A22" t="s">
        <v>84</v>
      </c>
      <c r="B22" s="8" t="e">
        <f>'PB - BSRR'!C22</f>
        <v>#REF!</v>
      </c>
      <c r="C22" s="8" t="e">
        <f>#REF!</f>
        <v>#REF!</v>
      </c>
      <c r="D22" s="8" t="e">
        <f>+C22-B22</f>
        <v>#REF!</v>
      </c>
      <c r="E22" s="14" t="e">
        <f>+D22/B22</f>
        <v>#REF!</v>
      </c>
    </row>
    <row r="23" spans="1:5">
      <c r="B23" s="8"/>
      <c r="C23" s="8"/>
      <c r="D23" s="8"/>
      <c r="E23" s="14"/>
    </row>
    <row r="24" spans="1:5">
      <c r="A24" t="s">
        <v>203</v>
      </c>
      <c r="B24" s="8" t="e">
        <f>'PB - BSRR'!C24</f>
        <v>#REF!</v>
      </c>
      <c r="C24" s="8" t="e">
        <f>+#REF!</f>
        <v>#REF!</v>
      </c>
      <c r="D24" s="8" t="e">
        <f>+C24-B24</f>
        <v>#REF!</v>
      </c>
      <c r="E24" s="14" t="e">
        <f>+D24/B24</f>
        <v>#REF!</v>
      </c>
    </row>
    <row r="25" spans="1:5">
      <c r="B25" s="8"/>
      <c r="C25" s="8"/>
      <c r="D25" s="8"/>
    </row>
    <row r="26" spans="1:5">
      <c r="A26" t="s">
        <v>85</v>
      </c>
      <c r="B26" s="8" t="e">
        <f>'PB - BSRR'!C26</f>
        <v>#REF!</v>
      </c>
      <c r="C26" s="8" t="e">
        <f>#REF!</f>
        <v>#REF!</v>
      </c>
      <c r="D26" s="8" t="e">
        <f>+C26-B26</f>
        <v>#REF!</v>
      </c>
      <c r="E26" s="14" t="e">
        <f>+D26/B26</f>
        <v>#REF!</v>
      </c>
    </row>
    <row r="27" spans="1:5">
      <c r="B27" s="8"/>
      <c r="C27" s="8"/>
      <c r="D27" s="8"/>
    </row>
    <row r="28" spans="1:5">
      <c r="A28" t="s">
        <v>86</v>
      </c>
      <c r="B28" s="8" t="e">
        <f>'PB - BSRR'!C28</f>
        <v>#REF!</v>
      </c>
      <c r="C28" s="8" t="e">
        <f>#REF!</f>
        <v>#REF!</v>
      </c>
      <c r="D28" s="8" t="e">
        <f>+C28-B28</f>
        <v>#REF!</v>
      </c>
      <c r="E28" s="14" t="e">
        <f>+D28/B28</f>
        <v>#REF!</v>
      </c>
    </row>
    <row r="29" spans="1:5">
      <c r="B29" s="8"/>
      <c r="C29" s="8"/>
      <c r="D29" s="8"/>
    </row>
    <row r="30" spans="1:5">
      <c r="A30" t="s">
        <v>87</v>
      </c>
      <c r="B30" s="8" t="e">
        <f>'PB - BSRR'!C30</f>
        <v>#REF!</v>
      </c>
      <c r="C30" s="8" t="e">
        <f>#REF!</f>
        <v>#REF!</v>
      </c>
      <c r="D30" s="8" t="e">
        <f>+C30-B30</f>
        <v>#REF!</v>
      </c>
      <c r="E30" s="14" t="e">
        <f>+D30/B30</f>
        <v>#REF!</v>
      </c>
    </row>
    <row r="31" spans="1:5">
      <c r="B31" s="8"/>
      <c r="C31" s="8"/>
      <c r="D31" s="8"/>
    </row>
    <row r="32" spans="1:5">
      <c r="A32" t="s">
        <v>88</v>
      </c>
      <c r="B32" s="8" t="e">
        <f>'PB - BSRR'!C32</f>
        <v>#REF!</v>
      </c>
      <c r="C32" s="8" t="e">
        <f>#REF!</f>
        <v>#REF!</v>
      </c>
      <c r="D32" s="8" t="e">
        <f>+C32-B32</f>
        <v>#REF!</v>
      </c>
      <c r="E32" s="14" t="e">
        <f>+D32/B32</f>
        <v>#REF!</v>
      </c>
    </row>
    <row r="33" spans="1:5">
      <c r="B33" s="8"/>
      <c r="C33" s="8"/>
      <c r="D33" s="8"/>
    </row>
    <row r="34" spans="1:5">
      <c r="A34" t="s">
        <v>89</v>
      </c>
      <c r="B34" s="8" t="e">
        <f>'PB - BSRR'!C34</f>
        <v>#REF!</v>
      </c>
      <c r="C34" s="8" t="e">
        <f>#REF!</f>
        <v>#REF!</v>
      </c>
      <c r="D34" s="8" t="e">
        <f>+C34-B34</f>
        <v>#REF!</v>
      </c>
      <c r="E34" s="14" t="e">
        <f>+D34/B34</f>
        <v>#REF!</v>
      </c>
    </row>
    <row r="35" spans="1:5">
      <c r="B35" s="8"/>
      <c r="C35" s="8"/>
      <c r="D35" s="8"/>
    </row>
    <row r="36" spans="1:5">
      <c r="A36" t="s">
        <v>90</v>
      </c>
      <c r="B36" s="8" t="e">
        <f>'PB - BSRR'!C36</f>
        <v>#REF!</v>
      </c>
      <c r="C36" s="8" t="e">
        <f>#REF!</f>
        <v>#REF!</v>
      </c>
      <c r="D36" s="8" t="e">
        <f>+C36-B36</f>
        <v>#REF!</v>
      </c>
      <c r="E36" s="14" t="e">
        <f>+D36/B36</f>
        <v>#REF!</v>
      </c>
    </row>
    <row r="37" spans="1:5">
      <c r="B37" s="8"/>
      <c r="C37" s="8"/>
      <c r="D37" s="8"/>
    </row>
    <row r="38" spans="1:5">
      <c r="A38" t="s">
        <v>91</v>
      </c>
      <c r="B38" s="8" t="e">
        <f>'PB - BSRR'!C38</f>
        <v>#REF!</v>
      </c>
      <c r="C38" s="8" t="e">
        <f>#REF!</f>
        <v>#REF!</v>
      </c>
      <c r="D38" s="8" t="e">
        <f>+C38-B38</f>
        <v>#REF!</v>
      </c>
      <c r="E38" s="14" t="e">
        <f>+D38/B38</f>
        <v>#REF!</v>
      </c>
    </row>
    <row r="39" spans="1:5">
      <c r="B39" s="8"/>
      <c r="C39" s="8"/>
      <c r="D39" s="8"/>
    </row>
    <row r="40" spans="1:5">
      <c r="A40" t="s">
        <v>92</v>
      </c>
      <c r="B40" s="8" t="e">
        <f>'PB - BSRR'!C40</f>
        <v>#REF!</v>
      </c>
      <c r="C40" s="8" t="e">
        <f>#REF!</f>
        <v>#REF!</v>
      </c>
      <c r="D40" s="8" t="e">
        <f>+C40-B40</f>
        <v>#REF!</v>
      </c>
      <c r="E40" s="14" t="e">
        <f>+D40/B40</f>
        <v>#REF!</v>
      </c>
    </row>
    <row r="41" spans="1:5">
      <c r="B41" s="8"/>
      <c r="C41" s="8"/>
      <c r="D41" s="8"/>
      <c r="E41" s="14"/>
    </row>
    <row r="42" spans="1:5">
      <c r="A42" s="28" t="s">
        <v>282</v>
      </c>
      <c r="B42" s="8" t="e">
        <f>'PB - BSRR'!C42</f>
        <v>#REF!</v>
      </c>
      <c r="C42" s="30" t="e">
        <f>#REF!</f>
        <v>#REF!</v>
      </c>
      <c r="D42" s="8" t="e">
        <f>+C42-B42</f>
        <v>#REF!</v>
      </c>
      <c r="E42" s="14" t="e">
        <f>+D42/B42</f>
        <v>#REF!</v>
      </c>
    </row>
    <row r="43" spans="1:5">
      <c r="B43" s="8"/>
      <c r="C43" s="8"/>
      <c r="D43" s="8"/>
    </row>
    <row r="44" spans="1:5">
      <c r="A44" t="s">
        <v>96</v>
      </c>
      <c r="B44" s="8" t="e">
        <f>'PB - BSRR'!C44</f>
        <v>#REF!</v>
      </c>
      <c r="C44" s="8" t="e">
        <f>#REF!</f>
        <v>#REF!</v>
      </c>
      <c r="D44" s="8" t="e">
        <f>+C44-B44</f>
        <v>#REF!</v>
      </c>
      <c r="E44" s="14" t="e">
        <f>+D44/B44</f>
        <v>#REF!</v>
      </c>
    </row>
    <row r="45" spans="1:5">
      <c r="B45" s="8"/>
      <c r="C45" s="8"/>
      <c r="D45" s="8"/>
    </row>
    <row r="46" spans="1:5">
      <c r="A46" t="s">
        <v>93</v>
      </c>
      <c r="B46" s="8" t="e">
        <f>'PB - BSRR'!C46</f>
        <v>#REF!</v>
      </c>
      <c r="C46" s="8" t="e">
        <f>#REF!</f>
        <v>#REF!</v>
      </c>
      <c r="D46" s="8" t="e">
        <f>+C46-B46</f>
        <v>#REF!</v>
      </c>
      <c r="E46" s="14" t="e">
        <f>+D46/B46</f>
        <v>#REF!</v>
      </c>
    </row>
    <row r="47" spans="1:5">
      <c r="B47" s="8"/>
      <c r="C47" s="8"/>
      <c r="D47" s="8"/>
      <c r="E47" s="14"/>
    </row>
    <row r="48" spans="1:5">
      <c r="A48" t="s">
        <v>198</v>
      </c>
      <c r="B48" s="8" t="e">
        <f>'PB - BSRR'!C48</f>
        <v>#REF!</v>
      </c>
      <c r="C48" s="8" t="e">
        <f>#REF!</f>
        <v>#REF!</v>
      </c>
      <c r="D48" s="8" t="e">
        <f>+C48-B48</f>
        <v>#REF!</v>
      </c>
      <c r="E48" s="14" t="e">
        <f>+D48/B48</f>
        <v>#REF!</v>
      </c>
    </row>
    <row r="49" spans="1:5">
      <c r="B49" s="8"/>
      <c r="C49" s="8"/>
      <c r="D49" s="8"/>
    </row>
    <row r="50" spans="1:5">
      <c r="A50" s="83" t="s">
        <v>283</v>
      </c>
      <c r="B50" s="30" t="e">
        <f>'PB - BSRR'!C50</f>
        <v>#REF!</v>
      </c>
      <c r="C50" s="30" t="e">
        <f>#REF!</f>
        <v>#REF!</v>
      </c>
      <c r="D50" s="8" t="e">
        <f>+C50-B50</f>
        <v>#REF!</v>
      </c>
      <c r="E50" s="14" t="e">
        <f>+D50/B50</f>
        <v>#REF!</v>
      </c>
    </row>
    <row r="51" spans="1:5">
      <c r="A51" s="83"/>
      <c r="B51" s="30"/>
      <c r="C51" s="30"/>
      <c r="D51" s="8"/>
    </row>
    <row r="52" spans="1:5">
      <c r="A52" s="83" t="s">
        <v>284</v>
      </c>
      <c r="B52" s="30" t="e">
        <f>'PB - BSRR'!C52</f>
        <v>#REF!</v>
      </c>
      <c r="C52" s="30" t="e">
        <f>#REF!</f>
        <v>#REF!</v>
      </c>
      <c r="D52" s="8" t="e">
        <f>+C52-B52</f>
        <v>#REF!</v>
      </c>
      <c r="E52" s="14" t="e">
        <f>+D52/B52</f>
        <v>#REF!</v>
      </c>
    </row>
    <row r="53" spans="1:5">
      <c r="A53" s="83"/>
      <c r="B53" s="30"/>
      <c r="C53" s="30"/>
      <c r="D53" s="8"/>
    </row>
    <row r="54" spans="1:5">
      <c r="A54" s="83" t="s">
        <v>322</v>
      </c>
      <c r="B54" s="30" t="e">
        <f>'PB - BSRR'!C54</f>
        <v>#REF!</v>
      </c>
      <c r="C54" s="30" t="e">
        <f>'CS-IRP TRAN 321'!J48</f>
        <v>#REF!</v>
      </c>
      <c r="D54" s="8" t="e">
        <f>+C54-B54</f>
        <v>#REF!</v>
      </c>
      <c r="E54" s="14" t="e">
        <f>+D54/B54</f>
        <v>#REF!</v>
      </c>
    </row>
    <row r="55" spans="1:5">
      <c r="A55" s="83"/>
      <c r="B55" s="30"/>
      <c r="C55" s="30"/>
      <c r="D55" s="8"/>
    </row>
    <row r="56" spans="1:5">
      <c r="A56" s="83" t="s">
        <v>323</v>
      </c>
      <c r="B56" s="30">
        <f>'PB - BSRR'!C56</f>
        <v>3809505.1051110742</v>
      </c>
      <c r="C56" s="30" t="e">
        <f>'CS-IRP SUB 331'!J48</f>
        <v>#REF!</v>
      </c>
      <c r="D56" s="8" t="e">
        <f>+C56-B56</f>
        <v>#REF!</v>
      </c>
      <c r="E56" s="14" t="e">
        <f>+D56/B56</f>
        <v>#REF!</v>
      </c>
    </row>
    <row r="57" spans="1:5">
      <c r="A57" s="83"/>
      <c r="B57" s="30"/>
      <c r="C57" s="30"/>
      <c r="D57" s="8"/>
      <c r="E57" s="14"/>
    </row>
    <row r="58" spans="1:5">
      <c r="A58" s="83" t="s">
        <v>285</v>
      </c>
      <c r="B58" s="30" t="e">
        <f>'PB - BSRR'!C58</f>
        <v>#REF!</v>
      </c>
      <c r="C58" s="30" t="e">
        <f>#REF!</f>
        <v>#REF!</v>
      </c>
      <c r="D58" s="8" t="e">
        <f>+C58-B58</f>
        <v>#REF!</v>
      </c>
      <c r="E58" s="14" t="e">
        <f>+D58/B58</f>
        <v>#REF!</v>
      </c>
    </row>
    <row r="59" spans="1:5">
      <c r="A59" s="83"/>
      <c r="B59" s="30"/>
      <c r="C59" s="30"/>
      <c r="D59" s="8"/>
    </row>
    <row r="60" spans="1:5">
      <c r="A60" s="83" t="s">
        <v>286</v>
      </c>
      <c r="B60" s="30" t="e">
        <f>'PB - BSRR'!C60</f>
        <v>#REF!</v>
      </c>
      <c r="C60" s="30" t="e">
        <f>#REF!</f>
        <v>#REF!</v>
      </c>
      <c r="D60" s="8" t="e">
        <f>+C60-B60</f>
        <v>#REF!</v>
      </c>
      <c r="E60" s="14" t="e">
        <f>+D60/B60</f>
        <v>#REF!</v>
      </c>
    </row>
    <row r="61" spans="1:5">
      <c r="A61" s="83"/>
      <c r="B61" s="30"/>
      <c r="C61" s="30"/>
      <c r="D61" s="8"/>
      <c r="E61" s="14"/>
    </row>
    <row r="62" spans="1:5">
      <c r="A62" s="83" t="s">
        <v>287</v>
      </c>
      <c r="B62" s="30" t="e">
        <f>'PB - BSRR'!C62</f>
        <v>#REF!</v>
      </c>
      <c r="C62" s="30" t="e">
        <f>#REF!</f>
        <v>#REF!</v>
      </c>
      <c r="D62" s="8" t="e">
        <f>+C62-B62</f>
        <v>#REF!</v>
      </c>
      <c r="E62" s="14" t="e">
        <f>+D62/B62</f>
        <v>#REF!</v>
      </c>
    </row>
    <row r="63" spans="1:5">
      <c r="A63" s="83"/>
      <c r="B63" s="30"/>
      <c r="C63" s="30"/>
      <c r="D63" s="8"/>
      <c r="E63" s="14"/>
    </row>
    <row r="64" spans="1:5">
      <c r="A64" s="83" t="s">
        <v>288</v>
      </c>
      <c r="B64" s="30" t="e">
        <f>'PB - BSRR'!C64</f>
        <v>#REF!</v>
      </c>
      <c r="C64" s="30" t="e">
        <f>#REF!</f>
        <v>#REF!</v>
      </c>
      <c r="D64" s="8" t="e">
        <f>+C64-B64</f>
        <v>#REF!</v>
      </c>
      <c r="E64" s="14" t="e">
        <f>+D64/B64</f>
        <v>#REF!</v>
      </c>
    </row>
    <row r="65" spans="1:5">
      <c r="A65" s="28"/>
      <c r="B65" s="30"/>
      <c r="C65" s="30"/>
      <c r="D65" s="8"/>
    </row>
    <row r="66" spans="1:5">
      <c r="A66" t="s">
        <v>94</v>
      </c>
      <c r="B66" s="8" t="e">
        <f>'PB - BSRR'!C66</f>
        <v>#REF!</v>
      </c>
      <c r="C66" s="8" t="e">
        <f>#REF!</f>
        <v>#REF!</v>
      </c>
      <c r="D66" s="8" t="e">
        <f>+C66-B66</f>
        <v>#REF!</v>
      </c>
      <c r="E66" s="14" t="e">
        <f>+D66/B66</f>
        <v>#REF!</v>
      </c>
    </row>
    <row r="67" spans="1:5">
      <c r="B67" s="8"/>
      <c r="C67" s="8"/>
      <c r="D67" s="8"/>
    </row>
    <row r="68" spans="1:5">
      <c r="A68" t="s">
        <v>95</v>
      </c>
      <c r="B68" s="8" t="e">
        <f>'PB - BSRR'!C68</f>
        <v>#REF!</v>
      </c>
      <c r="C68" s="8" t="e">
        <f>#REF!</f>
        <v>#REF!</v>
      </c>
      <c r="D68" s="8" t="e">
        <f>+C68-B68</f>
        <v>#REF!</v>
      </c>
      <c r="E68" s="14" t="e">
        <f>+D68/B68</f>
        <v>#REF!</v>
      </c>
    </row>
    <row r="69" spans="1:5">
      <c r="B69" s="8"/>
      <c r="C69" s="8"/>
    </row>
    <row r="70" spans="1:5">
      <c r="A70" t="s">
        <v>17</v>
      </c>
      <c r="B70" s="8" t="e">
        <f>SUM(B10:B68)</f>
        <v>#REF!</v>
      </c>
      <c r="C70" s="8" t="e">
        <f>SUM(C10:C68)</f>
        <v>#REF!</v>
      </c>
      <c r="D70" s="8" t="e">
        <f>SUM(D10:D68)</f>
        <v>#REF!</v>
      </c>
      <c r="E70" s="14" t="e">
        <f>+D70/B70</f>
        <v>#REF!</v>
      </c>
    </row>
    <row r="71" spans="1:5">
      <c r="D71">
        <v>6172541</v>
      </c>
    </row>
    <row r="72" spans="1:5" s="17" customFormat="1">
      <c r="C72" s="93"/>
      <c r="D72" s="39" t="e">
        <f>D70-D71</f>
        <v>#REF!</v>
      </c>
    </row>
    <row r="73" spans="1:5" s="17" customFormat="1">
      <c r="A73" s="84"/>
      <c r="B73" s="39"/>
      <c r="D73" s="39"/>
    </row>
    <row r="74" spans="1:5" s="17" customFormat="1">
      <c r="D74" s="39"/>
    </row>
    <row r="75" spans="1:5" s="17" customFormat="1">
      <c r="A75" s="84"/>
      <c r="B75" s="39"/>
      <c r="D75" s="39"/>
    </row>
    <row r="76" spans="1:5" s="17" customFormat="1"/>
    <row r="77" spans="1:5" s="17" customFormat="1">
      <c r="A77" s="84"/>
      <c r="B77" s="39"/>
      <c r="D77" s="39"/>
    </row>
    <row r="78" spans="1:5" s="17" customFormat="1"/>
    <row r="79" spans="1:5">
      <c r="B79" s="8"/>
    </row>
  </sheetData>
  <phoneticPr fontId="0" type="noConversion"/>
  <printOptions horizontalCentered="1"/>
  <pageMargins left="0.75" right="0.75" top="0.5" bottom="0.5" header="0.5" footer="0.5"/>
  <pageSetup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77"/>
  <sheetViews>
    <sheetView zoomScale="85" zoomScaleNormal="85" workbookViewId="0">
      <selection activeCell="B80" sqref="B80"/>
    </sheetView>
  </sheetViews>
  <sheetFormatPr defaultRowHeight="12.75"/>
  <cols>
    <col min="1" max="1" width="21.28515625" customWidth="1"/>
    <col min="2" max="2" width="15.28515625" customWidth="1"/>
    <col min="3" max="3" width="14.5703125" customWidth="1"/>
    <col min="4" max="4" width="14" bestFit="1" customWidth="1"/>
    <col min="5" max="5" width="13.5703125" customWidth="1"/>
    <col min="11" max="11" width="12.7109375" bestFit="1" customWidth="1"/>
  </cols>
  <sheetData>
    <row r="1" spans="1:5">
      <c r="A1" t="str">
        <f>+RS!B2</f>
        <v>KENTUCKY POWER BILLING ANALYSIS</v>
      </c>
    </row>
    <row r="2" spans="1:5">
      <c r="A2" t="str">
        <f>+RS!B4</f>
        <v>TEST YEAR ENDED MARCH 31, 2023</v>
      </c>
    </row>
    <row r="3" spans="1:5">
      <c r="A3" t="s">
        <v>148</v>
      </c>
    </row>
    <row r="6" spans="1:5">
      <c r="A6" s="1"/>
      <c r="B6" s="1" t="s">
        <v>6</v>
      </c>
      <c r="C6" s="1" t="s">
        <v>102</v>
      </c>
    </row>
    <row r="7" spans="1:5">
      <c r="A7" s="1"/>
      <c r="B7" s="1" t="s">
        <v>147</v>
      </c>
      <c r="C7" s="1" t="s">
        <v>106</v>
      </c>
      <c r="D7" s="1"/>
      <c r="E7" s="1" t="s">
        <v>77</v>
      </c>
    </row>
    <row r="8" spans="1:5">
      <c r="A8" s="3" t="s">
        <v>2</v>
      </c>
      <c r="B8" s="3" t="s">
        <v>144</v>
      </c>
      <c r="C8" s="3" t="s">
        <v>6</v>
      </c>
      <c r="D8" s="3" t="s">
        <v>76</v>
      </c>
      <c r="E8" s="3" t="s">
        <v>76</v>
      </c>
    </row>
    <row r="9" spans="1:5">
      <c r="A9" s="3"/>
      <c r="B9" s="3"/>
      <c r="C9" s="3"/>
      <c r="D9" s="3"/>
      <c r="E9" s="3"/>
    </row>
    <row r="10" spans="1:5">
      <c r="A10" t="s">
        <v>80</v>
      </c>
      <c r="B10" s="8" t="e">
        <f>'PB - AF'!C10</f>
        <v>#REF!</v>
      </c>
      <c r="C10" s="30" t="e">
        <f>RS!#REF!</f>
        <v>#REF!</v>
      </c>
      <c r="D10" s="8" t="e">
        <f>+C10-B10</f>
        <v>#REF!</v>
      </c>
      <c r="E10" s="14" t="e">
        <f>+D10/B10</f>
        <v>#REF!</v>
      </c>
    </row>
    <row r="11" spans="1:5" ht="13.5" customHeight="1">
      <c r="B11" s="8"/>
      <c r="C11" s="8"/>
      <c r="D11" s="8"/>
    </row>
    <row r="12" spans="1:5" ht="13.5" customHeight="1">
      <c r="A12" t="s">
        <v>81</v>
      </c>
      <c r="B12" s="8" t="e">
        <f>'PB - AF'!C12</f>
        <v>#REF!</v>
      </c>
      <c r="C12" s="8" t="e">
        <f>#REF!</f>
        <v>#REF!</v>
      </c>
      <c r="D12" s="8" t="e">
        <f>+C12-B12</f>
        <v>#REF!</v>
      </c>
      <c r="E12" s="14" t="e">
        <f>+D12/B12</f>
        <v>#REF!</v>
      </c>
    </row>
    <row r="13" spans="1:5" ht="13.5" customHeight="1">
      <c r="B13" s="8"/>
      <c r="C13" s="8"/>
      <c r="D13" s="8"/>
    </row>
    <row r="14" spans="1:5" ht="13.5" customHeight="1">
      <c r="A14" t="s">
        <v>160</v>
      </c>
      <c r="B14" s="8" t="e">
        <f>'PB - AF'!C14</f>
        <v>#REF!</v>
      </c>
      <c r="C14" s="8" t="e">
        <f>#REF!</f>
        <v>#REF!</v>
      </c>
      <c r="D14" s="8" t="e">
        <f>+C14-B14</f>
        <v>#REF!</v>
      </c>
      <c r="E14" s="14" t="e">
        <f>+D14/B14</f>
        <v>#REF!</v>
      </c>
    </row>
    <row r="15" spans="1:5" ht="13.5" customHeight="1">
      <c r="B15" s="8"/>
      <c r="C15" s="8"/>
      <c r="D15" s="8"/>
    </row>
    <row r="16" spans="1:5">
      <c r="A16" t="s">
        <v>35</v>
      </c>
      <c r="B16" s="8" t="e">
        <f>'PB - AF'!C16</f>
        <v>#REF!</v>
      </c>
      <c r="C16" s="8" t="e">
        <f>#REF!</f>
        <v>#REF!</v>
      </c>
      <c r="D16" s="8" t="e">
        <f>+C16-B16</f>
        <v>#REF!</v>
      </c>
      <c r="E16" s="14" t="e">
        <f>+D16/B16</f>
        <v>#REF!</v>
      </c>
    </row>
    <row r="17" spans="1:5" ht="13.5" customHeight="1">
      <c r="B17" s="8"/>
      <c r="C17" s="8"/>
      <c r="D17" s="8"/>
    </row>
    <row r="18" spans="1:5">
      <c r="A18" t="s">
        <v>83</v>
      </c>
      <c r="B18" s="8" t="e">
        <f>'PB - AF'!C18</f>
        <v>#REF!</v>
      </c>
      <c r="C18" s="8" t="e">
        <f>#REF!</f>
        <v>#REF!</v>
      </c>
      <c r="D18" s="8" t="e">
        <f>+C18-B18</f>
        <v>#REF!</v>
      </c>
      <c r="E18" s="14" t="e">
        <f>+D18/B18</f>
        <v>#REF!</v>
      </c>
    </row>
    <row r="19" spans="1:5">
      <c r="B19" s="8"/>
      <c r="C19" s="8"/>
      <c r="D19" s="8"/>
    </row>
    <row r="20" spans="1:5">
      <c r="A20" t="s">
        <v>195</v>
      </c>
      <c r="B20" s="8" t="e">
        <f>'PB - AF'!C20</f>
        <v>#REF!</v>
      </c>
      <c r="C20" s="8" t="e">
        <f>'SGS TOD NA'!#REF!</f>
        <v>#REF!</v>
      </c>
      <c r="D20" s="8" t="e">
        <f>+C20-B20</f>
        <v>#REF!</v>
      </c>
      <c r="E20" s="14" t="e">
        <f>+D20/B20</f>
        <v>#REF!</v>
      </c>
    </row>
    <row r="21" spans="1:5">
      <c r="B21" s="8"/>
      <c r="C21" s="8"/>
      <c r="D21" s="8"/>
    </row>
    <row r="22" spans="1:5">
      <c r="A22" t="s">
        <v>84</v>
      </c>
      <c r="B22" s="8" t="e">
        <f>'PB - AF'!C22</f>
        <v>#REF!</v>
      </c>
      <c r="C22" s="8" t="e">
        <f>#REF!</f>
        <v>#REF!</v>
      </c>
      <c r="D22" s="8" t="e">
        <f>+C22-B22</f>
        <v>#REF!</v>
      </c>
      <c r="E22" s="14" t="e">
        <f>+D22/B22</f>
        <v>#REF!</v>
      </c>
    </row>
    <row r="23" spans="1:5">
      <c r="B23" s="8"/>
      <c r="C23" s="8"/>
      <c r="D23" s="8"/>
      <c r="E23" s="14"/>
    </row>
    <row r="24" spans="1:5">
      <c r="A24" t="s">
        <v>203</v>
      </c>
      <c r="B24" s="8" t="e">
        <f>'PB - AF'!C24</f>
        <v>#REF!</v>
      </c>
      <c r="C24" s="8" t="e">
        <f>+#REF!</f>
        <v>#REF!</v>
      </c>
      <c r="D24" s="8" t="e">
        <f>+C24-B24</f>
        <v>#REF!</v>
      </c>
      <c r="E24" s="14" t="e">
        <f>+D24/B24</f>
        <v>#REF!</v>
      </c>
    </row>
    <row r="25" spans="1:5">
      <c r="B25" s="8"/>
      <c r="C25" s="8"/>
      <c r="D25" s="8"/>
    </row>
    <row r="26" spans="1:5">
      <c r="A26" t="s">
        <v>85</v>
      </c>
      <c r="B26" s="8" t="e">
        <f>'PB - AF'!C26</f>
        <v>#REF!</v>
      </c>
      <c r="C26" s="8" t="e">
        <f>#REF!</f>
        <v>#REF!</v>
      </c>
      <c r="D26" s="8" t="e">
        <f>+C26-B26</f>
        <v>#REF!</v>
      </c>
      <c r="E26" s="14" t="e">
        <f>+D26/B26</f>
        <v>#REF!</v>
      </c>
    </row>
    <row r="27" spans="1:5">
      <c r="B27" s="8"/>
      <c r="C27" s="8"/>
      <c r="D27" s="8"/>
    </row>
    <row r="28" spans="1:5">
      <c r="A28" t="s">
        <v>86</v>
      </c>
      <c r="B28" s="8" t="e">
        <f>'PB - AF'!C28</f>
        <v>#REF!</v>
      </c>
      <c r="C28" s="8" t="e">
        <f>#REF!</f>
        <v>#REF!</v>
      </c>
      <c r="D28" s="8" t="e">
        <f>+C28-B28</f>
        <v>#REF!</v>
      </c>
      <c r="E28" s="14" t="e">
        <f>+D28/B28</f>
        <v>#REF!</v>
      </c>
    </row>
    <row r="29" spans="1:5">
      <c r="B29" s="8"/>
      <c r="C29" s="8"/>
      <c r="D29" s="8"/>
    </row>
    <row r="30" spans="1:5">
      <c r="A30" t="s">
        <v>87</v>
      </c>
      <c r="B30" s="8" t="e">
        <f>'PB - AF'!C30</f>
        <v>#REF!</v>
      </c>
      <c r="C30" s="8" t="e">
        <f>#REF!</f>
        <v>#REF!</v>
      </c>
      <c r="D30" s="8" t="e">
        <f>+C30-B30</f>
        <v>#REF!</v>
      </c>
      <c r="E30" s="14" t="e">
        <f>+D30/B30</f>
        <v>#REF!</v>
      </c>
    </row>
    <row r="31" spans="1:5">
      <c r="B31" s="8"/>
      <c r="C31" s="8"/>
      <c r="D31" s="8"/>
    </row>
    <row r="32" spans="1:5">
      <c r="A32" t="s">
        <v>88</v>
      </c>
      <c r="B32" s="8" t="e">
        <f>'PB - AF'!C32</f>
        <v>#REF!</v>
      </c>
      <c r="C32" s="8" t="e">
        <f>#REF!</f>
        <v>#REF!</v>
      </c>
      <c r="D32" s="8" t="e">
        <f>+C32-B32</f>
        <v>#REF!</v>
      </c>
      <c r="E32" s="14" t="e">
        <f>+D32/B32</f>
        <v>#REF!</v>
      </c>
    </row>
    <row r="33" spans="1:5">
      <c r="B33" s="8"/>
      <c r="C33" s="8"/>
      <c r="D33" s="8"/>
    </row>
    <row r="34" spans="1:5">
      <c r="A34" t="s">
        <v>89</v>
      </c>
      <c r="B34" s="8" t="e">
        <f>'PB - AF'!C34</f>
        <v>#REF!</v>
      </c>
      <c r="C34" s="8" t="e">
        <f>#REF!</f>
        <v>#REF!</v>
      </c>
      <c r="D34" s="8" t="e">
        <f>+C34-B34</f>
        <v>#REF!</v>
      </c>
      <c r="E34" s="14" t="e">
        <f>+D34/B34</f>
        <v>#REF!</v>
      </c>
    </row>
    <row r="35" spans="1:5">
      <c r="B35" s="8"/>
      <c r="C35" s="8"/>
      <c r="D35" s="8"/>
    </row>
    <row r="36" spans="1:5">
      <c r="A36" t="s">
        <v>90</v>
      </c>
      <c r="B36" s="8" t="e">
        <f>'PB - AF'!C36</f>
        <v>#REF!</v>
      </c>
      <c r="C36" s="8" t="e">
        <f>#REF!</f>
        <v>#REF!</v>
      </c>
      <c r="D36" s="8" t="e">
        <f>+C36-B36</f>
        <v>#REF!</v>
      </c>
      <c r="E36" s="14" t="e">
        <f>+D36/B36</f>
        <v>#REF!</v>
      </c>
    </row>
    <row r="37" spans="1:5">
      <c r="B37" s="8"/>
      <c r="C37" s="8"/>
      <c r="D37" s="8"/>
    </row>
    <row r="38" spans="1:5">
      <c r="A38" t="s">
        <v>91</v>
      </c>
      <c r="B38" s="8" t="e">
        <f>'PB - AF'!C38</f>
        <v>#REF!</v>
      </c>
      <c r="C38" s="8" t="e">
        <f>#REF!</f>
        <v>#REF!</v>
      </c>
      <c r="D38" s="8" t="e">
        <f>+C38-B38</f>
        <v>#REF!</v>
      </c>
      <c r="E38" s="14" t="e">
        <f>+D38/B38</f>
        <v>#REF!</v>
      </c>
    </row>
    <row r="39" spans="1:5">
      <c r="B39" s="8"/>
      <c r="C39" s="8"/>
      <c r="D39" s="8"/>
    </row>
    <row r="40" spans="1:5">
      <c r="A40" t="s">
        <v>92</v>
      </c>
      <c r="B40" s="8" t="e">
        <f>'PB - AF'!C40</f>
        <v>#REF!</v>
      </c>
      <c r="C40" s="8" t="e">
        <f>#REF!</f>
        <v>#REF!</v>
      </c>
      <c r="D40" s="8" t="e">
        <f>+C40-B40</f>
        <v>#REF!</v>
      </c>
      <c r="E40" s="14" t="e">
        <f>+D40/B40</f>
        <v>#REF!</v>
      </c>
    </row>
    <row r="41" spans="1:5">
      <c r="B41" s="8"/>
      <c r="C41" s="8"/>
      <c r="D41" s="8"/>
      <c r="E41" s="14"/>
    </row>
    <row r="42" spans="1:5">
      <c r="A42" s="28" t="s">
        <v>282</v>
      </c>
      <c r="B42" s="30" t="e">
        <f>'PB - AF'!C42</f>
        <v>#REF!</v>
      </c>
      <c r="C42" s="30" t="e">
        <f>#REF!</f>
        <v>#REF!</v>
      </c>
      <c r="D42" s="8" t="e">
        <f>+C42-B42</f>
        <v>#REF!</v>
      </c>
      <c r="E42" s="14" t="e">
        <f>+D42/B42</f>
        <v>#REF!</v>
      </c>
    </row>
    <row r="43" spans="1:5">
      <c r="A43" s="28"/>
      <c r="B43" s="30"/>
      <c r="C43" s="30"/>
      <c r="D43" s="8"/>
    </row>
    <row r="44" spans="1:5">
      <c r="A44" s="28" t="s">
        <v>96</v>
      </c>
      <c r="B44" s="30" t="e">
        <f>'PB - AF'!C44</f>
        <v>#REF!</v>
      </c>
      <c r="C44" s="30" t="e">
        <f>#REF!</f>
        <v>#REF!</v>
      </c>
      <c r="D44" s="8" t="e">
        <f>+C44-B44</f>
        <v>#REF!</v>
      </c>
      <c r="E44" s="14" t="e">
        <f>+D44/B44</f>
        <v>#REF!</v>
      </c>
    </row>
    <row r="45" spans="1:5">
      <c r="A45" s="28"/>
      <c r="B45" s="30"/>
      <c r="C45" s="30"/>
      <c r="D45" s="8"/>
    </row>
    <row r="46" spans="1:5">
      <c r="A46" s="28" t="s">
        <v>93</v>
      </c>
      <c r="B46" s="30" t="e">
        <f>'PB - AF'!C46</f>
        <v>#REF!</v>
      </c>
      <c r="C46" s="30" t="e">
        <f>#REF!</f>
        <v>#REF!</v>
      </c>
      <c r="D46" s="8" t="e">
        <f>+C46-B46</f>
        <v>#REF!</v>
      </c>
      <c r="E46" s="14" t="e">
        <f>+D46/B46</f>
        <v>#REF!</v>
      </c>
    </row>
    <row r="47" spans="1:5">
      <c r="A47" s="28"/>
      <c r="B47" s="30"/>
      <c r="C47" s="30"/>
      <c r="D47" s="8"/>
      <c r="E47" s="14"/>
    </row>
    <row r="48" spans="1:5">
      <c r="A48" s="28" t="s">
        <v>198</v>
      </c>
      <c r="B48" s="30" t="e">
        <f>'PB - AF'!C48</f>
        <v>#REF!</v>
      </c>
      <c r="C48" s="30" t="e">
        <f>#REF!</f>
        <v>#REF!</v>
      </c>
      <c r="D48" s="8" t="e">
        <f>+C48-B48</f>
        <v>#REF!</v>
      </c>
      <c r="E48" s="14" t="e">
        <f>+D48/B48</f>
        <v>#REF!</v>
      </c>
    </row>
    <row r="49" spans="1:6">
      <c r="A49" s="28"/>
      <c r="B49" s="30"/>
      <c r="C49" s="30"/>
      <c r="D49" s="8"/>
    </row>
    <row r="50" spans="1:6">
      <c r="A50" s="83" t="s">
        <v>283</v>
      </c>
      <c r="B50" s="30" t="e">
        <f>'PB - AF'!C50</f>
        <v>#REF!</v>
      </c>
      <c r="C50" s="30" t="e">
        <f>#REF!</f>
        <v>#REF!</v>
      </c>
      <c r="D50" s="8" t="e">
        <f>+C50-B50</f>
        <v>#REF!</v>
      </c>
      <c r="E50" s="14" t="e">
        <f>+D50/B50</f>
        <v>#REF!</v>
      </c>
    </row>
    <row r="51" spans="1:6">
      <c r="A51" s="83"/>
      <c r="B51" s="30"/>
      <c r="C51" s="30"/>
      <c r="D51" s="8"/>
    </row>
    <row r="52" spans="1:6">
      <c r="A52" s="83" t="s">
        <v>284</v>
      </c>
      <c r="B52" s="30" t="e">
        <f>'PB - AF'!C52</f>
        <v>#REF!</v>
      </c>
      <c r="C52" s="30" t="e">
        <f>#REF!</f>
        <v>#REF!</v>
      </c>
      <c r="D52" s="8" t="e">
        <f>+C52-B52</f>
        <v>#REF!</v>
      </c>
      <c r="E52" s="14" t="e">
        <f>+D52/B52</f>
        <v>#REF!</v>
      </c>
    </row>
    <row r="53" spans="1:6">
      <c r="A53" s="83"/>
      <c r="B53" s="30"/>
      <c r="C53" s="30"/>
      <c r="D53" s="8"/>
    </row>
    <row r="54" spans="1:6">
      <c r="A54" s="83" t="s">
        <v>322</v>
      </c>
      <c r="B54" s="30" t="e">
        <f>'PB - AF'!C54</f>
        <v>#REF!</v>
      </c>
      <c r="C54" s="30" t="e">
        <f>'CS-IRP TRAN 321'!M48</f>
        <v>#REF!</v>
      </c>
      <c r="D54" s="8" t="e">
        <f>+C54-B54</f>
        <v>#REF!</v>
      </c>
      <c r="E54" s="14" t="e">
        <f>+D54/B54</f>
        <v>#REF!</v>
      </c>
    </row>
    <row r="55" spans="1:6">
      <c r="A55" s="83"/>
      <c r="B55" s="30"/>
      <c r="C55" s="30"/>
      <c r="D55" s="8"/>
      <c r="F55" s="67"/>
    </row>
    <row r="56" spans="1:6">
      <c r="A56" s="83" t="s">
        <v>323</v>
      </c>
      <c r="B56" s="30" t="e">
        <f>'PB - AF'!C56</f>
        <v>#REF!</v>
      </c>
      <c r="C56" s="30" t="e">
        <f>'CS-IRP SUB 331'!M48</f>
        <v>#REF!</v>
      </c>
      <c r="D56" s="8" t="e">
        <f>+C56-B56</f>
        <v>#REF!</v>
      </c>
      <c r="E56" s="14" t="e">
        <f>+D56/B56</f>
        <v>#REF!</v>
      </c>
    </row>
    <row r="57" spans="1:6">
      <c r="A57" s="83"/>
      <c r="B57" s="30"/>
      <c r="C57" s="30"/>
      <c r="D57" s="8"/>
    </row>
    <row r="58" spans="1:6">
      <c r="A58" s="83" t="s">
        <v>285</v>
      </c>
      <c r="B58" s="30" t="e">
        <f>'PB - AF'!C58</f>
        <v>#REF!</v>
      </c>
      <c r="C58" s="30" t="e">
        <f>#REF!</f>
        <v>#REF!</v>
      </c>
      <c r="D58" s="8" t="e">
        <f>+C58-B58</f>
        <v>#REF!</v>
      </c>
      <c r="E58" s="14" t="e">
        <f>+D58/B58</f>
        <v>#REF!</v>
      </c>
    </row>
    <row r="59" spans="1:6">
      <c r="A59" s="83"/>
      <c r="B59" s="30"/>
      <c r="C59" s="30"/>
      <c r="D59" s="8"/>
    </row>
    <row r="60" spans="1:6">
      <c r="A60" s="83" t="s">
        <v>286</v>
      </c>
      <c r="B60" s="30" t="e">
        <f>'PB - AF'!C60</f>
        <v>#REF!</v>
      </c>
      <c r="C60" s="30" t="e">
        <f>#REF!</f>
        <v>#REF!</v>
      </c>
      <c r="D60" s="8" t="e">
        <f>+C60-B60</f>
        <v>#REF!</v>
      </c>
      <c r="E60" s="14" t="e">
        <f>+D60/B60</f>
        <v>#REF!</v>
      </c>
    </row>
    <row r="61" spans="1:6">
      <c r="A61" s="83"/>
      <c r="B61" s="30"/>
      <c r="C61" s="30"/>
      <c r="D61" s="8"/>
      <c r="E61" s="14"/>
    </row>
    <row r="62" spans="1:6">
      <c r="A62" s="83" t="s">
        <v>287</v>
      </c>
      <c r="B62" s="30" t="e">
        <f>'PB - AF'!C62</f>
        <v>#REF!</v>
      </c>
      <c r="C62" s="30" t="e">
        <f>#REF!</f>
        <v>#REF!</v>
      </c>
      <c r="D62" s="8" t="e">
        <f>+C62-B62</f>
        <v>#REF!</v>
      </c>
      <c r="E62" s="14" t="e">
        <f>+D62/B62</f>
        <v>#REF!</v>
      </c>
    </row>
    <row r="63" spans="1:6">
      <c r="A63" s="83"/>
      <c r="B63" s="30"/>
      <c r="C63" s="30"/>
      <c r="D63" s="8"/>
      <c r="E63" s="14"/>
    </row>
    <row r="64" spans="1:6">
      <c r="A64" s="83" t="s">
        <v>288</v>
      </c>
      <c r="B64" s="30" t="e">
        <f>'PB - AF'!C64</f>
        <v>#REF!</v>
      </c>
      <c r="C64" s="30" t="e">
        <f>#REF!</f>
        <v>#REF!</v>
      </c>
      <c r="D64" s="8" t="e">
        <f>+C64-B64</f>
        <v>#REF!</v>
      </c>
      <c r="E64" s="14" t="e">
        <f>+D64/B64</f>
        <v>#REF!</v>
      </c>
    </row>
    <row r="65" spans="1:11">
      <c r="A65" s="28"/>
      <c r="B65" s="30"/>
      <c r="C65" s="30"/>
      <c r="D65" s="8"/>
    </row>
    <row r="66" spans="1:11">
      <c r="A66" t="s">
        <v>36</v>
      </c>
      <c r="B66" s="8" t="e">
        <f>'PB - AF'!C66</f>
        <v>#REF!</v>
      </c>
      <c r="C66" s="8" t="e">
        <f>#REF!</f>
        <v>#REF!</v>
      </c>
      <c r="D66" s="8" t="e">
        <f>+C66-B66</f>
        <v>#REF!</v>
      </c>
      <c r="E66" s="14" t="e">
        <f>+D66/B66</f>
        <v>#REF!</v>
      </c>
    </row>
    <row r="67" spans="1:11">
      <c r="B67" s="8"/>
      <c r="C67" s="8"/>
      <c r="D67" s="8"/>
    </row>
    <row r="68" spans="1:11">
      <c r="A68" t="s">
        <v>95</v>
      </c>
      <c r="B68" s="8" t="e">
        <f>'PB - AF'!C68</f>
        <v>#REF!</v>
      </c>
      <c r="C68" s="8" t="e">
        <f>#REF!</f>
        <v>#REF!</v>
      </c>
      <c r="D68" s="8" t="e">
        <f>+C68-B68</f>
        <v>#REF!</v>
      </c>
      <c r="E68" s="14" t="e">
        <f>+D68/B68</f>
        <v>#REF!</v>
      </c>
    </row>
    <row r="69" spans="1:11">
      <c r="B69" s="8"/>
      <c r="D69" s="8"/>
    </row>
    <row r="70" spans="1:11">
      <c r="A70" t="s">
        <v>17</v>
      </c>
      <c r="B70" s="8" t="e">
        <f>SUM(B10:B68)</f>
        <v>#REF!</v>
      </c>
      <c r="C70" s="8" t="e">
        <f>SUM(C10:C68)</f>
        <v>#REF!</v>
      </c>
      <c r="D70" s="10" t="e">
        <f>+C70-B70</f>
        <v>#REF!</v>
      </c>
      <c r="E70" s="14" t="e">
        <f>+D70/B70</f>
        <v>#REF!</v>
      </c>
      <c r="I70" s="8"/>
    </row>
    <row r="72" spans="1:11" s="17" customFormat="1"/>
    <row r="73" spans="1:11" s="17" customFormat="1">
      <c r="A73" s="84"/>
      <c r="D73" s="39"/>
      <c r="F73" s="39"/>
    </row>
    <row r="74" spans="1:11" s="17" customFormat="1">
      <c r="D74" s="39"/>
      <c r="K74" s="39"/>
    </row>
    <row r="75" spans="1:11" s="17" customFormat="1">
      <c r="A75" s="84"/>
      <c r="D75" s="39"/>
      <c r="F75" s="39"/>
    </row>
    <row r="76" spans="1:11" s="17" customFormat="1">
      <c r="D76" s="39"/>
    </row>
    <row r="77" spans="1:11" s="17" customFormat="1">
      <c r="A77" s="84"/>
      <c r="D77" s="39"/>
    </row>
  </sheetData>
  <phoneticPr fontId="0" type="noConversion"/>
  <printOptions horizontalCentered="1"/>
  <pageMargins left="0.75" right="0.75" top="0.5" bottom="0.5" header="0.5" footer="0.5"/>
  <pageSetup scale="1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83"/>
  <sheetViews>
    <sheetView topLeftCell="E1" zoomScale="130" zoomScaleNormal="130" workbookViewId="0">
      <selection activeCell="L12" sqref="L12"/>
    </sheetView>
  </sheetViews>
  <sheetFormatPr defaultRowHeight="12.75"/>
  <cols>
    <col min="1" max="1" width="21" customWidth="1"/>
    <col min="2" max="3" width="10" bestFit="1" customWidth="1"/>
    <col min="4" max="4" width="13.42578125" bestFit="1" customWidth="1"/>
    <col min="5" max="5" width="13.140625" bestFit="1" customWidth="1"/>
    <col min="6" max="6" width="6.7109375" customWidth="1"/>
    <col min="7" max="8" width="10" bestFit="1" customWidth="1"/>
    <col min="9" max="9" width="11.28515625" bestFit="1" customWidth="1"/>
    <col min="10" max="10" width="11.7109375" bestFit="1" customWidth="1"/>
    <col min="11" max="11" width="6.7109375" customWidth="1"/>
    <col min="12" max="13" width="10.7109375" bestFit="1" customWidth="1"/>
    <col min="14" max="14" width="13.42578125" bestFit="1" customWidth="1"/>
    <col min="15" max="15" width="12.7109375" bestFit="1" customWidth="1"/>
  </cols>
  <sheetData>
    <row r="1" spans="1:15">
      <c r="A1" t="s">
        <v>110</v>
      </c>
    </row>
    <row r="2" spans="1:15">
      <c r="A2" t="s">
        <v>111</v>
      </c>
    </row>
    <row r="3" spans="1:15">
      <c r="A3" t="str">
        <f>RS!B4</f>
        <v>TEST YEAR ENDED MARCH 31, 2023</v>
      </c>
    </row>
    <row r="4" spans="1:15" ht="6" customHeight="1"/>
    <row r="5" spans="1:15">
      <c r="A5" s="1"/>
      <c r="B5" s="1"/>
      <c r="C5" s="1"/>
      <c r="D5" s="1"/>
      <c r="E5" s="1"/>
      <c r="G5" s="579" t="s">
        <v>217</v>
      </c>
      <c r="H5" s="579"/>
      <c r="I5" s="579"/>
      <c r="J5" s="579"/>
      <c r="L5" s="579" t="s">
        <v>184</v>
      </c>
      <c r="M5" s="579"/>
      <c r="N5" s="579"/>
      <c r="O5" s="579"/>
    </row>
    <row r="6" spans="1:15">
      <c r="A6" s="1"/>
      <c r="B6" s="1" t="s">
        <v>102</v>
      </c>
      <c r="C6" s="1"/>
      <c r="D6" s="1" t="s">
        <v>102</v>
      </c>
      <c r="G6" s="1"/>
      <c r="H6" s="1"/>
      <c r="I6" s="1"/>
      <c r="L6" s="1" t="s">
        <v>102</v>
      </c>
      <c r="M6" s="1"/>
      <c r="N6" s="1" t="s">
        <v>102</v>
      </c>
    </row>
    <row r="7" spans="1:15">
      <c r="A7" s="1"/>
      <c r="B7" s="1" t="s">
        <v>123</v>
      </c>
      <c r="C7" s="25" t="str">
        <f>TEXT('Monthly # of Customers'!M7,"Mmm yyyy")</f>
        <v>Mar</v>
      </c>
      <c r="D7" s="1" t="s">
        <v>123</v>
      </c>
      <c r="E7" s="1" t="s">
        <v>102</v>
      </c>
      <c r="G7" s="1"/>
      <c r="H7" s="25" t="str">
        <f>+C7</f>
        <v>Mar</v>
      </c>
      <c r="I7" s="1"/>
      <c r="J7" s="1"/>
      <c r="L7" s="1" t="s">
        <v>123</v>
      </c>
      <c r="M7" s="25" t="str">
        <f>+C7</f>
        <v>Mar</v>
      </c>
      <c r="N7" s="1" t="s">
        <v>123</v>
      </c>
      <c r="O7" s="1" t="s">
        <v>102</v>
      </c>
    </row>
    <row r="8" spans="1:15">
      <c r="A8" s="1"/>
      <c r="B8" s="1" t="s">
        <v>115</v>
      </c>
      <c r="C8" s="1" t="s">
        <v>115</v>
      </c>
      <c r="D8" s="1" t="s">
        <v>127</v>
      </c>
      <c r="E8" s="1" t="s">
        <v>106</v>
      </c>
      <c r="G8" s="1" t="s">
        <v>115</v>
      </c>
      <c r="H8" s="1" t="s">
        <v>115</v>
      </c>
      <c r="I8" s="1" t="s">
        <v>127</v>
      </c>
      <c r="J8" s="1"/>
      <c r="L8" s="1" t="s">
        <v>115</v>
      </c>
      <c r="M8" s="1" t="s">
        <v>115</v>
      </c>
      <c r="N8" s="1" t="s">
        <v>127</v>
      </c>
      <c r="O8" s="1" t="s">
        <v>106</v>
      </c>
    </row>
    <row r="9" spans="1:15">
      <c r="A9" s="3" t="s">
        <v>2</v>
      </c>
      <c r="B9" s="3" t="s">
        <v>39</v>
      </c>
      <c r="C9" s="3" t="s">
        <v>39</v>
      </c>
      <c r="D9" s="3" t="s">
        <v>114</v>
      </c>
      <c r="E9" s="3" t="s">
        <v>6</v>
      </c>
      <c r="G9" s="3" t="s">
        <v>39</v>
      </c>
      <c r="H9" s="3" t="s">
        <v>39</v>
      </c>
      <c r="I9" s="3" t="s">
        <v>114</v>
      </c>
      <c r="J9" s="3" t="s">
        <v>6</v>
      </c>
      <c r="L9" s="3" t="s">
        <v>39</v>
      </c>
      <c r="M9" s="3" t="s">
        <v>39</v>
      </c>
      <c r="N9" s="3" t="s">
        <v>114</v>
      </c>
      <c r="O9" s="3" t="s">
        <v>6</v>
      </c>
    </row>
    <row r="10" spans="1:15">
      <c r="A10" s="19" t="s">
        <v>7</v>
      </c>
      <c r="B10" s="19" t="s">
        <v>8</v>
      </c>
      <c r="C10" s="19" t="s">
        <v>9</v>
      </c>
      <c r="D10" s="19" t="s">
        <v>124</v>
      </c>
      <c r="E10" s="19" t="s">
        <v>178</v>
      </c>
      <c r="G10" s="19" t="s">
        <v>10</v>
      </c>
      <c r="H10" s="19" t="s">
        <v>179</v>
      </c>
      <c r="I10" s="19" t="s">
        <v>104</v>
      </c>
      <c r="J10" s="19" t="s">
        <v>130</v>
      </c>
      <c r="L10" s="19" t="s">
        <v>185</v>
      </c>
      <c r="M10" s="19" t="s">
        <v>186</v>
      </c>
      <c r="N10" s="19" t="s">
        <v>187</v>
      </c>
      <c r="O10" s="19" t="s">
        <v>188</v>
      </c>
    </row>
    <row r="11" spans="1:15" ht="6" customHeight="1"/>
    <row r="12" spans="1:15">
      <c r="A12" t="s">
        <v>80</v>
      </c>
      <c r="B12" s="26" t="e">
        <f>+RS!#REF!</f>
        <v>#REF!</v>
      </c>
      <c r="C12" s="6">
        <f>+'Monthly # of Customers'!M15</f>
        <v>0</v>
      </c>
      <c r="D12" s="6" t="e">
        <f>+RS!#REF!</f>
        <v>#REF!</v>
      </c>
      <c r="E12" s="30" t="e">
        <f>+YEM!C10</f>
        <v>#REF!</v>
      </c>
      <c r="G12">
        <v>0</v>
      </c>
      <c r="H12">
        <v>0</v>
      </c>
      <c r="I12" s="6" t="e">
        <f>+RS!#REF!</f>
        <v>#REF!</v>
      </c>
      <c r="J12" s="8">
        <f>+RS!N53</f>
        <v>10627948.211062847</v>
      </c>
      <c r="L12" s="26" t="e">
        <f>B12+G12</f>
        <v>#REF!</v>
      </c>
      <c r="M12" s="6">
        <f>C12+H12</f>
        <v>0</v>
      </c>
      <c r="N12" s="6" t="e">
        <f>D12+I12</f>
        <v>#REF!</v>
      </c>
      <c r="O12" s="30" t="e">
        <f>E12+J12</f>
        <v>#REF!</v>
      </c>
    </row>
    <row r="13" spans="1:15" ht="6" customHeight="1">
      <c r="B13" s="26"/>
      <c r="E13" s="28"/>
      <c r="J13" s="8"/>
      <c r="L13" s="26"/>
      <c r="O13" s="28"/>
    </row>
    <row r="14" spans="1:15">
      <c r="A14" s="9" t="s">
        <v>81</v>
      </c>
      <c r="B14" s="26" t="e">
        <f>+#REF!</f>
        <v>#REF!</v>
      </c>
      <c r="C14" s="6">
        <f>+'Monthly # of Customers'!M21</f>
        <v>63</v>
      </c>
      <c r="D14" s="6" t="e">
        <f>+#REF!</f>
        <v>#REF!</v>
      </c>
      <c r="E14" s="30" t="e">
        <f>+YEM!C12</f>
        <v>#REF!</v>
      </c>
      <c r="G14">
        <v>0</v>
      </c>
      <c r="H14">
        <v>0</v>
      </c>
      <c r="I14" s="6" t="e">
        <f>+#REF!</f>
        <v>#REF!</v>
      </c>
      <c r="J14" s="8" t="e">
        <f>+#REF!</f>
        <v>#REF!</v>
      </c>
      <c r="L14" s="26" t="e">
        <f>B14+G14</f>
        <v>#REF!</v>
      </c>
      <c r="M14" s="6">
        <f>C14+H14</f>
        <v>63</v>
      </c>
      <c r="N14" s="6" t="e">
        <f>D14+I14</f>
        <v>#REF!</v>
      </c>
      <c r="O14" s="30" t="e">
        <f>E14+J14</f>
        <v>#REF!</v>
      </c>
    </row>
    <row r="15" spans="1:15" ht="6" customHeight="1">
      <c r="A15" s="9"/>
      <c r="B15" s="26"/>
      <c r="E15" s="28"/>
      <c r="J15" s="8"/>
      <c r="L15" s="26"/>
      <c r="O15" s="28"/>
    </row>
    <row r="16" spans="1:15">
      <c r="A16" s="9" t="s">
        <v>160</v>
      </c>
      <c r="B16" s="26" t="e">
        <f>#REF!</f>
        <v>#REF!</v>
      </c>
      <c r="C16" s="6">
        <f>+'Monthly # of Customers'!M23</f>
        <v>2</v>
      </c>
      <c r="D16" s="6" t="e">
        <f>#REF!</f>
        <v>#REF!</v>
      </c>
      <c r="E16" s="30" t="e">
        <f>+YEM!C14</f>
        <v>#REF!</v>
      </c>
      <c r="J16" s="8"/>
      <c r="L16" s="26" t="e">
        <f>B16+G16</f>
        <v>#REF!</v>
      </c>
      <c r="M16" s="6">
        <f>C16+H16</f>
        <v>2</v>
      </c>
      <c r="N16" s="6" t="e">
        <f>D16+I16</f>
        <v>#REF!</v>
      </c>
      <c r="O16" s="30" t="e">
        <f>E16+J16</f>
        <v>#REF!</v>
      </c>
    </row>
    <row r="17" spans="1:15" ht="6" customHeight="1">
      <c r="A17" s="9"/>
      <c r="B17" s="26"/>
      <c r="E17" s="28"/>
      <c r="J17" s="8"/>
      <c r="L17" s="26"/>
      <c r="O17" s="28"/>
    </row>
    <row r="18" spans="1:15">
      <c r="A18" t="s">
        <v>35</v>
      </c>
      <c r="B18" s="26" t="e">
        <f>+#REF!</f>
        <v>#REF!</v>
      </c>
      <c r="C18" s="6" t="e">
        <f>+#REF!</f>
        <v>#REF!</v>
      </c>
      <c r="D18" s="6" t="e">
        <f>+#REF!</f>
        <v>#REF!</v>
      </c>
      <c r="E18" s="8" t="e">
        <f>+YEM!C16</f>
        <v>#REF!</v>
      </c>
      <c r="J18" s="8"/>
      <c r="L18" s="26" t="e">
        <f>B18+G18</f>
        <v>#REF!</v>
      </c>
      <c r="M18" s="6" t="e">
        <f>C18+H18</f>
        <v>#REF!</v>
      </c>
      <c r="N18" s="6" t="e">
        <f>D18+I18</f>
        <v>#REF!</v>
      </c>
      <c r="O18" s="8" t="e">
        <f>E18+J18</f>
        <v>#REF!</v>
      </c>
    </row>
    <row r="19" spans="1:15" ht="6" customHeight="1">
      <c r="A19" s="9"/>
      <c r="B19" s="26"/>
      <c r="E19" s="28"/>
      <c r="J19" s="8"/>
      <c r="L19" s="26"/>
      <c r="O19" s="28"/>
    </row>
    <row r="20" spans="1:15">
      <c r="A20" s="9" t="s">
        <v>83</v>
      </c>
      <c r="B20" s="26" t="e">
        <f>+#REF!</f>
        <v>#REF!</v>
      </c>
      <c r="C20" s="6">
        <f>+'Monthly # of Customers'!M27</f>
        <v>6</v>
      </c>
      <c r="D20" s="6" t="e">
        <f>+#REF!</f>
        <v>#REF!</v>
      </c>
      <c r="E20" s="30" t="e">
        <f>+YEM!C18</f>
        <v>#REF!</v>
      </c>
      <c r="J20" s="8"/>
      <c r="L20" s="26" t="e">
        <f>B20+G20</f>
        <v>#REF!</v>
      </c>
      <c r="M20" s="6">
        <f>C20+H20</f>
        <v>6</v>
      </c>
      <c r="N20" s="6" t="e">
        <f>D20+I20</f>
        <v>#REF!</v>
      </c>
      <c r="O20" s="30" t="e">
        <f>E20+J20</f>
        <v>#REF!</v>
      </c>
    </row>
    <row r="21" spans="1:15" ht="6" customHeight="1">
      <c r="A21" s="9"/>
      <c r="B21" s="26"/>
      <c r="E21" s="28"/>
      <c r="J21" s="8"/>
      <c r="L21" s="26"/>
      <c r="O21" s="28"/>
    </row>
    <row r="22" spans="1:15">
      <c r="A22" t="s">
        <v>195</v>
      </c>
      <c r="B22" s="26" t="e">
        <f>+'SGS TOD NA'!#REF!</f>
        <v>#REF!</v>
      </c>
      <c r="C22" s="6">
        <f>+'Monthly # of Customers'!M29</f>
        <v>131760</v>
      </c>
      <c r="D22" s="6" t="e">
        <f>+'SGS TOD NA'!#REF!</f>
        <v>#REF!</v>
      </c>
      <c r="E22" s="30" t="e">
        <f>+YEM!C20</f>
        <v>#REF!</v>
      </c>
      <c r="J22" s="8"/>
      <c r="L22" s="26" t="e">
        <f>B22+G22</f>
        <v>#REF!</v>
      </c>
      <c r="M22" s="6">
        <f>C22+H22</f>
        <v>131760</v>
      </c>
      <c r="N22" s="6" t="e">
        <f>D22+I22</f>
        <v>#REF!</v>
      </c>
      <c r="O22" s="30" t="e">
        <f>E22+J22</f>
        <v>#REF!</v>
      </c>
    </row>
    <row r="23" spans="1:15" ht="6" customHeight="1">
      <c r="A23" s="9"/>
      <c r="B23" s="26"/>
      <c r="E23" s="28"/>
      <c r="J23" s="8"/>
      <c r="L23" s="26"/>
      <c r="O23" s="28"/>
    </row>
    <row r="24" spans="1:15">
      <c r="A24" s="9" t="s">
        <v>84</v>
      </c>
      <c r="B24" s="26" t="e">
        <f>+#REF!</f>
        <v>#REF!</v>
      </c>
      <c r="C24" s="6">
        <f>+'Monthly # of Customers'!M33</f>
        <v>6408</v>
      </c>
      <c r="D24" s="6" t="e">
        <f>+#REF!</f>
        <v>#REF!</v>
      </c>
      <c r="E24" s="30" t="e">
        <f>+YEM!C22</f>
        <v>#REF!</v>
      </c>
      <c r="J24" s="8"/>
      <c r="L24" s="26" t="e">
        <f>B24+G24</f>
        <v>#REF!</v>
      </c>
      <c r="M24" s="6">
        <f>C24+H24</f>
        <v>6408</v>
      </c>
      <c r="N24" s="6" t="e">
        <f>D24+I24</f>
        <v>#REF!</v>
      </c>
      <c r="O24" s="30" t="e">
        <f>E24+J24</f>
        <v>#REF!</v>
      </c>
    </row>
    <row r="25" spans="1:15" ht="6" customHeight="1">
      <c r="A25" s="9"/>
      <c r="B25" s="26"/>
      <c r="C25" s="6"/>
      <c r="D25" s="6"/>
      <c r="E25" s="30"/>
      <c r="J25" s="8"/>
      <c r="L25" s="26"/>
      <c r="M25" s="6"/>
      <c r="N25" s="6"/>
      <c r="O25" s="30"/>
    </row>
    <row r="26" spans="1:15">
      <c r="A26" s="9" t="s">
        <v>203</v>
      </c>
      <c r="B26" s="26" t="e">
        <f>+#REF!</f>
        <v>#REF!</v>
      </c>
      <c r="C26" s="6">
        <f>+'Monthly # of Customers'!M35</f>
        <v>1</v>
      </c>
      <c r="D26" s="6" t="e">
        <f>+#REF!</f>
        <v>#REF!</v>
      </c>
      <c r="E26" s="30" t="e">
        <f>+YEM!C24</f>
        <v>#REF!</v>
      </c>
      <c r="J26" s="8"/>
      <c r="L26" s="26" t="e">
        <f>B26+G26</f>
        <v>#REF!</v>
      </c>
      <c r="M26" s="6">
        <f>C26+H26</f>
        <v>1</v>
      </c>
      <c r="N26" s="6" t="e">
        <f>D26+I26</f>
        <v>#REF!</v>
      </c>
      <c r="O26" s="30" t="e">
        <f>E26+J26</f>
        <v>#REF!</v>
      </c>
    </row>
    <row r="27" spans="1:15" ht="6" customHeight="1">
      <c r="A27" s="9"/>
      <c r="B27" s="26"/>
      <c r="E27" s="28"/>
      <c r="J27" s="8"/>
      <c r="L27" s="26"/>
      <c r="O27" s="28"/>
    </row>
    <row r="28" spans="1:15">
      <c r="A28" s="9" t="s">
        <v>85</v>
      </c>
      <c r="B28" s="26" t="e">
        <f>+#REF!</f>
        <v>#REF!</v>
      </c>
      <c r="C28" s="6">
        <f>+'Monthly # of Customers'!M37</f>
        <v>0</v>
      </c>
      <c r="D28" s="6" t="e">
        <f>+#REF!</f>
        <v>#REF!</v>
      </c>
      <c r="E28" s="30" t="e">
        <f>+YEM!C26</f>
        <v>#REF!</v>
      </c>
      <c r="J28" s="8"/>
      <c r="L28" s="26" t="e">
        <f>B28+G28</f>
        <v>#REF!</v>
      </c>
      <c r="M28" s="6">
        <f>C28+H28</f>
        <v>0</v>
      </c>
      <c r="N28" s="6" t="e">
        <f>D28+I28</f>
        <v>#REF!</v>
      </c>
      <c r="O28" s="30" t="e">
        <f>E28+J28</f>
        <v>#REF!</v>
      </c>
    </row>
    <row r="29" spans="1:15" ht="6" customHeight="1">
      <c r="A29" s="9"/>
      <c r="B29" s="26"/>
      <c r="E29" s="28"/>
      <c r="J29" s="8"/>
      <c r="L29" s="26"/>
      <c r="O29" s="28"/>
    </row>
    <row r="30" spans="1:15">
      <c r="A30" s="9" t="s">
        <v>86</v>
      </c>
      <c r="B30" s="26" t="e">
        <f>+#REF!</f>
        <v>#REF!</v>
      </c>
      <c r="C30" s="6">
        <f>+'Monthly # of Customers'!M42</f>
        <v>500</v>
      </c>
      <c r="D30" s="6" t="e">
        <f>+#REF!</f>
        <v>#REF!</v>
      </c>
      <c r="E30" s="30" t="e">
        <f>+YEM!C28</f>
        <v>#REF!</v>
      </c>
      <c r="G30" s="6"/>
      <c r="H30" s="6"/>
      <c r="I30" s="6"/>
      <c r="J30" s="8"/>
      <c r="L30" s="26" t="e">
        <f>B30+G30</f>
        <v>#REF!</v>
      </c>
      <c r="M30" s="6">
        <f>C30+H30</f>
        <v>500</v>
      </c>
      <c r="N30" s="6" t="e">
        <f>D30+I30</f>
        <v>#REF!</v>
      </c>
      <c r="O30" s="30" t="e">
        <f>E30+J30</f>
        <v>#REF!</v>
      </c>
    </row>
    <row r="31" spans="1:15" ht="6" customHeight="1">
      <c r="A31" s="9"/>
      <c r="B31" s="26"/>
      <c r="E31" s="28"/>
      <c r="J31" s="8"/>
      <c r="L31" s="26"/>
      <c r="O31" s="28"/>
    </row>
    <row r="32" spans="1:15">
      <c r="A32" s="9" t="s">
        <v>87</v>
      </c>
      <c r="B32" s="26" t="e">
        <f>+#REF!</f>
        <v>#REF!</v>
      </c>
      <c r="C32" s="6">
        <f>+'Monthly # of Customers'!M44</f>
        <v>0</v>
      </c>
      <c r="D32" s="6" t="e">
        <f>+#REF!</f>
        <v>#REF!</v>
      </c>
      <c r="E32" s="30" t="e">
        <f>+YEM!C30</f>
        <v>#REF!</v>
      </c>
      <c r="J32" s="8"/>
      <c r="L32" s="26" t="e">
        <f>B32+G32</f>
        <v>#REF!</v>
      </c>
      <c r="M32" s="6">
        <f>C32+H32</f>
        <v>0</v>
      </c>
      <c r="N32" s="6" t="e">
        <f>D32+I32</f>
        <v>#REF!</v>
      </c>
      <c r="O32" s="30" t="e">
        <f>E32+J32</f>
        <v>#REF!</v>
      </c>
    </row>
    <row r="33" spans="1:15" ht="6" customHeight="1">
      <c r="A33" s="9"/>
      <c r="B33" s="26"/>
      <c r="E33" s="28"/>
      <c r="J33" s="8"/>
      <c r="L33" s="26"/>
      <c r="O33" s="28"/>
    </row>
    <row r="34" spans="1:15">
      <c r="A34" s="9" t="s">
        <v>88</v>
      </c>
      <c r="B34" s="26" t="e">
        <f>+#REF!</f>
        <v>#REF!</v>
      </c>
      <c r="C34" s="6">
        <f>+'Monthly # of Customers'!M46</f>
        <v>86</v>
      </c>
      <c r="D34" s="6" t="e">
        <f>+#REF!</f>
        <v>#REF!</v>
      </c>
      <c r="E34" s="30" t="e">
        <f>+YEM!C32</f>
        <v>#REF!</v>
      </c>
      <c r="J34" s="8"/>
      <c r="L34" s="26" t="e">
        <f>B34+G34</f>
        <v>#REF!</v>
      </c>
      <c r="M34" s="6">
        <f>C34+H34</f>
        <v>86</v>
      </c>
      <c r="N34" s="6" t="e">
        <f>D34+I34</f>
        <v>#REF!</v>
      </c>
      <c r="O34" s="30" t="e">
        <f>E34+J34</f>
        <v>#REF!</v>
      </c>
    </row>
    <row r="35" spans="1:15" ht="6" customHeight="1">
      <c r="A35" s="9"/>
      <c r="B35" s="26"/>
      <c r="E35" s="28"/>
      <c r="J35" s="8"/>
      <c r="L35" s="26"/>
      <c r="O35" s="28"/>
    </row>
    <row r="36" spans="1:15">
      <c r="A36" s="9" t="s">
        <v>89</v>
      </c>
      <c r="B36" s="26" t="e">
        <f>+#REF!</f>
        <v>#REF!</v>
      </c>
      <c r="C36" s="7">
        <f>+'Monthly # of Customers'!M50</f>
        <v>65</v>
      </c>
      <c r="D36" s="6" t="e">
        <f>+#REF!</f>
        <v>#REF!</v>
      </c>
      <c r="E36" s="30" t="e">
        <f>+YEM!C34</f>
        <v>#REF!</v>
      </c>
      <c r="G36" s="6"/>
      <c r="H36" s="6"/>
      <c r="I36" s="6"/>
      <c r="J36" s="8"/>
      <c r="L36" s="26" t="e">
        <f>B36+G36</f>
        <v>#REF!</v>
      </c>
      <c r="M36" s="7">
        <f>C36+H36</f>
        <v>65</v>
      </c>
      <c r="N36" s="6" t="e">
        <f>D36+I36</f>
        <v>#REF!</v>
      </c>
      <c r="O36" s="30" t="e">
        <f>E36+J36</f>
        <v>#REF!</v>
      </c>
    </row>
    <row r="37" spans="1:15" ht="6" customHeight="1">
      <c r="A37" s="9"/>
      <c r="B37" s="26"/>
      <c r="E37" s="28"/>
      <c r="J37" s="8"/>
      <c r="L37" s="26"/>
      <c r="O37" s="28"/>
    </row>
    <row r="38" spans="1:15">
      <c r="A38" s="9" t="s">
        <v>90</v>
      </c>
      <c r="B38" s="26" t="e">
        <f>+#REF!</f>
        <v>#REF!</v>
      </c>
      <c r="C38" s="6">
        <f>+'Monthly # of Customers'!M52</f>
        <v>142</v>
      </c>
      <c r="D38" s="6" t="e">
        <f>+#REF!</f>
        <v>#REF!</v>
      </c>
      <c r="E38" s="30" t="e">
        <f>+YEM!C36</f>
        <v>#REF!</v>
      </c>
      <c r="G38" s="6"/>
      <c r="H38" s="6"/>
      <c r="I38" s="6"/>
      <c r="J38" s="8"/>
      <c r="L38" s="26" t="e">
        <f>B38+G38</f>
        <v>#REF!</v>
      </c>
      <c r="M38" s="6">
        <f>C38+H38</f>
        <v>142</v>
      </c>
      <c r="N38" s="6" t="e">
        <f>D38+I38</f>
        <v>#REF!</v>
      </c>
      <c r="O38" s="30" t="e">
        <f>E38+J38</f>
        <v>#REF!</v>
      </c>
    </row>
    <row r="39" spans="1:15" ht="6" customHeight="1">
      <c r="A39" s="9"/>
      <c r="B39" s="26"/>
      <c r="E39" s="28"/>
      <c r="J39" s="8"/>
      <c r="L39" s="26"/>
      <c r="O39" s="28"/>
    </row>
    <row r="40" spans="1:15">
      <c r="A40" s="9" t="s">
        <v>91</v>
      </c>
      <c r="B40" s="26" t="e">
        <f>+#REF!</f>
        <v>#REF!</v>
      </c>
      <c r="C40" s="6">
        <f>+'Monthly # of Customers'!M56</f>
        <v>40</v>
      </c>
      <c r="D40" s="6" t="e">
        <f>+#REF!</f>
        <v>#REF!</v>
      </c>
      <c r="E40" s="30" t="e">
        <f>+YEM!C38</f>
        <v>#REF!</v>
      </c>
      <c r="G40" s="6"/>
      <c r="I40" s="6"/>
      <c r="J40" s="8"/>
      <c r="L40" s="26" t="e">
        <f>B40+G40</f>
        <v>#REF!</v>
      </c>
      <c r="M40" s="6">
        <f>C40+H40</f>
        <v>40</v>
      </c>
      <c r="N40" s="6" t="e">
        <f>D40+I40</f>
        <v>#REF!</v>
      </c>
      <c r="O40" s="30" t="e">
        <f>E40+J40</f>
        <v>#REF!</v>
      </c>
    </row>
    <row r="41" spans="1:15" ht="6" customHeight="1">
      <c r="A41" s="9"/>
      <c r="B41" s="26"/>
      <c r="E41" s="28"/>
      <c r="J41" s="8"/>
      <c r="L41" s="26"/>
      <c r="O41" s="28"/>
    </row>
    <row r="42" spans="1:15">
      <c r="A42" s="9" t="s">
        <v>92</v>
      </c>
      <c r="B42" s="26" t="e">
        <f>+#REF!</f>
        <v>#REF!</v>
      </c>
      <c r="C42" s="6">
        <f>+'Monthly # of Customers'!M58</f>
        <v>0</v>
      </c>
      <c r="D42" s="6" t="e">
        <f>+#REF!</f>
        <v>#REF!</v>
      </c>
      <c r="E42" s="30" t="e">
        <f>+YEM!C40</f>
        <v>#REF!</v>
      </c>
      <c r="J42" s="8"/>
      <c r="L42" s="26" t="e">
        <f>B42+G42</f>
        <v>#REF!</v>
      </c>
      <c r="M42" s="6">
        <f>C42+H42</f>
        <v>0</v>
      </c>
      <c r="N42" s="6" t="e">
        <f>D42+I42</f>
        <v>#REF!</v>
      </c>
      <c r="O42" s="30" t="e">
        <f>E42+J42</f>
        <v>#REF!</v>
      </c>
    </row>
    <row r="43" spans="1:15" ht="7.5" customHeight="1">
      <c r="A43" s="9"/>
      <c r="B43" s="26"/>
      <c r="C43" s="6"/>
      <c r="D43" s="6"/>
      <c r="E43" s="30"/>
      <c r="J43" s="8"/>
      <c r="L43" s="26"/>
      <c r="M43" s="6"/>
      <c r="N43" s="6"/>
      <c r="O43" s="30"/>
    </row>
    <row r="44" spans="1:15">
      <c r="A44" s="28" t="s">
        <v>282</v>
      </c>
      <c r="B44" s="26" t="e">
        <f>#REF!</f>
        <v>#REF!</v>
      </c>
      <c r="C44" s="6">
        <f>'Monthly # of Customers'!M60</f>
        <v>3</v>
      </c>
      <c r="D44" s="6" t="e">
        <f>#REF!</f>
        <v>#REF!</v>
      </c>
      <c r="E44" s="30" t="e">
        <f>YEM!C42</f>
        <v>#REF!</v>
      </c>
      <c r="J44" s="8"/>
      <c r="L44" s="26" t="e">
        <f>B44+G44</f>
        <v>#REF!</v>
      </c>
      <c r="M44" s="6">
        <f>C44+H44</f>
        <v>3</v>
      </c>
      <c r="N44" s="6" t="e">
        <f>D44+I44</f>
        <v>#REF!</v>
      </c>
      <c r="O44" s="30" t="e">
        <f>E44+J44</f>
        <v>#REF!</v>
      </c>
    </row>
    <row r="45" spans="1:15" ht="5.25" customHeight="1">
      <c r="A45" s="9"/>
      <c r="B45" s="26"/>
      <c r="C45" s="6"/>
      <c r="D45" s="6"/>
      <c r="E45" s="30"/>
      <c r="J45" s="8"/>
      <c r="L45" s="26"/>
      <c r="M45" s="6"/>
      <c r="N45" s="6"/>
      <c r="O45" s="30"/>
    </row>
    <row r="46" spans="1:15">
      <c r="A46" s="9" t="s">
        <v>38</v>
      </c>
      <c r="B46" s="26" t="e">
        <f>+#REF!</f>
        <v>#REF!</v>
      </c>
      <c r="C46" s="6">
        <f>+'Monthly # of Customers'!M66</f>
        <v>364</v>
      </c>
      <c r="D46" s="6" t="e">
        <f>+#REF!</f>
        <v>#REF!</v>
      </c>
      <c r="E46" s="30" t="e">
        <f>+YEM!C44</f>
        <v>#REF!</v>
      </c>
      <c r="G46" s="6"/>
      <c r="H46" s="6"/>
      <c r="I46" s="6"/>
      <c r="J46" s="8"/>
      <c r="L46" s="26" t="e">
        <f>B46+G46</f>
        <v>#REF!</v>
      </c>
      <c r="M46" s="6">
        <f>C46+H46</f>
        <v>364</v>
      </c>
      <c r="N46" s="6" t="e">
        <f>D46+I46</f>
        <v>#REF!</v>
      </c>
      <c r="O46" s="30" t="e">
        <f>E46+J46</f>
        <v>#REF!</v>
      </c>
    </row>
    <row r="47" spans="1:15" ht="6" customHeight="1">
      <c r="A47" s="9"/>
      <c r="B47" s="26"/>
      <c r="E47" s="28"/>
      <c r="J47" s="8"/>
      <c r="L47" s="26"/>
      <c r="O47" s="28"/>
    </row>
    <row r="48" spans="1:15">
      <c r="A48" s="9" t="s">
        <v>93</v>
      </c>
      <c r="B48" s="26" t="e">
        <f>+#REF!</f>
        <v>#REF!</v>
      </c>
      <c r="C48" s="6">
        <f>+'Monthly # of Customers'!M68</f>
        <v>7</v>
      </c>
      <c r="D48" s="6" t="e">
        <f>+#REF!</f>
        <v>#REF!</v>
      </c>
      <c r="E48" s="30" t="e">
        <f>+YEM!C46</f>
        <v>#REF!</v>
      </c>
      <c r="G48" s="6"/>
      <c r="H48" s="6"/>
      <c r="I48" s="6"/>
      <c r="J48" s="8"/>
      <c r="L48" s="26" t="e">
        <f>B48+G48</f>
        <v>#REF!</v>
      </c>
      <c r="M48" s="6">
        <f>C48+H48</f>
        <v>7</v>
      </c>
      <c r="N48" s="6" t="e">
        <f>D48+I48</f>
        <v>#REF!</v>
      </c>
      <c r="O48" s="30" t="e">
        <f>E48+J48</f>
        <v>#REF!</v>
      </c>
    </row>
    <row r="49" spans="1:15" ht="6" customHeight="1">
      <c r="A49" s="9"/>
      <c r="B49" s="26"/>
      <c r="C49" s="6"/>
      <c r="D49" s="6"/>
      <c r="E49" s="30"/>
      <c r="G49" s="6"/>
      <c r="H49" s="6"/>
      <c r="I49" s="6"/>
      <c r="J49" s="8"/>
      <c r="L49" s="26"/>
      <c r="M49" s="6"/>
      <c r="N49" s="6"/>
      <c r="O49" s="30"/>
    </row>
    <row r="50" spans="1:15">
      <c r="A50" s="9" t="s">
        <v>198</v>
      </c>
      <c r="B50" s="26" t="e">
        <f>+#REF!</f>
        <v>#REF!</v>
      </c>
      <c r="C50" s="6">
        <f>+'Monthly # of Customers'!M70</f>
        <v>0</v>
      </c>
      <c r="D50" s="6" t="e">
        <f>+#REF!</f>
        <v>#REF!</v>
      </c>
      <c r="E50" s="30" t="e">
        <f>+YEM!C48</f>
        <v>#REF!</v>
      </c>
      <c r="G50" s="6"/>
      <c r="H50" s="6"/>
      <c r="I50" s="6"/>
      <c r="J50" s="8"/>
      <c r="L50" s="26" t="e">
        <f>B50+G50</f>
        <v>#REF!</v>
      </c>
      <c r="M50" s="6">
        <f>C50+H50</f>
        <v>0</v>
      </c>
      <c r="N50" s="6" t="e">
        <f>D50+I50</f>
        <v>#REF!</v>
      </c>
      <c r="O50" s="30" t="e">
        <f>E50+J50</f>
        <v>#REF!</v>
      </c>
    </row>
    <row r="51" spans="1:15" ht="6" customHeight="1">
      <c r="A51" s="9"/>
      <c r="B51" s="26"/>
      <c r="E51" s="28"/>
      <c r="J51" s="8"/>
      <c r="L51" s="26"/>
      <c r="O51" s="28"/>
    </row>
    <row r="52" spans="1:15">
      <c r="A52" s="82" t="s">
        <v>283</v>
      </c>
      <c r="B52" s="26" t="e">
        <f>#REF!</f>
        <v>#REF!</v>
      </c>
      <c r="C52" s="6">
        <f>+'Monthly # of Customers'!M72</f>
        <v>5</v>
      </c>
      <c r="D52" s="6" t="e">
        <f>#REF!</f>
        <v>#REF!</v>
      </c>
      <c r="E52" s="30" t="e">
        <f>+YEM!C50</f>
        <v>#REF!</v>
      </c>
      <c r="J52" s="8"/>
      <c r="L52" s="26" t="e">
        <f>B52+G52</f>
        <v>#REF!</v>
      </c>
      <c r="M52" s="6">
        <f>C52+H52</f>
        <v>5</v>
      </c>
      <c r="N52" s="6" t="e">
        <f>D52+I52</f>
        <v>#REF!</v>
      </c>
      <c r="O52" s="30" t="e">
        <f>E52+J52</f>
        <v>#REF!</v>
      </c>
    </row>
    <row r="53" spans="1:15" ht="6" customHeight="1">
      <c r="A53" s="82"/>
      <c r="B53" s="26"/>
      <c r="E53" s="28"/>
      <c r="J53" s="8"/>
      <c r="L53" s="26"/>
      <c r="O53" s="28"/>
    </row>
    <row r="54" spans="1:15">
      <c r="A54" s="82" t="s">
        <v>284</v>
      </c>
      <c r="B54" s="26" t="e">
        <f>#REF!</f>
        <v>#REF!</v>
      </c>
      <c r="C54" s="6">
        <f>+'Monthly # of Customers'!M74</f>
        <v>2</v>
      </c>
      <c r="D54" s="6" t="e">
        <f>#REF!</f>
        <v>#REF!</v>
      </c>
      <c r="E54" s="30" t="e">
        <f>+YEM!C52</f>
        <v>#REF!</v>
      </c>
      <c r="G54" s="6"/>
      <c r="H54" s="6"/>
      <c r="I54" s="6"/>
      <c r="J54" s="8"/>
      <c r="L54" s="26" t="e">
        <f>B54+G54</f>
        <v>#REF!</v>
      </c>
      <c r="M54" s="6">
        <f>C54+H54</f>
        <v>2</v>
      </c>
      <c r="N54" s="6" t="e">
        <f>D54+I54</f>
        <v>#REF!</v>
      </c>
      <c r="O54" s="30" t="e">
        <f>E54+J54</f>
        <v>#REF!</v>
      </c>
    </row>
    <row r="55" spans="1:15" ht="6" customHeight="1">
      <c r="A55" s="82"/>
      <c r="B55" s="26"/>
      <c r="E55" s="28"/>
      <c r="J55" s="8"/>
      <c r="L55" s="26"/>
      <c r="O55" s="28"/>
    </row>
    <row r="56" spans="1:15">
      <c r="A56" s="83" t="s">
        <v>322</v>
      </c>
      <c r="B56" s="26">
        <f>'CS-IRP TRAN 321'!L27</f>
        <v>5</v>
      </c>
      <c r="C56" s="6">
        <f>+'Monthly # of Customers'!M76</f>
        <v>0</v>
      </c>
      <c r="D56" s="6" t="e">
        <f>'CS-IRP TRAN 321'!L14</f>
        <v>#REF!</v>
      </c>
      <c r="E56" s="30" t="e">
        <f>+YEM!C54</f>
        <v>#REF!</v>
      </c>
      <c r="G56" s="6">
        <f>'CS-IRP TRAN 321'!N25</f>
        <v>-12</v>
      </c>
      <c r="H56" s="6">
        <v>-1</v>
      </c>
      <c r="I56" s="6">
        <f>'CS-IRP TRAN 321'!N14</f>
        <v>-18478133</v>
      </c>
      <c r="J56" s="8" t="e">
        <f>'CS-IRP TRAN 321'!N48</f>
        <v>#REF!</v>
      </c>
      <c r="L56" s="26">
        <f>B56+G56</f>
        <v>-7</v>
      </c>
      <c r="M56" s="6">
        <f>C56+H56</f>
        <v>-1</v>
      </c>
      <c r="N56" s="6" t="e">
        <f>D56+I56</f>
        <v>#REF!</v>
      </c>
      <c r="O56" s="30" t="e">
        <f>E56+J56</f>
        <v>#REF!</v>
      </c>
    </row>
    <row r="57" spans="1:15" ht="6" customHeight="1">
      <c r="A57" s="83"/>
      <c r="B57" s="26"/>
      <c r="E57" s="28"/>
      <c r="J57" s="8"/>
      <c r="L57" s="26"/>
      <c r="O57" s="28"/>
    </row>
    <row r="58" spans="1:15">
      <c r="A58" s="83" t="s">
        <v>323</v>
      </c>
      <c r="B58" s="26">
        <f>'CS-IRP SUB 331'!L27</f>
        <v>806</v>
      </c>
      <c r="C58" s="6">
        <f>+'Monthly # of Customers'!M79</f>
        <v>69</v>
      </c>
      <c r="D58" s="6" t="e">
        <f>'CS-IRP SUB 331'!L14</f>
        <v>#REF!</v>
      </c>
      <c r="E58" s="30" t="e">
        <f>+YEM!C56</f>
        <v>#REF!</v>
      </c>
      <c r="G58" s="6"/>
      <c r="H58" s="6"/>
      <c r="I58" s="6"/>
      <c r="J58" s="8"/>
      <c r="L58" s="26">
        <f>B58+G58</f>
        <v>806</v>
      </c>
      <c r="M58" s="6">
        <f>C58+H58</f>
        <v>69</v>
      </c>
      <c r="N58" s="6" t="e">
        <f>D58+I58</f>
        <v>#REF!</v>
      </c>
      <c r="O58" s="30" t="e">
        <f>E58+J58</f>
        <v>#REF!</v>
      </c>
    </row>
    <row r="59" spans="1:15" ht="6" customHeight="1">
      <c r="A59" s="82"/>
      <c r="B59" s="26"/>
      <c r="E59" s="29"/>
      <c r="J59" s="8"/>
      <c r="L59" s="26"/>
      <c r="O59" s="29"/>
    </row>
    <row r="60" spans="1:15">
      <c r="A60" s="82" t="s">
        <v>285</v>
      </c>
      <c r="B60" s="26" t="e">
        <f>#REF!</f>
        <v>#REF!</v>
      </c>
      <c r="C60" s="6">
        <f>+'Monthly # of Customers'!M83</f>
        <v>0</v>
      </c>
      <c r="D60" s="6" t="e">
        <f>+#REF!</f>
        <v>#REF!</v>
      </c>
      <c r="E60" s="30" t="e">
        <f>+YEM!C58</f>
        <v>#REF!</v>
      </c>
      <c r="G60" s="6"/>
      <c r="H60" s="6"/>
      <c r="I60" s="6"/>
      <c r="J60" s="8"/>
      <c r="L60" s="26" t="e">
        <f>B60+G60</f>
        <v>#REF!</v>
      </c>
      <c r="M60" s="6">
        <f>C60+H60</f>
        <v>0</v>
      </c>
      <c r="N60" s="6" t="e">
        <f>D60+I60</f>
        <v>#REF!</v>
      </c>
      <c r="O60" s="30" t="e">
        <f>E60+J60</f>
        <v>#REF!</v>
      </c>
    </row>
    <row r="61" spans="1:15" ht="6" customHeight="1">
      <c r="A61" s="82"/>
      <c r="B61" s="26"/>
      <c r="E61" s="30"/>
      <c r="J61" s="8"/>
      <c r="L61" s="26"/>
      <c r="O61" s="30"/>
    </row>
    <row r="62" spans="1:15">
      <c r="A62" s="82" t="s">
        <v>286</v>
      </c>
      <c r="B62" s="26" t="e">
        <f>#REF!</f>
        <v>#REF!</v>
      </c>
      <c r="C62" s="6">
        <f>+'Monthly # of Customers'!M85</f>
        <v>0</v>
      </c>
      <c r="D62" s="6" t="e">
        <f>+#REF!</f>
        <v>#REF!</v>
      </c>
      <c r="E62" s="30" t="e">
        <f>+YEM!C60</f>
        <v>#REF!</v>
      </c>
      <c r="G62" s="6"/>
      <c r="H62" s="6"/>
      <c r="I62" s="6"/>
      <c r="J62" s="8" t="e">
        <f>#REF!</f>
        <v>#REF!</v>
      </c>
      <c r="L62" s="26" t="e">
        <f>B62+G62</f>
        <v>#REF!</v>
      </c>
      <c r="M62" s="6">
        <f>C62+H62</f>
        <v>0</v>
      </c>
      <c r="N62" s="6" t="e">
        <f>D62+I62</f>
        <v>#REF!</v>
      </c>
      <c r="O62" s="30" t="e">
        <f>E62+J62</f>
        <v>#REF!</v>
      </c>
    </row>
    <row r="63" spans="1:15">
      <c r="A63" s="82"/>
      <c r="B63" s="26"/>
      <c r="C63" s="6"/>
      <c r="D63" s="6"/>
      <c r="E63" s="30"/>
      <c r="G63" s="6"/>
      <c r="H63" s="6"/>
      <c r="I63" s="6"/>
      <c r="J63" s="8"/>
      <c r="L63" s="26"/>
      <c r="M63" s="6"/>
      <c r="N63" s="6"/>
      <c r="O63" s="30"/>
    </row>
    <row r="64" spans="1:15">
      <c r="A64" s="82" t="s">
        <v>287</v>
      </c>
      <c r="B64" s="26" t="e">
        <f>#REF!</f>
        <v>#REF!</v>
      </c>
      <c r="C64" s="6">
        <f>'Monthly # of Customers'!M91</f>
        <v>0</v>
      </c>
      <c r="D64" s="6" t="e">
        <f>#REF!</f>
        <v>#REF!</v>
      </c>
      <c r="E64" s="30" t="e">
        <f>+YEM!C62</f>
        <v>#REF!</v>
      </c>
      <c r="G64" s="6" t="e">
        <f>#REF!</f>
        <v>#REF!</v>
      </c>
      <c r="H64" s="6">
        <v>0</v>
      </c>
      <c r="I64" s="6" t="e">
        <f>#REF!</f>
        <v>#REF!</v>
      </c>
      <c r="J64" s="8" t="e">
        <f>#REF!</f>
        <v>#REF!</v>
      </c>
      <c r="L64" s="26" t="e">
        <f>B64+G64</f>
        <v>#REF!</v>
      </c>
      <c r="M64" s="6">
        <f>C64+H64</f>
        <v>0</v>
      </c>
      <c r="N64" s="6" t="e">
        <f>D64+I64</f>
        <v>#REF!</v>
      </c>
      <c r="O64" s="30" t="e">
        <f>E64+J64</f>
        <v>#REF!</v>
      </c>
    </row>
    <row r="65" spans="1:15">
      <c r="A65" s="82"/>
      <c r="B65" s="26"/>
      <c r="C65" s="6"/>
      <c r="D65" s="6"/>
      <c r="E65" s="30"/>
      <c r="G65" s="6"/>
      <c r="H65" s="6"/>
      <c r="I65" s="6"/>
      <c r="J65" s="8"/>
      <c r="L65" s="26"/>
      <c r="M65" s="6"/>
      <c r="N65" s="6"/>
      <c r="O65" s="30"/>
    </row>
    <row r="66" spans="1:15">
      <c r="A66" s="82" t="s">
        <v>288</v>
      </c>
      <c r="B66" s="26" t="e">
        <f>#REF!</f>
        <v>#REF!</v>
      </c>
      <c r="C66" s="6">
        <f>'Monthly # of Customers'!M95</f>
        <v>139</v>
      </c>
      <c r="D66" s="6" t="e">
        <f>#REF!</f>
        <v>#REF!</v>
      </c>
      <c r="E66" s="30" t="e">
        <f>+YEM!C64</f>
        <v>#REF!</v>
      </c>
      <c r="G66" s="6"/>
      <c r="H66" s="6"/>
      <c r="I66" s="6"/>
      <c r="J66" s="8"/>
      <c r="L66" s="26" t="e">
        <f>B66+G66</f>
        <v>#REF!</v>
      </c>
      <c r="M66" s="6">
        <f>C66+H66</f>
        <v>139</v>
      </c>
      <c r="N66" s="6" t="e">
        <f>D66+I66</f>
        <v>#REF!</v>
      </c>
      <c r="O66" s="30" t="e">
        <f>E66+J66</f>
        <v>#REF!</v>
      </c>
    </row>
    <row r="67" spans="1:15" ht="6" customHeight="1">
      <c r="A67" s="9"/>
      <c r="B67" s="26"/>
      <c r="E67" s="28"/>
      <c r="J67" s="8"/>
      <c r="L67" s="26"/>
      <c r="O67" s="28"/>
    </row>
    <row r="68" spans="1:15">
      <c r="A68" t="s">
        <v>36</v>
      </c>
      <c r="B68" s="26" t="e">
        <f>+#REF!</f>
        <v>#REF!</v>
      </c>
      <c r="C68" s="6" t="e">
        <f>+#REF!</f>
        <v>#REF!</v>
      </c>
      <c r="D68" s="6" t="e">
        <f>+#REF!</f>
        <v>#REF!</v>
      </c>
      <c r="E68" s="8" t="e">
        <f>+YEM!C66</f>
        <v>#REF!</v>
      </c>
      <c r="J68" s="8"/>
      <c r="L68" s="26" t="e">
        <f>B68+G68</f>
        <v>#REF!</v>
      </c>
      <c r="M68" s="6" t="e">
        <f>C68+H68</f>
        <v>#REF!</v>
      </c>
      <c r="N68" s="6" t="e">
        <f>D68+I68</f>
        <v>#REF!</v>
      </c>
      <c r="O68" s="8" t="e">
        <f>E68+J68</f>
        <v>#REF!</v>
      </c>
    </row>
    <row r="69" spans="1:15" ht="6" customHeight="1">
      <c r="A69" s="9"/>
      <c r="B69" s="26"/>
      <c r="E69" s="28"/>
      <c r="J69" s="8"/>
      <c r="L69" s="26"/>
      <c r="O69" s="28"/>
    </row>
    <row r="70" spans="1:15">
      <c r="A70" s="15" t="s">
        <v>95</v>
      </c>
      <c r="B70" s="40" t="e">
        <f>+#REF!</f>
        <v>#REF!</v>
      </c>
      <c r="C70" s="16">
        <f>+'Monthly # of Customers'!M97</f>
        <v>4</v>
      </c>
      <c r="D70" s="16" t="e">
        <f>+#REF!</f>
        <v>#REF!</v>
      </c>
      <c r="E70" s="38" t="e">
        <f>+YEM!C68</f>
        <v>#REF!</v>
      </c>
      <c r="F70" s="12"/>
      <c r="G70" s="12"/>
      <c r="H70" s="12"/>
      <c r="I70" s="12"/>
      <c r="J70" s="38"/>
      <c r="K70" s="12"/>
      <c r="L70" s="40" t="e">
        <f>B70+G70</f>
        <v>#REF!</v>
      </c>
      <c r="M70" s="16">
        <f>C70+H70</f>
        <v>4</v>
      </c>
      <c r="N70" s="16" t="e">
        <f>D70+I70</f>
        <v>#REF!</v>
      </c>
      <c r="O70" s="38" t="e">
        <f>E70+J70</f>
        <v>#REF!</v>
      </c>
    </row>
    <row r="71" spans="1:15" ht="6" customHeight="1">
      <c r="B71" s="26"/>
      <c r="J71" s="8"/>
    </row>
    <row r="72" spans="1:15">
      <c r="A72" t="s">
        <v>17</v>
      </c>
      <c r="B72" s="26" t="e">
        <f>SUM(B12:B71)</f>
        <v>#REF!</v>
      </c>
      <c r="C72" s="26" t="e">
        <f>SUM(C12:C71)</f>
        <v>#REF!</v>
      </c>
      <c r="D72" s="26" t="e">
        <f>SUM(D12:D71)</f>
        <v>#REF!</v>
      </c>
      <c r="E72" s="8" t="e">
        <f>SUM(E12:E71)</f>
        <v>#REF!</v>
      </c>
      <c r="G72" s="26" t="e">
        <f>SUM(G12:G71)</f>
        <v>#REF!</v>
      </c>
      <c r="H72" s="26">
        <f>SUM(H12:H71)</f>
        <v>-1</v>
      </c>
      <c r="I72" s="26" t="e">
        <f>SUM(I12:I71)</f>
        <v>#REF!</v>
      </c>
      <c r="J72" s="8" t="e">
        <f>SUM(J12:J71)</f>
        <v>#REF!</v>
      </c>
      <c r="L72" s="26" t="e">
        <f>SUM(L12:L71)</f>
        <v>#REF!</v>
      </c>
      <c r="M72" s="26" t="e">
        <f>SUM(M12:M71)</f>
        <v>#REF!</v>
      </c>
      <c r="N72" s="26" t="e">
        <f>SUM(N12:N71)</f>
        <v>#REF!</v>
      </c>
      <c r="O72" s="8" t="e">
        <f>SUM(O12:O71)</f>
        <v>#REF!</v>
      </c>
    </row>
    <row r="73" spans="1:15">
      <c r="B73" s="26"/>
    </row>
    <row r="74" spans="1:15">
      <c r="B74" s="26"/>
      <c r="C74" s="26"/>
    </row>
    <row r="75" spans="1:15">
      <c r="B75" s="6"/>
      <c r="I75" s="6"/>
    </row>
    <row r="76" spans="1:15">
      <c r="A76" s="1"/>
      <c r="B76" s="1"/>
      <c r="C76" s="1"/>
      <c r="D76" s="1"/>
      <c r="E76" s="1"/>
    </row>
    <row r="77" spans="1:15">
      <c r="A77" s="1"/>
      <c r="B77" s="1"/>
      <c r="C77" s="1"/>
      <c r="D77" s="1"/>
      <c r="E77" s="1"/>
    </row>
    <row r="78" spans="1:15">
      <c r="A78" s="1"/>
      <c r="B78" s="1"/>
      <c r="C78" s="19"/>
      <c r="D78" s="1"/>
      <c r="E78" s="1"/>
    </row>
    <row r="79" spans="1:15">
      <c r="A79" s="1"/>
      <c r="B79" s="1"/>
      <c r="C79" s="1"/>
      <c r="D79" s="1"/>
      <c r="E79" s="1"/>
    </row>
    <row r="80" spans="1:15">
      <c r="A80" s="3"/>
      <c r="B80" s="3"/>
      <c r="C80" s="3"/>
      <c r="D80" s="3"/>
      <c r="E80" s="3"/>
    </row>
    <row r="81" spans="1:5">
      <c r="A81" s="19"/>
      <c r="B81" s="19"/>
      <c r="C81" s="19"/>
      <c r="D81" s="19"/>
      <c r="E81" s="19"/>
    </row>
    <row r="83" spans="1:5">
      <c r="B83" s="6"/>
    </row>
  </sheetData>
  <mergeCells count="2">
    <mergeCell ref="G5:J5"/>
    <mergeCell ref="L5:O5"/>
  </mergeCells>
  <phoneticPr fontId="0" type="noConversion"/>
  <pageMargins left="0.5" right="0.5" top="0.5" bottom="0.5" header="0.5" footer="0.5"/>
  <pageSetup scale="1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83"/>
  <sheetViews>
    <sheetView topLeftCell="C1" zoomScaleNormal="100" workbookViewId="0">
      <selection activeCell="N74" sqref="N74"/>
    </sheetView>
  </sheetViews>
  <sheetFormatPr defaultRowHeight="12.75"/>
  <cols>
    <col min="1" max="1" width="18.42578125" customWidth="1"/>
    <col min="2" max="2" width="11.28515625" bestFit="1" customWidth="1"/>
    <col min="3" max="3" width="11.7109375" bestFit="1" customWidth="1"/>
    <col min="4" max="4" width="11.28515625" bestFit="1" customWidth="1"/>
    <col min="5" max="5" width="10.28515625" bestFit="1" customWidth="1"/>
    <col min="6" max="7" width="13.42578125" bestFit="1" customWidth="1"/>
    <col min="8" max="8" width="12.28515625" bestFit="1" customWidth="1"/>
    <col min="9" max="9" width="12.7109375" bestFit="1" customWidth="1"/>
    <col min="10" max="10" width="13.42578125" bestFit="1" customWidth="1"/>
    <col min="11" max="11" width="12.140625" bestFit="1" customWidth="1"/>
    <col min="12" max="12" width="8.140625" hidden="1" customWidth="1"/>
    <col min="13" max="13" width="11.28515625" hidden="1" customWidth="1"/>
    <col min="15" max="15" width="12.28515625" bestFit="1" customWidth="1"/>
    <col min="16" max="16" width="14.42578125" bestFit="1" customWidth="1"/>
    <col min="17" max="17" width="17.28515625" style="23" customWidth="1"/>
  </cols>
  <sheetData>
    <row r="1" spans="1:17">
      <c r="A1" t="s">
        <v>110</v>
      </c>
    </row>
    <row r="2" spans="1:17">
      <c r="A2" t="s">
        <v>111</v>
      </c>
    </row>
    <row r="3" spans="1:17">
      <c r="A3" t="str">
        <f>RS!B4</f>
        <v>TEST YEAR ENDED MARCH 31, 2023</v>
      </c>
    </row>
    <row r="4" spans="1:17" ht="6" customHeight="1"/>
    <row r="5" spans="1:17">
      <c r="A5" s="1"/>
      <c r="B5" s="1"/>
      <c r="C5" s="25" t="str">
        <f>+'Annualization Adj. P1'!C7</f>
        <v>Mar</v>
      </c>
      <c r="D5" s="1"/>
      <c r="E5" s="1"/>
      <c r="F5" s="1"/>
      <c r="G5" s="1"/>
      <c r="H5" s="1"/>
      <c r="I5" s="1"/>
      <c r="J5" s="1"/>
      <c r="K5" s="1"/>
    </row>
    <row r="6" spans="1:17">
      <c r="A6" s="1"/>
      <c r="B6" s="1" t="s">
        <v>102</v>
      </c>
      <c r="C6" s="1" t="s">
        <v>112</v>
      </c>
      <c r="D6" s="1">
        <f>D12*12</f>
        <v>0</v>
      </c>
      <c r="E6" s="1"/>
      <c r="F6" s="1" t="s">
        <v>102</v>
      </c>
      <c r="G6" s="1"/>
      <c r="H6" s="1"/>
      <c r="J6" s="1" t="str">
        <f>+G7</f>
        <v>TME Mar</v>
      </c>
      <c r="K6" s="1"/>
    </row>
    <row r="7" spans="1:17">
      <c r="A7" s="1"/>
      <c r="B7" s="1" t="s">
        <v>123</v>
      </c>
      <c r="C7" s="1" t="s">
        <v>113</v>
      </c>
      <c r="D7" s="25" t="str">
        <f>+C5</f>
        <v>Mar</v>
      </c>
      <c r="E7" s="1"/>
      <c r="F7" s="1" t="s">
        <v>123</v>
      </c>
      <c r="G7" s="1" t="str">
        <f>"TME " &amp; C5</f>
        <v>TME Mar</v>
      </c>
      <c r="H7" s="1" t="s">
        <v>114</v>
      </c>
      <c r="I7" s="1" t="s">
        <v>102</v>
      </c>
      <c r="J7" s="1" t="s">
        <v>113</v>
      </c>
      <c r="K7" s="1" t="s">
        <v>6</v>
      </c>
    </row>
    <row r="8" spans="1:17">
      <c r="A8" s="1"/>
      <c r="B8" s="1" t="s">
        <v>115</v>
      </c>
      <c r="C8" s="1" t="s">
        <v>115</v>
      </c>
      <c r="D8" s="1" t="s">
        <v>115</v>
      </c>
      <c r="E8" s="1" t="s">
        <v>116</v>
      </c>
      <c r="F8" s="1" t="s">
        <v>127</v>
      </c>
      <c r="G8" s="1" t="s">
        <v>117</v>
      </c>
      <c r="H8" s="1" t="s">
        <v>118</v>
      </c>
      <c r="I8" s="1" t="s">
        <v>106</v>
      </c>
      <c r="J8" s="1" t="s">
        <v>119</v>
      </c>
      <c r="K8" s="1" t="s">
        <v>118</v>
      </c>
      <c r="O8" t="s">
        <v>321</v>
      </c>
    </row>
    <row r="9" spans="1:17">
      <c r="A9" s="3" t="s">
        <v>2</v>
      </c>
      <c r="B9" s="3" t="s">
        <v>190</v>
      </c>
      <c r="C9" s="3" t="s">
        <v>39</v>
      </c>
      <c r="D9" s="3" t="s">
        <v>190</v>
      </c>
      <c r="E9" s="3" t="s">
        <v>120</v>
      </c>
      <c r="F9" s="3" t="s">
        <v>191</v>
      </c>
      <c r="G9" s="3" t="s">
        <v>121</v>
      </c>
      <c r="H9" s="3" t="s">
        <v>103</v>
      </c>
      <c r="I9" s="3" t="s">
        <v>192</v>
      </c>
      <c r="J9" s="3" t="s">
        <v>122</v>
      </c>
      <c r="K9" s="3" t="s">
        <v>189</v>
      </c>
      <c r="M9" s="3" t="s">
        <v>167</v>
      </c>
      <c r="O9" s="3" t="s">
        <v>156</v>
      </c>
    </row>
    <row r="10" spans="1:17">
      <c r="A10" s="19" t="s">
        <v>7</v>
      </c>
      <c r="B10" s="19" t="s">
        <v>8</v>
      </c>
      <c r="C10" s="19" t="s">
        <v>9</v>
      </c>
      <c r="D10" s="19" t="s">
        <v>124</v>
      </c>
      <c r="E10" s="19" t="s">
        <v>125</v>
      </c>
      <c r="F10" s="19" t="s">
        <v>10</v>
      </c>
      <c r="G10" s="19" t="s">
        <v>128</v>
      </c>
      <c r="H10" s="19" t="s">
        <v>129</v>
      </c>
      <c r="I10" s="19" t="s">
        <v>130</v>
      </c>
      <c r="J10" s="19" t="s">
        <v>131</v>
      </c>
      <c r="K10" s="19" t="s">
        <v>132</v>
      </c>
      <c r="L10" s="1" t="s">
        <v>156</v>
      </c>
      <c r="M10" s="1" t="s">
        <v>156</v>
      </c>
    </row>
    <row r="11" spans="1:17" ht="6" customHeight="1"/>
    <row r="12" spans="1:17">
      <c r="A12" t="s">
        <v>80</v>
      </c>
      <c r="B12" s="26" t="e">
        <f>'Annualization Adj. P1'!L12</f>
        <v>#REF!</v>
      </c>
      <c r="C12" s="11" t="e">
        <f>B12/12</f>
        <v>#REF!</v>
      </c>
      <c r="D12" s="6">
        <f>'Annualization Adj. P1'!M12</f>
        <v>0</v>
      </c>
      <c r="E12" s="11" t="e">
        <f>+D12-C12</f>
        <v>#REF!</v>
      </c>
      <c r="F12" s="6" t="e">
        <f>'Annualization Adj. P1'!N12</f>
        <v>#REF!</v>
      </c>
      <c r="G12" s="6" t="e">
        <f>ROUND(F12/C12,3)</f>
        <v>#REF!</v>
      </c>
      <c r="H12" s="6" t="e">
        <f>ROUND(E12*G12,0)</f>
        <v>#REF!</v>
      </c>
      <c r="I12" s="30" t="e">
        <f>'Annualization Adj. P1'!O12</f>
        <v>#REF!</v>
      </c>
      <c r="J12" s="27" t="e">
        <f>IF(F12&lt;&gt;0,I12/F12,0)</f>
        <v>#REF!</v>
      </c>
      <c r="K12" s="30" t="e">
        <f>#REF!</f>
        <v>#REF!</v>
      </c>
      <c r="L12" s="20" t="e">
        <f>K12/H12-J12</f>
        <v>#REF!</v>
      </c>
      <c r="M12" s="30" t="e">
        <f>H12*J12-K12</f>
        <v>#REF!</v>
      </c>
      <c r="O12" s="100" t="e">
        <f>H12*J12-K12</f>
        <v>#REF!</v>
      </c>
      <c r="P12" s="101" t="e">
        <f>F12+H12</f>
        <v>#REF!</v>
      </c>
      <c r="Q12" s="23">
        <f>D12*12</f>
        <v>0</v>
      </c>
    </row>
    <row r="13" spans="1:17" ht="6" customHeight="1">
      <c r="B13" s="26"/>
      <c r="C13" s="11"/>
      <c r="E13" s="11"/>
      <c r="I13" s="28"/>
      <c r="L13" s="34"/>
      <c r="O13" s="100"/>
    </row>
    <row r="14" spans="1:17">
      <c r="A14" s="9" t="s">
        <v>81</v>
      </c>
      <c r="B14" s="26" t="e">
        <f>'Annualization Adj. P1'!L14</f>
        <v>#REF!</v>
      </c>
      <c r="C14" s="11" t="e">
        <f>B14/12</f>
        <v>#REF!</v>
      </c>
      <c r="D14" s="6">
        <f>'Annualization Adj. P1'!M14</f>
        <v>63</v>
      </c>
      <c r="E14" s="11" t="e">
        <f>+D14-C14</f>
        <v>#REF!</v>
      </c>
      <c r="F14" s="6" t="e">
        <f>'Annualization Adj. P1'!N14</f>
        <v>#REF!</v>
      </c>
      <c r="G14" s="6" t="e">
        <f>ROUND(F14/C14,3)</f>
        <v>#REF!</v>
      </c>
      <c r="H14" s="6" t="e">
        <f>ROUND(E14*G14,0)</f>
        <v>#REF!</v>
      </c>
      <c r="I14" s="30" t="e">
        <f>'Annualization Adj. P1'!O14</f>
        <v>#REF!</v>
      </c>
      <c r="J14" s="27" t="e">
        <f>IF(F14&lt;&gt;0,I14/F14,0)</f>
        <v>#REF!</v>
      </c>
      <c r="K14" s="30" t="e">
        <f>#REF!</f>
        <v>#REF!</v>
      </c>
      <c r="L14" s="20" t="e">
        <f>K14/H14-J14</f>
        <v>#REF!</v>
      </c>
      <c r="M14" s="30" t="e">
        <f>H14*J14-K14</f>
        <v>#REF!</v>
      </c>
      <c r="O14" s="100" t="e">
        <f>H14*J14-K14</f>
        <v>#REF!</v>
      </c>
      <c r="P14" s="101" t="e">
        <f>F14+H14</f>
        <v>#REF!</v>
      </c>
      <c r="Q14" s="23">
        <f>D14*12</f>
        <v>756</v>
      </c>
    </row>
    <row r="15" spans="1:17" ht="6" customHeight="1">
      <c r="A15" s="9"/>
      <c r="B15" s="26"/>
      <c r="C15" s="11"/>
      <c r="E15" s="11"/>
      <c r="I15" s="28"/>
      <c r="K15" s="30"/>
      <c r="L15" s="20"/>
      <c r="O15" s="100"/>
    </row>
    <row r="16" spans="1:17">
      <c r="A16" s="9" t="s">
        <v>160</v>
      </c>
      <c r="B16" s="26" t="e">
        <f>'Annualization Adj. P1'!L16</f>
        <v>#REF!</v>
      </c>
      <c r="C16" s="11" t="e">
        <f>B16/12</f>
        <v>#REF!</v>
      </c>
      <c r="D16" s="6">
        <f>'Annualization Adj. P1'!M16</f>
        <v>2</v>
      </c>
      <c r="E16" s="11" t="e">
        <f>+D16-C16</f>
        <v>#REF!</v>
      </c>
      <c r="F16" s="6" t="e">
        <f>'Annualization Adj. P1'!N16</f>
        <v>#REF!</v>
      </c>
      <c r="G16" s="6" t="e">
        <f>ROUND(F16/C16,3)</f>
        <v>#REF!</v>
      </c>
      <c r="H16" s="6" t="e">
        <f>ROUND(E16*G16,0)</f>
        <v>#REF!</v>
      </c>
      <c r="I16" s="30" t="e">
        <f>'Annualization Adj. P1'!O16</f>
        <v>#REF!</v>
      </c>
      <c r="J16" s="27" t="e">
        <f>IF(F16&lt;&gt;0,I16/F16,0)</f>
        <v>#REF!</v>
      </c>
      <c r="K16" s="30" t="e">
        <f>#REF!-'Annualization Adj. P1'!J16</f>
        <v>#REF!</v>
      </c>
      <c r="L16" s="20" t="e">
        <f>K16/H16-J16</f>
        <v>#REF!</v>
      </c>
      <c r="M16" s="30" t="e">
        <f>H16*J16-K16</f>
        <v>#REF!</v>
      </c>
      <c r="O16" s="100" t="e">
        <f>H16*J16-K16</f>
        <v>#REF!</v>
      </c>
      <c r="P16" s="101" t="e">
        <f>F16+H16</f>
        <v>#REF!</v>
      </c>
      <c r="Q16" s="23">
        <f>D16*12</f>
        <v>24</v>
      </c>
    </row>
    <row r="17" spans="1:17" ht="6" customHeight="1">
      <c r="A17" s="9"/>
      <c r="B17" s="26"/>
      <c r="C17" s="11"/>
      <c r="E17" s="11"/>
      <c r="I17" s="28"/>
      <c r="K17" s="30"/>
      <c r="L17" s="20"/>
      <c r="O17" s="100"/>
    </row>
    <row r="18" spans="1:17">
      <c r="A18" t="s">
        <v>35</v>
      </c>
      <c r="B18" s="26" t="e">
        <f>'Annualization Adj. P1'!L18</f>
        <v>#REF!</v>
      </c>
      <c r="C18" s="11" t="e">
        <f>B18/12</f>
        <v>#REF!</v>
      </c>
      <c r="D18" s="6" t="e">
        <f>'Annualization Adj. P1'!M18</f>
        <v>#REF!</v>
      </c>
      <c r="E18" s="11" t="e">
        <f>+D18-C18</f>
        <v>#REF!</v>
      </c>
      <c r="F18" s="6" t="e">
        <f>'Annualization Adj. P1'!N18</f>
        <v>#REF!</v>
      </c>
      <c r="G18" s="6" t="e">
        <f>ROUND(F18/C18,0)</f>
        <v>#REF!</v>
      </c>
      <c r="H18" s="6" t="e">
        <f>#REF!</f>
        <v>#REF!</v>
      </c>
      <c r="I18" s="30" t="e">
        <f>'Annualization Adj. P1'!O18</f>
        <v>#REF!</v>
      </c>
      <c r="J18" s="27" t="e">
        <f>IF(F18&lt;&gt;0,I18/F18,0)</f>
        <v>#REF!</v>
      </c>
      <c r="K18" s="30" t="e">
        <f>#REF!-'Annualization Adj. P1'!J18</f>
        <v>#REF!</v>
      </c>
      <c r="L18" s="20" t="e">
        <f>K18/H18-J18</f>
        <v>#REF!</v>
      </c>
      <c r="M18" s="30" t="e">
        <f>H18*J18-K18</f>
        <v>#REF!</v>
      </c>
      <c r="O18" s="100" t="e">
        <f>H18*J18-K18</f>
        <v>#REF!</v>
      </c>
      <c r="P18" s="101" t="e">
        <f>F18+H18</f>
        <v>#REF!</v>
      </c>
      <c r="Q18" s="23" t="e">
        <f>D18*12</f>
        <v>#REF!</v>
      </c>
    </row>
    <row r="19" spans="1:17" ht="6" customHeight="1">
      <c r="A19" s="9"/>
      <c r="B19" s="26"/>
      <c r="C19" s="11"/>
      <c r="E19" s="11"/>
      <c r="I19" s="28"/>
      <c r="K19" s="30"/>
      <c r="L19" s="20"/>
      <c r="O19" s="100"/>
    </row>
    <row r="20" spans="1:17">
      <c r="A20" s="9" t="s">
        <v>83</v>
      </c>
      <c r="B20" s="26" t="e">
        <f>'Annualization Adj. P1'!L20</f>
        <v>#REF!</v>
      </c>
      <c r="C20" s="11" t="e">
        <f>B20/12</f>
        <v>#REF!</v>
      </c>
      <c r="D20" s="6">
        <f>'Annualization Adj. P1'!M20</f>
        <v>6</v>
      </c>
      <c r="E20" s="11" t="e">
        <f>+D20-C20</f>
        <v>#REF!</v>
      </c>
      <c r="F20" s="6" t="e">
        <f>'Annualization Adj. P1'!N20</f>
        <v>#REF!</v>
      </c>
      <c r="G20" s="6" t="e">
        <f>ROUND(F20/C20,3)</f>
        <v>#REF!</v>
      </c>
      <c r="H20" s="6" t="e">
        <f>ROUND(E20*G20,0)</f>
        <v>#REF!</v>
      </c>
      <c r="I20" s="30" t="e">
        <f>'Annualization Adj. P1'!O20</f>
        <v>#REF!</v>
      </c>
      <c r="J20" s="27" t="e">
        <f>IF(F20&lt;&gt;0,I20/F20,0)</f>
        <v>#REF!</v>
      </c>
      <c r="K20" s="30" t="e">
        <f>#REF!-'Annualization Adj. P1'!J20</f>
        <v>#REF!</v>
      </c>
      <c r="L20" s="20" t="e">
        <f>K20/H20-J20</f>
        <v>#REF!</v>
      </c>
      <c r="M20" s="30" t="e">
        <f>H20*J20-K20</f>
        <v>#REF!</v>
      </c>
      <c r="O20" s="100" t="e">
        <f>H20*J20-K20</f>
        <v>#REF!</v>
      </c>
      <c r="P20" s="101" t="e">
        <f>F20+H20</f>
        <v>#REF!</v>
      </c>
      <c r="Q20" s="23">
        <f>D20*12</f>
        <v>72</v>
      </c>
    </row>
    <row r="21" spans="1:17" ht="6" customHeight="1">
      <c r="A21" s="9"/>
      <c r="B21" s="26"/>
      <c r="C21" s="11"/>
      <c r="E21" s="11"/>
      <c r="I21" s="28"/>
      <c r="K21" s="30"/>
      <c r="L21" s="20"/>
      <c r="O21" s="100"/>
    </row>
    <row r="22" spans="1:17">
      <c r="A22" t="s">
        <v>195</v>
      </c>
      <c r="B22" s="26" t="e">
        <f>'Annualization Adj. P1'!L22</f>
        <v>#REF!</v>
      </c>
      <c r="C22" s="11" t="e">
        <f>B22/12</f>
        <v>#REF!</v>
      </c>
      <c r="D22" s="6">
        <f>'Annualization Adj. P1'!M22</f>
        <v>131760</v>
      </c>
      <c r="E22" s="11" t="e">
        <f>+D22-C22</f>
        <v>#REF!</v>
      </c>
      <c r="F22" s="6" t="e">
        <f>'Annualization Adj. P1'!N22</f>
        <v>#REF!</v>
      </c>
      <c r="G22" s="6" t="e">
        <f>ROUND(F22/C22,3)</f>
        <v>#REF!</v>
      </c>
      <c r="H22" s="6" t="e">
        <f>ROUND(E22*G22,0)</f>
        <v>#REF!</v>
      </c>
      <c r="I22" s="30" t="e">
        <f>'Annualization Adj. P1'!O22</f>
        <v>#REF!</v>
      </c>
      <c r="J22" s="27" t="e">
        <f>IF(F22&lt;&gt;0,I22/F22,0)</f>
        <v>#REF!</v>
      </c>
      <c r="K22" s="30" t="e">
        <f>#REF!-'Annualization Adj. P1'!J22</f>
        <v>#REF!</v>
      </c>
      <c r="L22" s="20" t="e">
        <f>K22/H22-J22</f>
        <v>#REF!</v>
      </c>
      <c r="M22" s="30" t="e">
        <f>H22*J22-K22</f>
        <v>#REF!</v>
      </c>
      <c r="O22" s="100" t="e">
        <f>H22*J22-K22</f>
        <v>#REF!</v>
      </c>
      <c r="P22" s="101" t="e">
        <f>F22+H22</f>
        <v>#REF!</v>
      </c>
      <c r="Q22" s="23">
        <f>D22*12</f>
        <v>1581120</v>
      </c>
    </row>
    <row r="23" spans="1:17" ht="6" customHeight="1">
      <c r="A23" s="9"/>
      <c r="B23" s="26"/>
      <c r="C23" s="11"/>
      <c r="E23" s="11"/>
      <c r="I23" s="28"/>
      <c r="K23" s="30"/>
      <c r="L23" s="20"/>
      <c r="O23" s="100"/>
    </row>
    <row r="24" spans="1:17">
      <c r="A24" s="9" t="s">
        <v>84</v>
      </c>
      <c r="B24" s="26" t="e">
        <f>'Annualization Adj. P1'!L24</f>
        <v>#REF!</v>
      </c>
      <c r="C24" s="11" t="e">
        <f>B24/12</f>
        <v>#REF!</v>
      </c>
      <c r="D24" s="6">
        <f>'Annualization Adj. P1'!M24</f>
        <v>6408</v>
      </c>
      <c r="E24" s="11" t="e">
        <f>+D24-C24</f>
        <v>#REF!</v>
      </c>
      <c r="F24" s="6" t="e">
        <f>'Annualization Adj. P1'!N24</f>
        <v>#REF!</v>
      </c>
      <c r="G24" s="6" t="e">
        <f>ROUND(F24/C24,3)</f>
        <v>#REF!</v>
      </c>
      <c r="H24" s="6" t="e">
        <f>ROUND(E24*G24,0)</f>
        <v>#REF!</v>
      </c>
      <c r="I24" s="30" t="e">
        <f>'Annualization Adj. P1'!O24</f>
        <v>#REF!</v>
      </c>
      <c r="J24" s="27" t="e">
        <f>IF(F24&lt;&gt;0,I24/F24,0)</f>
        <v>#REF!</v>
      </c>
      <c r="K24" s="30" t="e">
        <f>#REF!-'Annualization Adj. P1'!J24</f>
        <v>#REF!</v>
      </c>
      <c r="L24" s="20" t="e">
        <f>K24/H24-J24</f>
        <v>#REF!</v>
      </c>
      <c r="M24" s="30" t="e">
        <f>H24*J24-K24</f>
        <v>#REF!</v>
      </c>
      <c r="O24" s="100" t="e">
        <f>H24*J24-K24</f>
        <v>#REF!</v>
      </c>
      <c r="P24" s="101" t="e">
        <f>F24+H24</f>
        <v>#REF!</v>
      </c>
      <c r="Q24" s="23">
        <f>D24*12</f>
        <v>76896</v>
      </c>
    </row>
    <row r="25" spans="1:17" ht="6" customHeight="1">
      <c r="A25" s="9"/>
      <c r="B25" s="26"/>
      <c r="C25" s="11"/>
      <c r="E25" s="11"/>
      <c r="I25" s="28"/>
      <c r="K25" s="30"/>
      <c r="L25" s="20"/>
      <c r="O25" s="100"/>
    </row>
    <row r="26" spans="1:17" ht="12.75" customHeight="1">
      <c r="A26" s="59" t="s">
        <v>203</v>
      </c>
      <c r="B26" s="26" t="e">
        <f>'Annualization Adj. P1'!L26</f>
        <v>#REF!</v>
      </c>
      <c r="C26" s="11" t="e">
        <f>B26/12</f>
        <v>#REF!</v>
      </c>
      <c r="D26" s="6">
        <f>'Annualization Adj. P1'!M26</f>
        <v>1</v>
      </c>
      <c r="E26" s="11" t="e">
        <f>+D26-C26</f>
        <v>#REF!</v>
      </c>
      <c r="F26" s="6" t="e">
        <f>'Annualization Adj. P1'!N26</f>
        <v>#REF!</v>
      </c>
      <c r="G26" s="6" t="e">
        <f>ROUND(F26/C26,3)</f>
        <v>#REF!</v>
      </c>
      <c r="H26" s="6" t="e">
        <f>ROUND(E26*G26,0)</f>
        <v>#REF!</v>
      </c>
      <c r="I26" s="30" t="e">
        <f>'Annualization Adj. P1'!O26</f>
        <v>#REF!</v>
      </c>
      <c r="J26" s="27" t="e">
        <f>IF(F26&lt;&gt;0,I26/F26,0)</f>
        <v>#REF!</v>
      </c>
      <c r="K26" s="30" t="e">
        <f>#REF!-'Annualization Adj. P1'!J26</f>
        <v>#REF!</v>
      </c>
      <c r="L26" s="20"/>
      <c r="O26" s="100" t="e">
        <f>H26*J26-K26</f>
        <v>#REF!</v>
      </c>
      <c r="P26" s="101" t="e">
        <f>F26+H26</f>
        <v>#REF!</v>
      </c>
      <c r="Q26" s="23">
        <f>D26*12</f>
        <v>12</v>
      </c>
    </row>
    <row r="27" spans="1:17" ht="6" customHeight="1">
      <c r="A27" s="9"/>
      <c r="B27" s="26"/>
      <c r="C27" s="11"/>
      <c r="E27" s="11"/>
      <c r="I27" s="28"/>
      <c r="K27" s="30"/>
      <c r="L27" s="20"/>
      <c r="O27" s="100"/>
    </row>
    <row r="28" spans="1:17">
      <c r="A28" s="9" t="s">
        <v>85</v>
      </c>
      <c r="B28" s="26" t="e">
        <f>'Annualization Adj. P1'!L28</f>
        <v>#REF!</v>
      </c>
      <c r="C28" s="11" t="e">
        <f>B28/12</f>
        <v>#REF!</v>
      </c>
      <c r="D28" s="6">
        <f>'Annualization Adj. P1'!M28</f>
        <v>0</v>
      </c>
      <c r="E28" s="11" t="e">
        <f>+D28-C28</f>
        <v>#REF!</v>
      </c>
      <c r="F28" s="6" t="e">
        <f>'Annualization Adj. P1'!N28</f>
        <v>#REF!</v>
      </c>
      <c r="G28" s="6" t="e">
        <f>ROUND(F28/C28,3)</f>
        <v>#REF!</v>
      </c>
      <c r="H28" s="6" t="e">
        <f>ROUND(E28*G28,0)</f>
        <v>#REF!</v>
      </c>
      <c r="I28" s="30" t="e">
        <f>'Annualization Adj. P1'!O28</f>
        <v>#REF!</v>
      </c>
      <c r="J28" s="27" t="e">
        <f>IF(F28&lt;&gt;0,I28/F28,0)</f>
        <v>#REF!</v>
      </c>
      <c r="K28" s="30" t="e">
        <f>#REF!-'Annualization Adj. P1'!J28</f>
        <v>#REF!</v>
      </c>
      <c r="L28" s="20" t="e">
        <f>K28/H28-J28</f>
        <v>#REF!</v>
      </c>
      <c r="M28" s="30" t="e">
        <f>H28*J28-K28</f>
        <v>#REF!</v>
      </c>
      <c r="O28" s="100" t="e">
        <f>H28*J28-K28</f>
        <v>#REF!</v>
      </c>
      <c r="P28" s="101" t="e">
        <f>F28+H28</f>
        <v>#REF!</v>
      </c>
      <c r="Q28" s="23">
        <f>D28*12</f>
        <v>0</v>
      </c>
    </row>
    <row r="29" spans="1:17" ht="6" customHeight="1">
      <c r="A29" s="9"/>
      <c r="B29" s="26"/>
      <c r="C29" s="11"/>
      <c r="E29" s="11"/>
      <c r="I29" s="28"/>
      <c r="K29" s="30"/>
      <c r="L29" s="20"/>
      <c r="O29" s="100"/>
    </row>
    <row r="30" spans="1:17">
      <c r="A30" s="9" t="s">
        <v>86</v>
      </c>
      <c r="B30" s="26" t="e">
        <f>'Annualization Adj. P1'!L30</f>
        <v>#REF!</v>
      </c>
      <c r="C30" s="11" t="e">
        <f>B30/12</f>
        <v>#REF!</v>
      </c>
      <c r="D30" s="6">
        <f>'Annualization Adj. P1'!M30</f>
        <v>500</v>
      </c>
      <c r="E30" s="11" t="e">
        <f>+D30-C30</f>
        <v>#REF!</v>
      </c>
      <c r="F30" s="6" t="e">
        <f>'Annualization Adj. P1'!N30</f>
        <v>#REF!</v>
      </c>
      <c r="G30" s="6" t="e">
        <f>ROUND(F30/C30,3)</f>
        <v>#REF!</v>
      </c>
      <c r="H30" s="6" t="e">
        <f>ROUND(E30*G30,0)</f>
        <v>#REF!</v>
      </c>
      <c r="I30" s="30" t="e">
        <f>'Annualization Adj. P1'!O30</f>
        <v>#REF!</v>
      </c>
      <c r="J30" s="27" t="e">
        <f>IF(F30&lt;&gt;0,I30/F30,0)</f>
        <v>#REF!</v>
      </c>
      <c r="K30" s="30" t="e">
        <f>#REF!-'Annualization Adj. P1'!J30</f>
        <v>#REF!</v>
      </c>
      <c r="L30" s="20" t="e">
        <f>K30/H30-J30</f>
        <v>#REF!</v>
      </c>
      <c r="M30" s="30" t="e">
        <f>H30*J30-K30</f>
        <v>#REF!</v>
      </c>
      <c r="O30" s="100" t="e">
        <f>H30*J30-K30</f>
        <v>#REF!</v>
      </c>
      <c r="P30" s="101" t="e">
        <f>F30+H30</f>
        <v>#REF!</v>
      </c>
      <c r="Q30" s="23">
        <f>D30*12</f>
        <v>6000</v>
      </c>
    </row>
    <row r="31" spans="1:17" ht="6" customHeight="1">
      <c r="A31" s="9"/>
      <c r="B31" s="26"/>
      <c r="C31" s="11"/>
      <c r="E31" s="11"/>
      <c r="I31" s="28"/>
      <c r="K31" s="30"/>
      <c r="L31" s="20"/>
      <c r="O31" s="100"/>
    </row>
    <row r="32" spans="1:17">
      <c r="A32" s="9" t="s">
        <v>87</v>
      </c>
      <c r="B32" s="26" t="e">
        <f>'Annualization Adj. P1'!L32</f>
        <v>#REF!</v>
      </c>
      <c r="C32" s="11" t="e">
        <f>B32/12</f>
        <v>#REF!</v>
      </c>
      <c r="D32" s="6">
        <f>'Annualization Adj. P1'!M32</f>
        <v>0</v>
      </c>
      <c r="E32" s="11" t="e">
        <f>+D32-C32</f>
        <v>#REF!</v>
      </c>
      <c r="F32" s="6" t="e">
        <f>'Annualization Adj. P1'!N32</f>
        <v>#REF!</v>
      </c>
      <c r="G32" s="6" t="e">
        <f>ROUND(F32/C32,3)</f>
        <v>#REF!</v>
      </c>
      <c r="H32" s="6" t="e">
        <f>ROUND(E32*G32,0)</f>
        <v>#REF!</v>
      </c>
      <c r="I32" s="30" t="e">
        <f>'Annualization Adj. P1'!O32</f>
        <v>#REF!</v>
      </c>
      <c r="J32" s="27" t="e">
        <f>IF(F32&lt;&gt;0,I32/F32,0)</f>
        <v>#REF!</v>
      </c>
      <c r="K32" s="30" t="e">
        <f>#REF!-'Annualization Adj. P1'!J32</f>
        <v>#REF!</v>
      </c>
      <c r="L32" s="20" t="e">
        <f>K32/H32-J32</f>
        <v>#REF!</v>
      </c>
      <c r="M32" s="30" t="e">
        <f>H32*J32-K32</f>
        <v>#REF!</v>
      </c>
      <c r="O32" s="100" t="e">
        <f>H32*J32-K32</f>
        <v>#REF!</v>
      </c>
      <c r="P32" s="101" t="e">
        <f>F32+H32</f>
        <v>#REF!</v>
      </c>
      <c r="Q32" s="23">
        <f>D32*12</f>
        <v>0</v>
      </c>
    </row>
    <row r="33" spans="1:17" ht="6" customHeight="1">
      <c r="A33" s="9"/>
      <c r="B33" s="26"/>
      <c r="C33" s="11"/>
      <c r="E33" s="11"/>
      <c r="I33" s="28"/>
      <c r="K33" s="30"/>
      <c r="L33" s="20"/>
      <c r="O33" s="100"/>
    </row>
    <row r="34" spans="1:17">
      <c r="A34" s="9" t="s">
        <v>88</v>
      </c>
      <c r="B34" s="26" t="e">
        <f>'Annualization Adj. P1'!L34</f>
        <v>#REF!</v>
      </c>
      <c r="C34" s="11" t="e">
        <f>B34/12</f>
        <v>#REF!</v>
      </c>
      <c r="D34" s="6">
        <f>'Annualization Adj. P1'!M34</f>
        <v>86</v>
      </c>
      <c r="E34" s="11" t="e">
        <f>+D34-C34</f>
        <v>#REF!</v>
      </c>
      <c r="F34" s="6" t="e">
        <f>'Annualization Adj. P1'!N34</f>
        <v>#REF!</v>
      </c>
      <c r="G34" s="6" t="e">
        <f>ROUND(F34/C34,3)</f>
        <v>#REF!</v>
      </c>
      <c r="H34" s="6" t="e">
        <f>ROUND(E34*G34,0)</f>
        <v>#REF!</v>
      </c>
      <c r="I34" s="30" t="e">
        <f>'Annualization Adj. P1'!O34</f>
        <v>#REF!</v>
      </c>
      <c r="J34" s="27" t="e">
        <f>IF(F34&lt;&gt;0,I34/F34,0)</f>
        <v>#REF!</v>
      </c>
      <c r="K34" s="30" t="e">
        <f>#REF!-'Annualization Adj. P1'!J34</f>
        <v>#REF!</v>
      </c>
      <c r="L34" s="20" t="e">
        <f>K34/H34-J34</f>
        <v>#REF!</v>
      </c>
      <c r="M34" s="30" t="e">
        <f>H34*J34-K34</f>
        <v>#REF!</v>
      </c>
      <c r="O34" s="100" t="e">
        <f>H34*J34-K34</f>
        <v>#REF!</v>
      </c>
      <c r="P34" s="101" t="e">
        <f>F34+H34</f>
        <v>#REF!</v>
      </c>
      <c r="Q34" s="23">
        <f>D34*12</f>
        <v>1032</v>
      </c>
    </row>
    <row r="35" spans="1:17" ht="6" customHeight="1">
      <c r="A35" s="9"/>
      <c r="B35" s="26"/>
      <c r="C35" s="11"/>
      <c r="E35" s="11"/>
      <c r="I35" s="28"/>
      <c r="K35" s="30"/>
      <c r="L35" s="20"/>
      <c r="O35" s="100"/>
    </row>
    <row r="36" spans="1:17">
      <c r="A36" s="9" t="s">
        <v>89</v>
      </c>
      <c r="B36" s="26" t="e">
        <f>'Annualization Adj. P1'!L36</f>
        <v>#REF!</v>
      </c>
      <c r="C36" s="11" t="e">
        <f>B36/12</f>
        <v>#REF!</v>
      </c>
      <c r="D36" s="6">
        <f>'Annualization Adj. P1'!M36</f>
        <v>65</v>
      </c>
      <c r="E36" s="11" t="e">
        <f>+D36-C36</f>
        <v>#REF!</v>
      </c>
      <c r="F36" s="6" t="e">
        <f>'Annualization Adj. P1'!N36</f>
        <v>#REF!</v>
      </c>
      <c r="G36" s="6" t="e">
        <f>ROUND(F36/C36,3)</f>
        <v>#REF!</v>
      </c>
      <c r="H36" s="6" t="e">
        <f>ROUND(E36*G36,0)</f>
        <v>#REF!</v>
      </c>
      <c r="I36" s="30" t="e">
        <f>'Annualization Adj. P1'!O36</f>
        <v>#REF!</v>
      </c>
      <c r="J36" s="27" t="e">
        <f>IF(F36&lt;&gt;0,I36/F36,0)</f>
        <v>#REF!</v>
      </c>
      <c r="K36" s="30" t="e">
        <f>#REF!-'Annualization Adj. P1'!J36</f>
        <v>#REF!</v>
      </c>
      <c r="L36" s="20" t="e">
        <f>K36/H36-J36</f>
        <v>#REF!</v>
      </c>
      <c r="M36" s="30" t="e">
        <f>H36*J36-K36</f>
        <v>#REF!</v>
      </c>
      <c r="O36" s="100" t="e">
        <f>H36*J36-K36</f>
        <v>#REF!</v>
      </c>
      <c r="P36" s="101" t="e">
        <f>F36+H36</f>
        <v>#REF!</v>
      </c>
      <c r="Q36" s="23">
        <f>D36*12</f>
        <v>780</v>
      </c>
    </row>
    <row r="37" spans="1:17" ht="6" customHeight="1">
      <c r="A37" s="9"/>
      <c r="B37" s="26"/>
      <c r="C37" s="11"/>
      <c r="E37" s="11"/>
      <c r="I37" s="28"/>
      <c r="K37" s="30"/>
      <c r="L37" s="20"/>
      <c r="O37" s="100"/>
    </row>
    <row r="38" spans="1:17">
      <c r="A38" s="9" t="s">
        <v>90</v>
      </c>
      <c r="B38" s="26" t="e">
        <f>'Annualization Adj. P1'!L38</f>
        <v>#REF!</v>
      </c>
      <c r="C38" s="11" t="e">
        <f>B38/12</f>
        <v>#REF!</v>
      </c>
      <c r="D38" s="6">
        <f>'Annualization Adj. P1'!M38</f>
        <v>142</v>
      </c>
      <c r="E38" s="11" t="e">
        <f>+D38-C38</f>
        <v>#REF!</v>
      </c>
      <c r="F38" s="6" t="e">
        <f>'Annualization Adj. P1'!N38</f>
        <v>#REF!</v>
      </c>
      <c r="G38" s="6" t="e">
        <f>ROUND(F38/C38,3)</f>
        <v>#REF!</v>
      </c>
      <c r="H38" s="6" t="e">
        <f>ROUND(E38*G38,0)</f>
        <v>#REF!</v>
      </c>
      <c r="I38" s="30" t="e">
        <f>'Annualization Adj. P1'!O38</f>
        <v>#REF!</v>
      </c>
      <c r="J38" s="27" t="e">
        <f>IF(F38&lt;&gt;0,I38/F38,0)</f>
        <v>#REF!</v>
      </c>
      <c r="K38" s="30" t="e">
        <f>#REF!-'Annualization Adj. P1'!J38</f>
        <v>#REF!</v>
      </c>
      <c r="L38" s="20" t="e">
        <f>K38/H38-J38</f>
        <v>#REF!</v>
      </c>
      <c r="M38" s="30" t="e">
        <f>H38*J38-K38</f>
        <v>#REF!</v>
      </c>
      <c r="O38" s="100" t="e">
        <f>H38*J38-K38</f>
        <v>#REF!</v>
      </c>
      <c r="P38" s="101" t="e">
        <f>F38+H38</f>
        <v>#REF!</v>
      </c>
      <c r="Q38" s="23">
        <f>D38*12</f>
        <v>1704</v>
      </c>
    </row>
    <row r="39" spans="1:17" ht="6" customHeight="1">
      <c r="A39" s="9"/>
      <c r="B39" s="26"/>
      <c r="C39" s="11"/>
      <c r="E39" s="11"/>
      <c r="I39" s="28"/>
      <c r="K39" s="30"/>
      <c r="L39" s="20"/>
      <c r="O39" s="100"/>
    </row>
    <row r="40" spans="1:17">
      <c r="A40" s="9" t="s">
        <v>91</v>
      </c>
      <c r="B40" s="26" t="e">
        <f>'Annualization Adj. P1'!L40</f>
        <v>#REF!</v>
      </c>
      <c r="C40" s="11" t="e">
        <f>B40/12</f>
        <v>#REF!</v>
      </c>
      <c r="D40" s="6">
        <f>'Annualization Adj. P1'!M40</f>
        <v>40</v>
      </c>
      <c r="E40" s="11" t="e">
        <f>+D40-C40</f>
        <v>#REF!</v>
      </c>
      <c r="F40" s="6" t="e">
        <f>'Annualization Adj. P1'!N40</f>
        <v>#REF!</v>
      </c>
      <c r="G40" s="6" t="e">
        <f>ROUND(F40/C40,3)</f>
        <v>#REF!</v>
      </c>
      <c r="H40" s="6" t="e">
        <f>ROUND(E40*G40,0)</f>
        <v>#REF!</v>
      </c>
      <c r="I40" s="30" t="e">
        <f>'Annualization Adj. P1'!O40</f>
        <v>#REF!</v>
      </c>
      <c r="J40" s="27" t="e">
        <f>IF(F40&lt;&gt;0,I40/F40,0)</f>
        <v>#REF!</v>
      </c>
      <c r="K40" s="30" t="e">
        <f>#REF!-'Annualization Adj. P1'!J40</f>
        <v>#REF!</v>
      </c>
      <c r="L40" s="20" t="e">
        <f>K40/H40-J40</f>
        <v>#REF!</v>
      </c>
      <c r="M40" s="30" t="e">
        <f>H40*J40-K40</f>
        <v>#REF!</v>
      </c>
      <c r="O40" s="100" t="e">
        <f>H40*J40-K40</f>
        <v>#REF!</v>
      </c>
      <c r="P40" s="101" t="e">
        <f>F40+H40</f>
        <v>#REF!</v>
      </c>
      <c r="Q40" s="23">
        <f>D40*12</f>
        <v>480</v>
      </c>
    </row>
    <row r="41" spans="1:17" ht="6" customHeight="1">
      <c r="A41" s="9"/>
      <c r="B41" s="26"/>
      <c r="C41" s="11"/>
      <c r="E41" s="11"/>
      <c r="I41" s="28"/>
      <c r="K41" s="30"/>
      <c r="L41" s="20"/>
      <c r="O41" s="100"/>
    </row>
    <row r="42" spans="1:17">
      <c r="A42" s="9" t="s">
        <v>92</v>
      </c>
      <c r="B42" s="26" t="e">
        <f>'Annualization Adj. P1'!L42</f>
        <v>#REF!</v>
      </c>
      <c r="C42" s="11" t="e">
        <f>B42/12</f>
        <v>#REF!</v>
      </c>
      <c r="D42" s="6">
        <f>'Annualization Adj. P1'!M42</f>
        <v>0</v>
      </c>
      <c r="E42" s="11" t="e">
        <f>+D42-C42</f>
        <v>#REF!</v>
      </c>
      <c r="F42" s="6" t="e">
        <f>'Annualization Adj. P1'!N42</f>
        <v>#REF!</v>
      </c>
      <c r="G42" s="6" t="e">
        <f>ROUND(F42/C42,3)</f>
        <v>#REF!</v>
      </c>
      <c r="H42" s="6" t="e">
        <f>ROUND(E42*G42,0)</f>
        <v>#REF!</v>
      </c>
      <c r="I42" s="30" t="e">
        <f>'Annualization Adj. P1'!O42</f>
        <v>#REF!</v>
      </c>
      <c r="J42" s="27" t="e">
        <f>IF(F42&lt;&gt;0,I42/F42,0)</f>
        <v>#REF!</v>
      </c>
      <c r="K42" s="30" t="e">
        <f>#REF!-'Annualization Adj. P1'!J42</f>
        <v>#REF!</v>
      </c>
      <c r="L42" s="20" t="e">
        <f>K42/H42-J42</f>
        <v>#REF!</v>
      </c>
      <c r="M42" s="30" t="e">
        <f>H42*J42-K42</f>
        <v>#REF!</v>
      </c>
      <c r="O42" s="100" t="e">
        <f>H42*J42-K42</f>
        <v>#REF!</v>
      </c>
      <c r="P42" s="101" t="e">
        <f>F42+H42</f>
        <v>#REF!</v>
      </c>
      <c r="Q42" s="23">
        <f>D42*12</f>
        <v>0</v>
      </c>
    </row>
    <row r="43" spans="1:17" ht="6" customHeight="1">
      <c r="A43" s="9"/>
      <c r="B43" s="26"/>
      <c r="C43" s="11"/>
      <c r="D43" s="6"/>
      <c r="E43" s="11"/>
      <c r="F43" s="6"/>
      <c r="G43" s="6"/>
      <c r="H43" s="6"/>
      <c r="I43" s="30"/>
      <c r="J43" s="27"/>
      <c r="K43" s="30"/>
      <c r="L43" s="20"/>
      <c r="M43" s="30"/>
      <c r="O43" s="100"/>
    </row>
    <row r="44" spans="1:17">
      <c r="A44" s="69" t="s">
        <v>282</v>
      </c>
      <c r="B44" s="26" t="e">
        <f>'Annualization Adj. P1'!L44</f>
        <v>#REF!</v>
      </c>
      <c r="C44" s="11" t="e">
        <f>B44/12</f>
        <v>#REF!</v>
      </c>
      <c r="D44" s="6">
        <f>'Annualization Adj. P1'!M44</f>
        <v>3</v>
      </c>
      <c r="E44" s="11" t="e">
        <f>+D44-C44</f>
        <v>#REF!</v>
      </c>
      <c r="F44" s="6" t="e">
        <f>'Annualization Adj. P1'!N44</f>
        <v>#REF!</v>
      </c>
      <c r="G44" s="6" t="e">
        <f>ROUND(F44/C44,3)</f>
        <v>#REF!</v>
      </c>
      <c r="H44" s="6" t="e">
        <f>ROUND(E44*G44,0)</f>
        <v>#REF!</v>
      </c>
      <c r="I44" s="30" t="e">
        <f>'Annualization Adj. P1'!O44</f>
        <v>#REF!</v>
      </c>
      <c r="J44" s="27" t="e">
        <f>IF(F44&lt;&gt;0,I44/F44,0)</f>
        <v>#REF!</v>
      </c>
      <c r="K44" s="30" t="e">
        <f>#REF!-'Annualization Adj. P1'!J44</f>
        <v>#REF!</v>
      </c>
      <c r="L44" s="20"/>
      <c r="M44" s="30"/>
      <c r="O44" s="100" t="e">
        <f>H44*J44-K44</f>
        <v>#REF!</v>
      </c>
      <c r="P44" s="101" t="e">
        <f>F44+H44</f>
        <v>#REF!</v>
      </c>
      <c r="Q44" s="23">
        <f>D44*12</f>
        <v>36</v>
      </c>
    </row>
    <row r="45" spans="1:17" ht="6" customHeight="1">
      <c r="A45" s="9"/>
      <c r="B45" s="26"/>
      <c r="C45" s="11"/>
      <c r="D45" s="6"/>
      <c r="E45" s="11"/>
      <c r="F45" s="6"/>
      <c r="G45" s="6"/>
      <c r="H45" s="6"/>
      <c r="I45" s="30"/>
      <c r="J45" s="27"/>
      <c r="K45" s="30"/>
      <c r="L45" s="20"/>
      <c r="M45" s="30"/>
      <c r="O45" s="100"/>
    </row>
    <row r="46" spans="1:17">
      <c r="A46" s="9" t="s">
        <v>38</v>
      </c>
      <c r="B46" s="26" t="e">
        <f>'Annualization Adj. P1'!L46</f>
        <v>#REF!</v>
      </c>
      <c r="C46" s="11" t="e">
        <f>B46/12</f>
        <v>#REF!</v>
      </c>
      <c r="D46" s="6">
        <f>'Annualization Adj. P1'!M46</f>
        <v>364</v>
      </c>
      <c r="E46" s="11" t="e">
        <f>+D46-C46</f>
        <v>#REF!</v>
      </c>
      <c r="F46" s="6" t="e">
        <f>'Annualization Adj. P1'!N46</f>
        <v>#REF!</v>
      </c>
      <c r="G46" s="6" t="e">
        <f>ROUND(F46/C46,3)</f>
        <v>#REF!</v>
      </c>
      <c r="H46" s="6" t="e">
        <f>ROUND(E46*G46,0)</f>
        <v>#REF!</v>
      </c>
      <c r="I46" s="30" t="e">
        <f>'Annualization Adj. P1'!O46</f>
        <v>#REF!</v>
      </c>
      <c r="J46" s="27" t="e">
        <f>IF(F46&lt;&gt;0,I46/F46,0)</f>
        <v>#REF!</v>
      </c>
      <c r="K46" s="30" t="e">
        <f>#REF!-'Annualization Adj. P1'!J46</f>
        <v>#REF!</v>
      </c>
      <c r="L46" s="20" t="e">
        <f>K46/H46-J46</f>
        <v>#REF!</v>
      </c>
      <c r="M46" s="30" t="e">
        <f>H46*J46-K46</f>
        <v>#REF!</v>
      </c>
      <c r="O46" s="100" t="e">
        <f>H46*J46-K46</f>
        <v>#REF!</v>
      </c>
      <c r="P46" s="101" t="e">
        <f>F46+H46</f>
        <v>#REF!</v>
      </c>
      <c r="Q46" s="23">
        <f>D46*12</f>
        <v>4368</v>
      </c>
    </row>
    <row r="47" spans="1:17" ht="6" customHeight="1">
      <c r="A47" s="9"/>
      <c r="B47" s="26"/>
      <c r="C47" s="11"/>
      <c r="E47" s="11"/>
      <c r="I47" s="28"/>
      <c r="K47" s="30"/>
      <c r="L47" s="20"/>
      <c r="O47" s="100"/>
    </row>
    <row r="48" spans="1:17">
      <c r="A48" s="9" t="s">
        <v>93</v>
      </c>
      <c r="B48" s="26" t="e">
        <f>'Annualization Adj. P1'!L48</f>
        <v>#REF!</v>
      </c>
      <c r="C48" s="11" t="e">
        <f>B48/12</f>
        <v>#REF!</v>
      </c>
      <c r="D48" s="6">
        <f>'Annualization Adj. P1'!M48</f>
        <v>7</v>
      </c>
      <c r="E48" s="11" t="e">
        <f>+D48-C48</f>
        <v>#REF!</v>
      </c>
      <c r="F48" s="6" t="e">
        <f>'Annualization Adj. P1'!N48</f>
        <v>#REF!</v>
      </c>
      <c r="G48" s="6" t="e">
        <f>ROUND(F48/C48,3)</f>
        <v>#REF!</v>
      </c>
      <c r="H48" s="6" t="e">
        <f>ROUND(E48*G48,0)</f>
        <v>#REF!</v>
      </c>
      <c r="I48" s="30" t="e">
        <f>'Annualization Adj. P1'!O48</f>
        <v>#REF!</v>
      </c>
      <c r="J48" s="27" t="e">
        <f>IF(F48&lt;&gt;0,I48/F48,0)</f>
        <v>#REF!</v>
      </c>
      <c r="K48" s="30" t="e">
        <f>#REF!-'Annualization Adj. P1'!J48</f>
        <v>#REF!</v>
      </c>
      <c r="L48" s="20" t="e">
        <f>K48/H48-J48</f>
        <v>#REF!</v>
      </c>
      <c r="M48" s="30" t="e">
        <f>H48*J48-K48</f>
        <v>#REF!</v>
      </c>
      <c r="O48" s="100" t="e">
        <f>H48*J48-K48</f>
        <v>#REF!</v>
      </c>
      <c r="P48" s="101" t="e">
        <f>F48+H48</f>
        <v>#REF!</v>
      </c>
      <c r="Q48" s="23">
        <f>D48*12</f>
        <v>84</v>
      </c>
    </row>
    <row r="49" spans="1:17" ht="6" customHeight="1">
      <c r="A49" s="9"/>
      <c r="B49" s="26"/>
      <c r="C49" s="11"/>
      <c r="D49" s="6"/>
      <c r="E49" s="11"/>
      <c r="F49" s="6"/>
      <c r="G49" s="6"/>
      <c r="H49" s="6"/>
      <c r="I49" s="30"/>
      <c r="J49" s="27"/>
      <c r="K49" s="30"/>
      <c r="L49" s="20"/>
      <c r="M49" s="30"/>
      <c r="O49" s="100"/>
    </row>
    <row r="50" spans="1:17">
      <c r="A50" s="9" t="s">
        <v>198</v>
      </c>
      <c r="B50" s="26" t="e">
        <f>'Annualization Adj. P1'!L50</f>
        <v>#REF!</v>
      </c>
      <c r="C50" s="11" t="e">
        <f>B50/12</f>
        <v>#REF!</v>
      </c>
      <c r="D50" s="6">
        <f>'Annualization Adj. P1'!M50</f>
        <v>0</v>
      </c>
      <c r="E50" s="11" t="e">
        <f>+D50-C50</f>
        <v>#REF!</v>
      </c>
      <c r="F50" s="6" t="e">
        <f>'Annualization Adj. P1'!N50</f>
        <v>#REF!</v>
      </c>
      <c r="G50" s="6" t="e">
        <f>ROUND(F50/C50,3)</f>
        <v>#REF!</v>
      </c>
      <c r="H50" s="6" t="e">
        <f>ROUND(E50*G50,0)</f>
        <v>#REF!</v>
      </c>
      <c r="I50" s="30" t="e">
        <f>'Annualization Adj. P1'!O50</f>
        <v>#REF!</v>
      </c>
      <c r="J50" s="27" t="e">
        <f>IF(F50&lt;&gt;0,I50/F50,0)</f>
        <v>#REF!</v>
      </c>
      <c r="K50" s="30" t="e">
        <f>#REF!-'Annualization Adj. P1'!J50</f>
        <v>#REF!</v>
      </c>
      <c r="L50" s="20"/>
      <c r="M50" s="30"/>
      <c r="O50" s="100" t="e">
        <f>H50*J50-K50</f>
        <v>#REF!</v>
      </c>
      <c r="P50" s="101" t="e">
        <f>F50+H50</f>
        <v>#REF!</v>
      </c>
      <c r="Q50" s="23">
        <f>D50*12</f>
        <v>0</v>
      </c>
    </row>
    <row r="51" spans="1:17" ht="6" customHeight="1">
      <c r="A51" s="9"/>
      <c r="B51" s="26"/>
      <c r="C51" s="11"/>
      <c r="E51" s="11"/>
      <c r="I51" s="28"/>
      <c r="K51" s="30"/>
      <c r="L51" s="20"/>
      <c r="O51" s="100"/>
    </row>
    <row r="52" spans="1:17">
      <c r="A52" s="82" t="s">
        <v>283</v>
      </c>
      <c r="B52" s="26" t="e">
        <f>'Annualization Adj. P1'!L52</f>
        <v>#REF!</v>
      </c>
      <c r="C52" s="11" t="e">
        <f>B52/12</f>
        <v>#REF!</v>
      </c>
      <c r="D52" s="6">
        <f>'Annualization Adj. P1'!M52</f>
        <v>5</v>
      </c>
      <c r="E52" s="11" t="e">
        <f>+D52-C52</f>
        <v>#REF!</v>
      </c>
      <c r="F52" s="6" t="e">
        <f>'Annualization Adj. P1'!N52</f>
        <v>#REF!</v>
      </c>
      <c r="G52" s="6" t="e">
        <f>ROUND(F52/C52,3)</f>
        <v>#REF!</v>
      </c>
      <c r="H52" s="6" t="e">
        <f>ROUND(E52*G52,0)</f>
        <v>#REF!</v>
      </c>
      <c r="I52" s="30" t="e">
        <f>'Annualization Adj. P1'!O52</f>
        <v>#REF!</v>
      </c>
      <c r="J52" s="27" t="e">
        <f>IF(F52&lt;&gt;0,I52/F52,0)</f>
        <v>#REF!</v>
      </c>
      <c r="K52" s="30" t="e">
        <f>#REF!-'Annualization Adj. P1'!J52</f>
        <v>#REF!</v>
      </c>
      <c r="L52" s="20" t="e">
        <f>K52/H52-J52</f>
        <v>#REF!</v>
      </c>
      <c r="M52" s="30" t="e">
        <f>H52*J52-K52</f>
        <v>#REF!</v>
      </c>
      <c r="O52" s="100" t="e">
        <f>H52*J52-K52</f>
        <v>#REF!</v>
      </c>
      <c r="P52" s="101" t="e">
        <f>F52+H52</f>
        <v>#REF!</v>
      </c>
      <c r="Q52" s="23">
        <f>D52*12</f>
        <v>60</v>
      </c>
    </row>
    <row r="53" spans="1:17" ht="6" customHeight="1">
      <c r="A53" s="82"/>
      <c r="B53" s="26"/>
      <c r="C53" s="11"/>
      <c r="E53" s="11"/>
      <c r="I53" s="28"/>
      <c r="K53" s="30"/>
      <c r="L53" s="20"/>
      <c r="O53" s="100"/>
    </row>
    <row r="54" spans="1:17">
      <c r="A54" s="82" t="s">
        <v>284</v>
      </c>
      <c r="B54" s="26" t="e">
        <f>'Annualization Adj. P1'!L54</f>
        <v>#REF!</v>
      </c>
      <c r="C54" s="11" t="e">
        <f>B54/12</f>
        <v>#REF!</v>
      </c>
      <c r="D54" s="6">
        <f>'Annualization Adj. P1'!M54</f>
        <v>2</v>
      </c>
      <c r="E54" s="11" t="e">
        <f>+D54-C54</f>
        <v>#REF!</v>
      </c>
      <c r="F54" s="6" t="e">
        <f>'Annualization Adj. P1'!N54</f>
        <v>#REF!</v>
      </c>
      <c r="G54" s="6" t="e">
        <f>ROUND(F54/C54,3)</f>
        <v>#REF!</v>
      </c>
      <c r="H54" s="6" t="e">
        <f>ROUND(E54*G54,0)</f>
        <v>#REF!</v>
      </c>
      <c r="I54" s="30" t="e">
        <f>'Annualization Adj. P1'!O54</f>
        <v>#REF!</v>
      </c>
      <c r="J54" s="27" t="e">
        <f>IF(F54&lt;&gt;0,I54/F54,0)</f>
        <v>#REF!</v>
      </c>
      <c r="K54" s="30" t="e">
        <f>#REF!-'Annualization Adj. P1'!J54</f>
        <v>#REF!</v>
      </c>
      <c r="L54" s="20" t="e">
        <f>K54/H54-J54</f>
        <v>#REF!</v>
      </c>
      <c r="M54" s="30" t="e">
        <f>H54*J54-K54</f>
        <v>#REF!</v>
      </c>
      <c r="O54" s="100" t="e">
        <f>H54*J54-K54</f>
        <v>#REF!</v>
      </c>
      <c r="P54" s="101" t="e">
        <f>F54+H54</f>
        <v>#REF!</v>
      </c>
      <c r="Q54" s="23">
        <f>D54*12</f>
        <v>24</v>
      </c>
    </row>
    <row r="55" spans="1:17" ht="6" customHeight="1">
      <c r="A55" s="82"/>
      <c r="B55" s="26"/>
      <c r="C55" s="11"/>
      <c r="E55" s="11"/>
      <c r="I55" s="28"/>
      <c r="K55" s="30"/>
      <c r="L55" s="20"/>
      <c r="O55" s="100"/>
    </row>
    <row r="56" spans="1:17">
      <c r="A56" s="83" t="s">
        <v>322</v>
      </c>
      <c r="B56" s="26">
        <f>'Annualization Adj. P1'!L56</f>
        <v>-7</v>
      </c>
      <c r="C56" s="11">
        <f>B56/12</f>
        <v>-0.58333333333333337</v>
      </c>
      <c r="D56" s="6">
        <f>'Annualization Adj. P1'!M56</f>
        <v>-1</v>
      </c>
      <c r="E56" s="11">
        <f>+D56-C56</f>
        <v>-0.41666666666666663</v>
      </c>
      <c r="F56" s="6" t="e">
        <f>'Annualization Adj. P1'!N56</f>
        <v>#REF!</v>
      </c>
      <c r="G56" s="6" t="e">
        <f>IF(C56=0,0,ROUND(F56/C56,3))</f>
        <v>#REF!</v>
      </c>
      <c r="H56" s="6" t="e">
        <f>ROUND(E56*G56,0)</f>
        <v>#REF!</v>
      </c>
      <c r="I56" s="30" t="e">
        <f>'Annualization Adj. P1'!O56</f>
        <v>#REF!</v>
      </c>
      <c r="J56" s="27" t="e">
        <f>IF(F56&lt;&gt;0,I56/F56,0)</f>
        <v>#REF!</v>
      </c>
      <c r="K56" s="30" t="e">
        <f>#REF!-'Annualization Adj. P1'!J56</f>
        <v>#REF!</v>
      </c>
      <c r="L56" s="20" t="e">
        <f>K56/H56-J56</f>
        <v>#REF!</v>
      </c>
      <c r="M56" s="30" t="e">
        <f>H56*J56-K56</f>
        <v>#REF!</v>
      </c>
      <c r="O56" s="100" t="e">
        <f>H56*J56-K56</f>
        <v>#REF!</v>
      </c>
      <c r="P56" s="101" t="e">
        <f>F56+H56</f>
        <v>#REF!</v>
      </c>
      <c r="Q56" s="23">
        <f>D56*12</f>
        <v>-12</v>
      </c>
    </row>
    <row r="57" spans="1:17" ht="6" customHeight="1">
      <c r="A57" s="83"/>
      <c r="B57" s="26"/>
      <c r="C57" s="11"/>
      <c r="E57" s="11"/>
      <c r="I57" s="28"/>
      <c r="K57" s="30"/>
      <c r="L57" s="20"/>
      <c r="O57" s="100"/>
    </row>
    <row r="58" spans="1:17">
      <c r="A58" s="83" t="s">
        <v>323</v>
      </c>
      <c r="B58" s="26">
        <f>'Annualization Adj. P1'!L58</f>
        <v>806</v>
      </c>
      <c r="C58" s="11">
        <f>B58/12</f>
        <v>67.166666666666671</v>
      </c>
      <c r="D58" s="6">
        <f>'Annualization Adj. P1'!M58</f>
        <v>69</v>
      </c>
      <c r="E58" s="11">
        <f>+D58-C58</f>
        <v>1.8333333333333286</v>
      </c>
      <c r="F58" s="6" t="e">
        <f>'Annualization Adj. P1'!N58</f>
        <v>#REF!</v>
      </c>
      <c r="G58" s="6" t="e">
        <f>ROUND(F58/C58,3)</f>
        <v>#REF!</v>
      </c>
      <c r="H58" s="6" t="e">
        <f>ROUND(E58*G58,0)</f>
        <v>#REF!</v>
      </c>
      <c r="I58" s="30" t="e">
        <f>'Annualization Adj. P1'!O58</f>
        <v>#REF!</v>
      </c>
      <c r="J58" s="27" t="e">
        <f>IF(F58&lt;&gt;0,I58/F58,0)</f>
        <v>#REF!</v>
      </c>
      <c r="K58" s="30" t="e">
        <f>#REF!-'Annualization Adj. P1'!J58</f>
        <v>#REF!</v>
      </c>
      <c r="L58" s="20" t="e">
        <f>K58/H58-J58</f>
        <v>#REF!</v>
      </c>
      <c r="M58" s="30" t="e">
        <f>H58*J58-K58</f>
        <v>#REF!</v>
      </c>
      <c r="O58" s="100" t="e">
        <f>H58*J58-K58</f>
        <v>#REF!</v>
      </c>
      <c r="P58" s="101" t="e">
        <f>F58+H58</f>
        <v>#REF!</v>
      </c>
      <c r="Q58" s="23">
        <f>D58*12</f>
        <v>828</v>
      </c>
    </row>
    <row r="59" spans="1:17" ht="6" customHeight="1">
      <c r="A59" s="82"/>
      <c r="B59" s="26"/>
      <c r="C59" s="11"/>
      <c r="E59" s="11"/>
      <c r="I59" s="29"/>
      <c r="K59" s="30"/>
      <c r="L59" s="20"/>
      <c r="O59" s="100"/>
    </row>
    <row r="60" spans="1:17">
      <c r="A60" s="82" t="s">
        <v>285</v>
      </c>
      <c r="B60" s="26" t="e">
        <f>'Annualization Adj. P1'!L60</f>
        <v>#REF!</v>
      </c>
      <c r="C60" s="11" t="e">
        <f>B60/12</f>
        <v>#REF!</v>
      </c>
      <c r="D60" s="6">
        <f>'Annualization Adj. P1'!M60</f>
        <v>0</v>
      </c>
      <c r="E60" s="11" t="e">
        <f>+D60-C60</f>
        <v>#REF!</v>
      </c>
      <c r="F60" s="6" t="e">
        <f>'Annualization Adj. P1'!N60</f>
        <v>#REF!</v>
      </c>
      <c r="G60" s="6" t="e">
        <f>ROUND(F60/C60,3)</f>
        <v>#REF!</v>
      </c>
      <c r="H60" s="6" t="e">
        <f>ROUND(E60*G60,0)</f>
        <v>#REF!</v>
      </c>
      <c r="I60" s="30" t="e">
        <f>'Annualization Adj. P1'!O60</f>
        <v>#REF!</v>
      </c>
      <c r="J60" s="27" t="e">
        <f>IF(F60&lt;&gt;0,I60/F60,0)</f>
        <v>#REF!</v>
      </c>
      <c r="K60" s="30" t="e">
        <f>#REF!-'Annualization Adj. P1'!J60</f>
        <v>#REF!</v>
      </c>
      <c r="L60" s="20" t="e">
        <f>K60/H60-J60</f>
        <v>#REF!</v>
      </c>
      <c r="M60" s="30" t="e">
        <f>H60*J60-K60</f>
        <v>#REF!</v>
      </c>
      <c r="O60" s="100" t="e">
        <f>H60*J60-K60</f>
        <v>#REF!</v>
      </c>
      <c r="P60" s="101" t="e">
        <f>F60+H60</f>
        <v>#REF!</v>
      </c>
      <c r="Q60" s="23">
        <f>D60*12</f>
        <v>0</v>
      </c>
    </row>
    <row r="61" spans="1:17" ht="6" customHeight="1">
      <c r="A61" s="82"/>
      <c r="B61" s="26"/>
      <c r="C61" s="11"/>
      <c r="E61" s="11"/>
      <c r="I61" s="30"/>
      <c r="K61" s="30"/>
      <c r="L61" s="20"/>
      <c r="O61" s="100"/>
    </row>
    <row r="62" spans="1:17">
      <c r="A62" s="82" t="s">
        <v>286</v>
      </c>
      <c r="B62" s="26" t="e">
        <f>'Annualization Adj. P1'!L62</f>
        <v>#REF!</v>
      </c>
      <c r="C62" s="11" t="e">
        <f>B62/12</f>
        <v>#REF!</v>
      </c>
      <c r="D62" s="6">
        <f>'Annualization Adj. P1'!M62</f>
        <v>0</v>
      </c>
      <c r="E62" s="11" t="e">
        <f>+D62-C62</f>
        <v>#REF!</v>
      </c>
      <c r="F62" s="6" t="e">
        <f>'Annualization Adj. P1'!N62</f>
        <v>#REF!</v>
      </c>
      <c r="G62" s="6" t="e">
        <f>ROUND(F62/C62,3)</f>
        <v>#REF!</v>
      </c>
      <c r="H62" s="6" t="e">
        <f>ROUND(E62*G62,0)</f>
        <v>#REF!</v>
      </c>
      <c r="I62" s="30" t="e">
        <f>'Annualization Adj. P1'!O62</f>
        <v>#REF!</v>
      </c>
      <c r="J62" s="27" t="e">
        <f>IF(F62&lt;&gt;0,I62/F62,0)</f>
        <v>#REF!</v>
      </c>
      <c r="K62" s="30" t="e">
        <f>#REF!-'Annualization Adj. P1'!J62</f>
        <v>#REF!</v>
      </c>
      <c r="L62" s="20" t="e">
        <f>K62/H62-J62</f>
        <v>#REF!</v>
      </c>
      <c r="M62" s="30" t="e">
        <f>H62*J62-K62</f>
        <v>#REF!</v>
      </c>
      <c r="O62" s="100" t="e">
        <f>H62*J62-K62</f>
        <v>#REF!</v>
      </c>
      <c r="P62" s="101" t="e">
        <f>F62+H62</f>
        <v>#REF!</v>
      </c>
      <c r="Q62" s="23">
        <f>D62*12</f>
        <v>0</v>
      </c>
    </row>
    <row r="63" spans="1:17">
      <c r="A63" s="82"/>
      <c r="B63" s="26"/>
      <c r="C63" s="18"/>
      <c r="D63" s="6"/>
      <c r="E63" s="18"/>
      <c r="F63" s="6"/>
      <c r="G63" s="6"/>
      <c r="H63" s="6"/>
      <c r="I63" s="30"/>
      <c r="J63" s="27"/>
      <c r="K63" s="30"/>
      <c r="L63" s="20"/>
      <c r="M63" s="30"/>
      <c r="O63" s="100"/>
    </row>
    <row r="64" spans="1:17">
      <c r="A64" s="82" t="s">
        <v>287</v>
      </c>
      <c r="B64" s="26" t="e">
        <f>'Annualization Adj. P1'!L64</f>
        <v>#REF!</v>
      </c>
      <c r="C64" s="11" t="e">
        <f>B64/12</f>
        <v>#REF!</v>
      </c>
      <c r="D64" s="6">
        <f>'Annualization Adj. P1'!M64</f>
        <v>0</v>
      </c>
      <c r="E64" s="11" t="e">
        <f>+D64-C64</f>
        <v>#REF!</v>
      </c>
      <c r="F64" s="6" t="e">
        <f>'Annualization Adj. P1'!N64</f>
        <v>#REF!</v>
      </c>
      <c r="G64" s="6" t="e">
        <f>ROUND(F64/C64,3)</f>
        <v>#REF!</v>
      </c>
      <c r="H64" s="6" t="e">
        <f>ROUND(E64*G64,0)</f>
        <v>#REF!</v>
      </c>
      <c r="I64" s="30" t="e">
        <f>'Annualization Adj. P1'!O64</f>
        <v>#REF!</v>
      </c>
      <c r="J64" s="27" t="e">
        <f>IF(F64&lt;&gt;0,I64/F64,0)</f>
        <v>#REF!</v>
      </c>
      <c r="K64" s="30" t="e">
        <f>#REF!-'Annualization Adj. P1'!J64</f>
        <v>#REF!</v>
      </c>
      <c r="L64" s="20"/>
      <c r="M64" s="30"/>
      <c r="O64" s="100" t="e">
        <f>H64*J64-K64</f>
        <v>#REF!</v>
      </c>
      <c r="P64" s="101" t="e">
        <f>F64+H64</f>
        <v>#REF!</v>
      </c>
      <c r="Q64" s="23">
        <f>D64*12</f>
        <v>0</v>
      </c>
    </row>
    <row r="65" spans="1:17">
      <c r="A65" s="82"/>
      <c r="B65" s="26"/>
      <c r="C65" s="18"/>
      <c r="D65" s="6"/>
      <c r="E65" s="18"/>
      <c r="F65" s="6"/>
      <c r="G65" s="6"/>
      <c r="H65" s="6"/>
      <c r="I65" s="30"/>
      <c r="J65" s="27"/>
      <c r="K65" s="30"/>
      <c r="L65" s="20"/>
      <c r="M65" s="30"/>
      <c r="O65" s="100"/>
    </row>
    <row r="66" spans="1:17">
      <c r="A66" s="82" t="s">
        <v>288</v>
      </c>
      <c r="B66" s="26" t="e">
        <f>'Annualization Adj. P1'!L66</f>
        <v>#REF!</v>
      </c>
      <c r="C66" s="11" t="e">
        <f>B66/12</f>
        <v>#REF!</v>
      </c>
      <c r="D66" s="6">
        <f>'Annualization Adj. P1'!M66</f>
        <v>139</v>
      </c>
      <c r="E66" s="11" t="e">
        <f>+D66-C66</f>
        <v>#REF!</v>
      </c>
      <c r="F66" s="6" t="e">
        <f>'Annualization Adj. P1'!N66</f>
        <v>#REF!</v>
      </c>
      <c r="G66" s="6" t="e">
        <f>ROUND(F66/C66,3)</f>
        <v>#REF!</v>
      </c>
      <c r="H66" s="6" t="e">
        <f>ROUND(E66*G66,0)</f>
        <v>#REF!</v>
      </c>
      <c r="I66" s="30" t="e">
        <f>'Annualization Adj. P1'!O66</f>
        <v>#REF!</v>
      </c>
      <c r="J66" s="27" t="e">
        <f>IF(F66&lt;&gt;0,I66/F66,0)</f>
        <v>#REF!</v>
      </c>
      <c r="K66" s="30" t="e">
        <f>#REF!-'Annualization Adj. P1'!J66</f>
        <v>#REF!</v>
      </c>
      <c r="L66" s="20"/>
      <c r="M66" s="30"/>
      <c r="O66" s="100" t="e">
        <f>H66*J66-K66</f>
        <v>#REF!</v>
      </c>
      <c r="P66" s="101" t="e">
        <f>F66+H66</f>
        <v>#REF!</v>
      </c>
      <c r="Q66" s="23">
        <f>D66*12</f>
        <v>1668</v>
      </c>
    </row>
    <row r="67" spans="1:17" ht="6" customHeight="1">
      <c r="A67" s="9"/>
      <c r="B67" s="26"/>
      <c r="C67" s="18"/>
      <c r="E67" s="18"/>
      <c r="I67" s="28"/>
      <c r="K67" s="30"/>
      <c r="L67" s="20"/>
      <c r="O67" s="100"/>
    </row>
    <row r="68" spans="1:17">
      <c r="A68" t="s">
        <v>36</v>
      </c>
      <c r="B68" s="26" t="e">
        <f>'Annualization Adj. P1'!L68</f>
        <v>#REF!</v>
      </c>
      <c r="C68" s="18" t="e">
        <f>B68/12</f>
        <v>#REF!</v>
      </c>
      <c r="D68" s="6" t="e">
        <f>'Annualization Adj. P1'!M68</f>
        <v>#REF!</v>
      </c>
      <c r="E68" s="18" t="e">
        <f>+D68-C68</f>
        <v>#REF!</v>
      </c>
      <c r="F68" s="6" t="e">
        <f>'Annualization Adj. P1'!N68</f>
        <v>#REF!</v>
      </c>
      <c r="G68" s="6" t="e">
        <f>ROUND(F68/C68,0)</f>
        <v>#REF!</v>
      </c>
      <c r="H68" s="6" t="e">
        <f>#REF!</f>
        <v>#REF!</v>
      </c>
      <c r="I68" s="30" t="e">
        <f>'Annualization Adj. P1'!O68</f>
        <v>#REF!</v>
      </c>
      <c r="J68" s="27" t="e">
        <f>IF(F68&lt;&gt;0,I68/F68,0)</f>
        <v>#REF!</v>
      </c>
      <c r="K68" s="30" t="e">
        <f>#REF!-'Annualization Adj. P1'!J68</f>
        <v>#REF!</v>
      </c>
      <c r="L68" s="20" t="e">
        <f>K68/H68-J68</f>
        <v>#REF!</v>
      </c>
      <c r="M68" s="30" t="e">
        <f>H68*J68-K68</f>
        <v>#REF!</v>
      </c>
      <c r="O68" s="100" t="e">
        <f>H68*J68-K68</f>
        <v>#REF!</v>
      </c>
      <c r="P68" s="101" t="e">
        <f>F68+H68</f>
        <v>#REF!</v>
      </c>
      <c r="Q68" s="23" t="e">
        <f>D68*12</f>
        <v>#REF!</v>
      </c>
    </row>
    <row r="69" spans="1:17" ht="6" customHeight="1">
      <c r="A69" s="9"/>
      <c r="B69" s="26"/>
      <c r="C69" s="18"/>
      <c r="E69" s="18"/>
      <c r="I69" s="28"/>
      <c r="K69" s="30"/>
      <c r="L69" s="20"/>
      <c r="O69" s="100"/>
    </row>
    <row r="70" spans="1:17">
      <c r="A70" s="15" t="s">
        <v>95</v>
      </c>
      <c r="B70" s="40" t="e">
        <f>'Annualization Adj. P1'!L70</f>
        <v>#REF!</v>
      </c>
      <c r="C70" s="41" t="e">
        <f>B70/12</f>
        <v>#REF!</v>
      </c>
      <c r="D70" s="16">
        <f>'Annualization Adj. P1'!M70</f>
        <v>4</v>
      </c>
      <c r="E70" s="41" t="e">
        <f>+D70-C70</f>
        <v>#REF!</v>
      </c>
      <c r="F70" s="16" t="e">
        <f>'Annualization Adj. P1'!N70</f>
        <v>#REF!</v>
      </c>
      <c r="G70" s="16" t="e">
        <f>ROUND(F70/C70,3)</f>
        <v>#REF!</v>
      </c>
      <c r="H70" s="16" t="e">
        <f>ROUND(E70*G70,0)</f>
        <v>#REF!</v>
      </c>
      <c r="I70" s="42" t="e">
        <f>'Annualization Adj. P1'!O70</f>
        <v>#REF!</v>
      </c>
      <c r="J70" s="43" t="e">
        <f>IF(F70&lt;&gt;0,I70/F70,0)</f>
        <v>#REF!</v>
      </c>
      <c r="K70" s="42" t="e">
        <f>#REF!-'Annualization Adj. P1'!J70</f>
        <v>#REF!</v>
      </c>
      <c r="L70" s="44" t="e">
        <f>K70/H70-J70</f>
        <v>#REF!</v>
      </c>
      <c r="M70" s="42" t="e">
        <f>H70*J70-K70</f>
        <v>#REF!</v>
      </c>
      <c r="O70" s="100" t="e">
        <f>H70*J70-K70</f>
        <v>#REF!</v>
      </c>
      <c r="P70" s="101" t="e">
        <f>F70+H70</f>
        <v>#REF!</v>
      </c>
      <c r="Q70" s="23">
        <f>D70*12</f>
        <v>48</v>
      </c>
    </row>
    <row r="71" spans="1:17" ht="6" customHeight="1">
      <c r="B71" s="26"/>
      <c r="C71" s="18"/>
      <c r="K71" s="30"/>
      <c r="L71" s="20"/>
    </row>
    <row r="72" spans="1:17">
      <c r="A72" t="s">
        <v>17</v>
      </c>
      <c r="B72" s="26" t="e">
        <f>SUM(B12:B71)</f>
        <v>#REF!</v>
      </c>
      <c r="C72" s="33" t="e">
        <f>SUM(C12:C71)</f>
        <v>#REF!</v>
      </c>
      <c r="D72" s="26" t="e">
        <f>SUM(D12:D71)</f>
        <v>#REF!</v>
      </c>
      <c r="E72" s="33" t="e">
        <f>SUM(E12:E71)</f>
        <v>#REF!</v>
      </c>
      <c r="F72" s="26" t="e">
        <f>SUM(F12:F71)</f>
        <v>#REF!</v>
      </c>
      <c r="G72" s="6" t="e">
        <f>ROUND(F72/C72,3)</f>
        <v>#REF!</v>
      </c>
      <c r="H72" s="26" t="e">
        <f>SUM(H12:H71)</f>
        <v>#REF!</v>
      </c>
      <c r="I72" s="8" t="e">
        <f>SUM(I12:I71)</f>
        <v>#REF!</v>
      </c>
      <c r="J72" s="26"/>
      <c r="K72" s="30" t="e">
        <f>SUM(K12:K71)</f>
        <v>#REF!</v>
      </c>
      <c r="M72" s="8" t="e">
        <f>SUM(M12:M71)</f>
        <v>#REF!</v>
      </c>
      <c r="O72" s="8"/>
      <c r="P72" s="30" t="e">
        <f>SUM(P12:P71)</f>
        <v>#REF!</v>
      </c>
      <c r="Q72" s="113" t="e">
        <f>SUM(Q12:Q71)</f>
        <v>#REF!</v>
      </c>
    </row>
    <row r="73" spans="1:17" ht="6" customHeight="1">
      <c r="B73" s="26"/>
    </row>
    <row r="74" spans="1:17">
      <c r="A74" t="s">
        <v>193</v>
      </c>
      <c r="B74" s="26"/>
      <c r="C74" s="26"/>
      <c r="D74" s="45" t="s">
        <v>194</v>
      </c>
      <c r="K74" s="6"/>
    </row>
    <row r="75" spans="1:17">
      <c r="B75" s="6"/>
    </row>
    <row r="76" spans="1:17">
      <c r="A76" s="1"/>
      <c r="B76" s="1"/>
      <c r="C76" s="25"/>
      <c r="D76" s="1"/>
      <c r="E76" s="1"/>
      <c r="F76" s="1"/>
      <c r="G76" s="1"/>
      <c r="H76" s="65"/>
      <c r="I76" s="1"/>
      <c r="J76" s="1"/>
      <c r="K76" s="1"/>
    </row>
    <row r="77" spans="1:17">
      <c r="A77" s="1"/>
      <c r="B77" s="1"/>
      <c r="C77" s="1"/>
      <c r="D77" s="1"/>
      <c r="E77" s="1"/>
      <c r="F77" s="1"/>
      <c r="G77" s="1"/>
      <c r="H77" s="65"/>
      <c r="I77" s="1"/>
      <c r="J77" s="1"/>
      <c r="K77" s="1"/>
    </row>
    <row r="78" spans="1:17">
      <c r="A78" s="1"/>
      <c r="B78" s="1"/>
      <c r="C78" s="1"/>
      <c r="D78" s="19"/>
      <c r="E78" s="1"/>
      <c r="F78" s="1"/>
      <c r="G78" s="1"/>
      <c r="H78" s="65"/>
      <c r="I78" s="1"/>
      <c r="J78" s="1"/>
      <c r="K78" s="1"/>
    </row>
    <row r="79" spans="1:17">
      <c r="A79" s="1"/>
      <c r="B79" s="1"/>
      <c r="C79" s="1"/>
      <c r="D79" s="1"/>
      <c r="E79" s="1"/>
      <c r="F79" s="1"/>
      <c r="G79" s="1"/>
      <c r="H79" s="1"/>
      <c r="I79" s="1"/>
      <c r="J79" s="1"/>
      <c r="K79" s="1"/>
    </row>
    <row r="80" spans="1:17">
      <c r="A80" s="3"/>
      <c r="B80" s="3"/>
      <c r="C80" s="3"/>
      <c r="D80" s="3"/>
      <c r="E80" s="3"/>
      <c r="F80" s="3"/>
      <c r="G80" s="3"/>
      <c r="H80" s="3"/>
      <c r="I80" s="3"/>
      <c r="J80" s="3"/>
      <c r="K80" s="3"/>
    </row>
    <row r="81" spans="1:11">
      <c r="A81" s="19"/>
      <c r="B81" s="19"/>
      <c r="C81" s="19"/>
      <c r="D81" s="19"/>
      <c r="E81" s="19"/>
      <c r="F81" s="19"/>
      <c r="G81" s="19"/>
      <c r="H81" s="19"/>
      <c r="I81" s="19"/>
      <c r="J81" s="19"/>
      <c r="K81" s="19"/>
    </row>
    <row r="83" spans="1:11">
      <c r="B83" s="6"/>
      <c r="C83" s="6"/>
    </row>
  </sheetData>
  <phoneticPr fontId="0" type="noConversion"/>
  <pageMargins left="0.5" right="0.5" top="0.5" bottom="0.5" header="0.5" footer="0.5"/>
  <pageSetup scale="1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K40"/>
  <sheetViews>
    <sheetView zoomScale="85" zoomScaleNormal="85" workbookViewId="0">
      <pane xSplit="1" ySplit="9" topLeftCell="B10" activePane="bottomRight" state="frozen"/>
      <selection pane="topRight" activeCell="B1" sqref="B1"/>
      <selection pane="bottomLeft" activeCell="A10" sqref="A10"/>
      <selection pane="bottomRight" activeCell="E36" sqref="E36"/>
    </sheetView>
  </sheetViews>
  <sheetFormatPr defaultRowHeight="12.75"/>
  <cols>
    <col min="1" max="1" width="25.42578125" customWidth="1"/>
    <col min="2" max="2" width="12.7109375" bestFit="1" customWidth="1"/>
    <col min="3" max="3" width="10.5703125" style="99" customWidth="1"/>
    <col min="4" max="4" width="12.7109375" bestFit="1" customWidth="1"/>
    <col min="5" max="5" width="10.5703125" style="99" bestFit="1" customWidth="1"/>
    <col min="6" max="6" width="9.5703125" bestFit="1" customWidth="1"/>
    <col min="7" max="7" width="12.140625" customWidth="1"/>
    <col min="8" max="8" width="14.42578125" customWidth="1"/>
    <col min="9" max="9" width="10.42578125" bestFit="1" customWidth="1"/>
    <col min="10" max="10" width="12.7109375" bestFit="1" customWidth="1"/>
    <col min="11" max="11" width="11.5703125" bestFit="1" customWidth="1"/>
  </cols>
  <sheetData>
    <row r="1" spans="1:11">
      <c r="A1" t="str">
        <f>+RS!B2</f>
        <v>KENTUCKY POWER BILLING ANALYSIS</v>
      </c>
    </row>
    <row r="2" spans="1:11">
      <c r="A2" t="str">
        <f>+RS!B3</f>
        <v>PER BOOKS</v>
      </c>
    </row>
    <row r="3" spans="1:11">
      <c r="A3" t="str">
        <f>+RS!B4</f>
        <v>TEST YEAR ENDED MARCH 31, 2023</v>
      </c>
    </row>
    <row r="5" spans="1:11">
      <c r="A5" t="s">
        <v>196</v>
      </c>
    </row>
    <row r="6" spans="1:11">
      <c r="B6" s="68"/>
      <c r="C6" s="68"/>
      <c r="D6" s="68"/>
      <c r="E6" s="68"/>
      <c r="G6" s="31" t="e">
        <f>+RS!#REF!</f>
        <v>#REF!</v>
      </c>
      <c r="H6" s="31" t="s">
        <v>6</v>
      </c>
    </row>
    <row r="7" spans="1:11">
      <c r="A7" s="1"/>
      <c r="B7" s="3" t="s">
        <v>326</v>
      </c>
      <c r="C7" s="36" t="s">
        <v>327</v>
      </c>
      <c r="D7" s="3" t="s">
        <v>326</v>
      </c>
      <c r="E7" s="36" t="s">
        <v>327</v>
      </c>
      <c r="F7" s="1"/>
      <c r="G7" s="31" t="str">
        <f>+RS!L9</f>
        <v>Enviro Sur</v>
      </c>
      <c r="H7" s="1" t="s">
        <v>143</v>
      </c>
      <c r="I7" s="1" t="s">
        <v>134</v>
      </c>
      <c r="J7" s="1" t="s">
        <v>135</v>
      </c>
      <c r="K7" s="1" t="s">
        <v>136</v>
      </c>
    </row>
    <row r="8" spans="1:11">
      <c r="A8" s="3" t="s">
        <v>1</v>
      </c>
      <c r="B8" s="3" t="s">
        <v>330</v>
      </c>
      <c r="C8" s="3" t="s">
        <v>330</v>
      </c>
      <c r="D8" s="3" t="s">
        <v>5</v>
      </c>
      <c r="E8" s="3" t="s">
        <v>5</v>
      </c>
      <c r="F8" s="3" t="s">
        <v>6</v>
      </c>
      <c r="G8" s="3" t="str">
        <f>+RS!L10</f>
        <v>Excl FGD</v>
      </c>
      <c r="H8" s="3" t="s">
        <v>144</v>
      </c>
      <c r="I8" s="3" t="s">
        <v>103</v>
      </c>
      <c r="J8" s="3" t="s">
        <v>17</v>
      </c>
      <c r="K8" s="3" t="s">
        <v>6</v>
      </c>
    </row>
    <row r="9" spans="1:11">
      <c r="A9" s="2" t="s">
        <v>7</v>
      </c>
      <c r="B9" s="2" t="s">
        <v>8</v>
      </c>
      <c r="C9" s="2"/>
      <c r="D9" s="2" t="s">
        <v>9</v>
      </c>
      <c r="E9" s="2"/>
      <c r="F9" s="2" t="s">
        <v>177</v>
      </c>
      <c r="G9" s="1" t="s">
        <v>104</v>
      </c>
      <c r="H9" s="2" t="s">
        <v>180</v>
      </c>
      <c r="I9" s="58" t="s">
        <v>181</v>
      </c>
      <c r="J9" s="58" t="s">
        <v>293</v>
      </c>
      <c r="K9" s="58" t="s">
        <v>182</v>
      </c>
    </row>
    <row r="10" spans="1:11">
      <c r="H10" s="32" t="e">
        <f>RS!#REF!</f>
        <v>#REF!</v>
      </c>
    </row>
    <row r="11" spans="1:11">
      <c r="G11" s="11"/>
      <c r="H11" s="32" t="e">
        <f>RS!#REF!</f>
        <v>#REF!</v>
      </c>
    </row>
    <row r="12" spans="1:11">
      <c r="A12" s="4" t="s">
        <v>21</v>
      </c>
      <c r="G12" s="11"/>
      <c r="H12" s="11"/>
      <c r="I12" s="6"/>
      <c r="K12" s="10"/>
    </row>
    <row r="13" spans="1:11">
      <c r="A13" t="s">
        <v>24</v>
      </c>
      <c r="B13" s="49">
        <v>116365</v>
      </c>
      <c r="C13" s="49"/>
      <c r="D13" s="47">
        <v>0.14360000000000001</v>
      </c>
      <c r="E13" s="47"/>
      <c r="F13" s="8">
        <f>+B13*D13</f>
        <v>16710.013999999999</v>
      </c>
      <c r="G13" s="8"/>
      <c r="H13" s="8"/>
      <c r="I13" s="6"/>
      <c r="J13" s="6">
        <f>I13*E13</f>
        <v>0</v>
      </c>
      <c r="K13" s="10">
        <f>J13+F13</f>
        <v>16710.013999999999</v>
      </c>
    </row>
    <row r="14" spans="1:11">
      <c r="A14" t="s">
        <v>79</v>
      </c>
      <c r="B14" s="49">
        <v>188025</v>
      </c>
      <c r="C14" s="49"/>
      <c r="D14" s="47">
        <v>5.0999999999999997E-2</v>
      </c>
      <c r="E14" s="47"/>
      <c r="F14" s="8">
        <f>+B14*D14</f>
        <v>9589.2749999999996</v>
      </c>
      <c r="G14" s="8"/>
      <c r="H14" s="8"/>
      <c r="I14" s="6"/>
      <c r="J14" s="101">
        <f>I14*E14</f>
        <v>0</v>
      </c>
      <c r="K14" s="10">
        <f>J14+F14</f>
        <v>9589.2749999999996</v>
      </c>
    </row>
    <row r="15" spans="1:11">
      <c r="B15" s="6"/>
      <c r="C15" s="101"/>
      <c r="F15" s="8"/>
      <c r="G15" s="8"/>
      <c r="H15" s="8"/>
      <c r="K15" s="8"/>
    </row>
    <row r="16" spans="1:11">
      <c r="A16" t="s">
        <v>11</v>
      </c>
      <c r="B16" s="6" t="e">
        <f>+#REF!</f>
        <v>#REF!</v>
      </c>
      <c r="C16" s="101"/>
      <c r="F16" s="8"/>
      <c r="G16" s="8"/>
      <c r="H16" s="8" t="e">
        <f>SUM(B16:C16)*H11</f>
        <v>#REF!</v>
      </c>
      <c r="I16" s="6"/>
      <c r="J16" s="6"/>
      <c r="K16" s="8" t="e">
        <f>H16</f>
        <v>#REF!</v>
      </c>
    </row>
    <row r="17" spans="1:11">
      <c r="B17" s="6"/>
      <c r="C17" s="101"/>
      <c r="F17" s="8"/>
      <c r="G17" s="8"/>
      <c r="H17" s="8"/>
      <c r="K17" s="8"/>
    </row>
    <row r="18" spans="1:11">
      <c r="A18" t="s">
        <v>12</v>
      </c>
      <c r="B18" s="50">
        <v>384</v>
      </c>
      <c r="C18" s="50"/>
      <c r="D18" s="48">
        <v>17.5</v>
      </c>
      <c r="E18" s="48"/>
      <c r="F18" s="8">
        <f>+B18*D18</f>
        <v>6720</v>
      </c>
      <c r="G18" s="8"/>
      <c r="H18" s="8"/>
      <c r="I18" s="6"/>
      <c r="J18" s="101">
        <f>I18*E18</f>
        <v>0</v>
      </c>
      <c r="K18" s="10">
        <f>J18+F18</f>
        <v>6720</v>
      </c>
    </row>
    <row r="19" spans="1:11">
      <c r="F19" s="8"/>
      <c r="G19" s="8"/>
      <c r="H19" s="8"/>
      <c r="K19" s="8"/>
    </row>
    <row r="20" spans="1:11">
      <c r="B20" s="6"/>
      <c r="C20" s="101"/>
      <c r="F20" s="8"/>
      <c r="G20" s="8"/>
      <c r="H20" s="8"/>
      <c r="I20" s="6"/>
      <c r="J20" s="6"/>
      <c r="K20" s="8"/>
    </row>
    <row r="21" spans="1:11">
      <c r="B21" s="6"/>
      <c r="C21" s="101"/>
      <c r="F21" s="8"/>
      <c r="G21" s="8"/>
      <c r="H21" s="8"/>
      <c r="I21" s="6"/>
      <c r="J21" s="6"/>
      <c r="K21" s="8"/>
    </row>
    <row r="22" spans="1:11">
      <c r="A22" s="70" t="s">
        <v>264</v>
      </c>
      <c r="B22" s="73">
        <f>B18</f>
        <v>384</v>
      </c>
      <c r="C22" s="73"/>
      <c r="D22" s="72">
        <v>0.15</v>
      </c>
      <c r="E22" s="72"/>
      <c r="F22" s="71">
        <f>+B22*D22</f>
        <v>57.599999999999994</v>
      </c>
      <c r="G22" s="8"/>
      <c r="H22" s="8"/>
      <c r="I22" s="6"/>
      <c r="J22" s="6"/>
      <c r="K22" s="8"/>
    </row>
    <row r="23" spans="1:11">
      <c r="B23" s="6"/>
      <c r="C23" s="101"/>
      <c r="F23" s="8"/>
      <c r="G23" s="8"/>
      <c r="H23" s="8"/>
      <c r="K23" s="8"/>
    </row>
    <row r="24" spans="1:11">
      <c r="A24" t="str">
        <f>+RS!B32</f>
        <v xml:space="preserve">Fuel </v>
      </c>
      <c r="F24" s="8" t="e">
        <f>'B&amp;A Surcharges'!#REF!</f>
        <v>#REF!</v>
      </c>
      <c r="G24" s="8"/>
      <c r="H24" s="77" t="e">
        <f>ROUND(B16*H10,2)</f>
        <v>#REF!</v>
      </c>
      <c r="I24" s="100"/>
      <c r="J24" s="10"/>
      <c r="K24" s="100" t="e">
        <f>H24</f>
        <v>#REF!</v>
      </c>
    </row>
    <row r="25" spans="1:11">
      <c r="F25" s="8"/>
      <c r="G25" s="8"/>
      <c r="H25" s="8"/>
      <c r="I25" s="100"/>
      <c r="J25" s="10"/>
      <c r="K25" s="100"/>
    </row>
    <row r="26" spans="1:11">
      <c r="A26" t="str">
        <f>+RS!B36</f>
        <v>System Sales Clause</v>
      </c>
      <c r="F26" s="8" t="e">
        <f>'B&amp;A Surcharges'!#REF!</f>
        <v>#REF!</v>
      </c>
      <c r="G26" s="8"/>
      <c r="H26" s="8"/>
      <c r="I26" s="100"/>
      <c r="J26" s="10"/>
      <c r="K26" s="100"/>
    </row>
    <row r="27" spans="1:11">
      <c r="F27" s="8"/>
      <c r="G27" s="8"/>
      <c r="H27" s="8"/>
      <c r="I27" s="100"/>
      <c r="J27" s="10"/>
      <c r="K27" s="99"/>
    </row>
    <row r="28" spans="1:11">
      <c r="A28" t="str">
        <f>+RS!B42</f>
        <v>Environmental Surcharge</v>
      </c>
      <c r="F28" s="8" t="e">
        <f>'B&amp;A Surcharges'!#REF!</f>
        <v>#REF!</v>
      </c>
      <c r="G28" s="90">
        <f>'Envir FGD adj'!F22</f>
        <v>-3194329.7713817013</v>
      </c>
      <c r="H28" s="8"/>
      <c r="I28" s="100"/>
      <c r="J28" s="89"/>
      <c r="K28" s="114">
        <f>G28</f>
        <v>-3194329.7713817013</v>
      </c>
    </row>
    <row r="29" spans="1:11">
      <c r="F29" s="8"/>
      <c r="G29" s="8"/>
      <c r="H29" s="8"/>
      <c r="I29" s="100"/>
      <c r="J29" s="10"/>
      <c r="K29" s="100"/>
    </row>
    <row r="30" spans="1:11">
      <c r="F30" s="8"/>
      <c r="G30" s="8"/>
      <c r="H30" s="8"/>
      <c r="I30" s="10"/>
      <c r="J30" s="10"/>
      <c r="K30" s="100"/>
    </row>
    <row r="31" spans="1:11">
      <c r="A31" t="str">
        <f>+RS!B38</f>
        <v>Capacity Charge</v>
      </c>
      <c r="F31" s="8" t="e">
        <f>'B&amp;A Surcharges'!#REF!</f>
        <v>#REF!</v>
      </c>
      <c r="G31" s="8"/>
      <c r="H31" s="8"/>
      <c r="I31" s="10"/>
      <c r="J31" s="10"/>
      <c r="K31" s="100"/>
    </row>
    <row r="32" spans="1:11">
      <c r="F32" s="8"/>
      <c r="G32" s="8"/>
      <c r="H32" s="8"/>
      <c r="I32" s="10"/>
      <c r="J32" s="10"/>
      <c r="K32" s="100"/>
    </row>
    <row r="33" spans="1:11">
      <c r="F33" s="8"/>
      <c r="G33" s="8"/>
      <c r="H33" s="8"/>
      <c r="I33" s="100"/>
      <c r="J33" s="10"/>
      <c r="K33" s="100"/>
    </row>
    <row r="34" spans="1:11">
      <c r="A34" s="70" t="s">
        <v>265</v>
      </c>
      <c r="F34" s="71" t="e">
        <f>'B&amp;A Surcharges'!#REF!</f>
        <v>#REF!</v>
      </c>
      <c r="G34" s="8"/>
      <c r="H34" s="8"/>
      <c r="I34" s="100"/>
      <c r="J34" s="10"/>
      <c r="K34" s="108"/>
    </row>
    <row r="35" spans="1:11">
      <c r="A35" s="70"/>
      <c r="F35" s="71"/>
      <c r="G35" s="8"/>
      <c r="H35" s="8"/>
      <c r="I35" s="100"/>
      <c r="J35" s="10"/>
      <c r="K35" s="100"/>
    </row>
    <row r="36" spans="1:11">
      <c r="A36" s="70" t="s">
        <v>266</v>
      </c>
      <c r="F36" s="71" t="e">
        <f>'B&amp;A Surcharges'!#REF!</f>
        <v>#REF!</v>
      </c>
      <c r="G36" s="8"/>
      <c r="H36" s="8"/>
      <c r="I36" s="100"/>
      <c r="J36" s="10"/>
      <c r="K36" s="100"/>
    </row>
    <row r="37" spans="1:11">
      <c r="A37" s="70"/>
      <c r="F37" s="71"/>
      <c r="G37" s="8"/>
      <c r="H37" s="8"/>
      <c r="I37" s="100"/>
      <c r="J37" s="10"/>
      <c r="K37" s="100"/>
    </row>
    <row r="38" spans="1:11">
      <c r="A38" s="70" t="s">
        <v>328</v>
      </c>
      <c r="F38" s="71" t="e">
        <f>'B&amp;A Surcharges'!#REF!</f>
        <v>#REF!</v>
      </c>
      <c r="G38" s="8"/>
      <c r="H38" s="8"/>
      <c r="I38" s="100"/>
      <c r="J38" s="10"/>
      <c r="K38" s="100"/>
    </row>
    <row r="39" spans="1:11">
      <c r="A39" s="12"/>
      <c r="B39" s="12"/>
      <c r="C39" s="12"/>
      <c r="D39" s="12"/>
      <c r="E39" s="12"/>
      <c r="F39" s="38"/>
      <c r="G39" s="38"/>
      <c r="H39" s="38"/>
      <c r="I39" s="13"/>
      <c r="J39" s="13"/>
      <c r="K39" s="38"/>
    </row>
    <row r="40" spans="1:11">
      <c r="A40" t="str">
        <f>+RS!B53</f>
        <v>Total</v>
      </c>
      <c r="F40" s="8" t="e">
        <f t="shared" ref="F40:K40" si="0">SUM(F13:F39)</f>
        <v>#REF!</v>
      </c>
      <c r="G40" s="100">
        <f t="shared" si="0"/>
        <v>-3194329.7713817013</v>
      </c>
      <c r="H40" s="100" t="e">
        <f t="shared" si="0"/>
        <v>#REF!</v>
      </c>
      <c r="I40" s="10"/>
      <c r="J40" s="100">
        <f t="shared" si="0"/>
        <v>0</v>
      </c>
      <c r="K40" s="100" t="e">
        <f t="shared" si="0"/>
        <v>#REF!</v>
      </c>
    </row>
  </sheetData>
  <phoneticPr fontId="0" type="noConversion"/>
  <pageMargins left="0.75" right="0.75" top="1" bottom="1" header="0.5" footer="0.5"/>
  <pageSetup scale="8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79"/>
  <sheetViews>
    <sheetView zoomScale="85" zoomScaleNormal="85" workbookViewId="0">
      <selection activeCell="B21" sqref="B21"/>
    </sheetView>
  </sheetViews>
  <sheetFormatPr defaultRowHeight="12.75"/>
  <cols>
    <col min="1" max="1" width="19" customWidth="1"/>
    <col min="2" max="2" width="21.85546875" customWidth="1"/>
    <col min="3" max="3" width="16.85546875" customWidth="1"/>
    <col min="4" max="4" width="16" bestFit="1" customWidth="1"/>
  </cols>
  <sheetData>
    <row r="1" spans="1:4">
      <c r="A1" t="str">
        <f>+RS!B2</f>
        <v>KENTUCKY POWER BILLING ANALYSIS</v>
      </c>
    </row>
    <row r="2" spans="1:4">
      <c r="A2" t="str">
        <f>+RS!B4</f>
        <v>TEST YEAR ENDED MARCH 31, 2023</v>
      </c>
    </row>
    <row r="3" spans="1:4">
      <c r="A3" t="s">
        <v>843</v>
      </c>
    </row>
    <row r="6" spans="1:4">
      <c r="A6" s="1"/>
      <c r="B6" s="336"/>
      <c r="C6" s="1"/>
      <c r="D6" s="1"/>
    </row>
    <row r="7" spans="1:4">
      <c r="A7" s="1"/>
      <c r="B7" s="336" t="s">
        <v>566</v>
      </c>
      <c r="C7" s="1" t="s">
        <v>842</v>
      </c>
      <c r="D7" s="1" t="s">
        <v>73</v>
      </c>
    </row>
    <row r="8" spans="1:4">
      <c r="A8" s="3" t="s">
        <v>2</v>
      </c>
      <c r="B8" s="351" t="s">
        <v>842</v>
      </c>
      <c r="C8" s="3" t="s">
        <v>844</v>
      </c>
      <c r="D8" s="3" t="s">
        <v>842</v>
      </c>
    </row>
    <row r="9" spans="1:4">
      <c r="A9" s="119"/>
      <c r="B9" s="351"/>
      <c r="C9" s="3"/>
      <c r="D9" s="3"/>
    </row>
    <row r="10" spans="1:4">
      <c r="A10" s="52" t="s">
        <v>224</v>
      </c>
      <c r="B10" s="338">
        <f>'B&amp;A Surcharges'!L11</f>
        <v>9688356.6954393554</v>
      </c>
      <c r="C10" s="349">
        <f>$C$50*(B10/$B$50)</f>
        <v>-6866563.3322959663</v>
      </c>
      <c r="D10" s="349">
        <f>C10+B10</f>
        <v>2821793.3631433891</v>
      </c>
    </row>
    <row r="11" spans="1:4">
      <c r="A11" s="93" t="s">
        <v>225</v>
      </c>
      <c r="B11" s="338">
        <f>'B&amp;A Surcharges'!L13</f>
        <v>14314.753627741935</v>
      </c>
      <c r="C11" s="349">
        <f>$C$50*(B11/$B$50)</f>
        <v>-10145.493757199652</v>
      </c>
      <c r="D11" s="349">
        <f t="shared" ref="D11:D13" si="0">C11+B11</f>
        <v>4169.2598705422824</v>
      </c>
    </row>
    <row r="12" spans="1:4">
      <c r="A12" s="275" t="s">
        <v>226</v>
      </c>
      <c r="B12" s="350">
        <f>'B&amp;A Surcharges'!L15</f>
        <v>549.41137677419351</v>
      </c>
      <c r="C12" s="359">
        <f>$C$50*(B12/$B$50)</f>
        <v>-389.3919405217398</v>
      </c>
      <c r="D12" s="359">
        <f t="shared" si="0"/>
        <v>160.01943625245372</v>
      </c>
    </row>
    <row r="13" spans="1:4">
      <c r="A13" s="83" t="s">
        <v>174</v>
      </c>
      <c r="B13" s="338">
        <f>SUM(B10:B12)</f>
        <v>9703220.8604438715</v>
      </c>
      <c r="C13" s="349">
        <f>SUM(C10:C12)</f>
        <v>-6877098.2179936878</v>
      </c>
      <c r="D13" s="349">
        <f t="shared" si="0"/>
        <v>2826122.6424501836</v>
      </c>
    </row>
    <row r="14" spans="1:4">
      <c r="A14" s="88"/>
      <c r="B14" s="338"/>
      <c r="C14" s="349"/>
      <c r="D14" s="349"/>
    </row>
    <row r="15" spans="1:4">
      <c r="A15" s="88"/>
      <c r="B15" s="338"/>
      <c r="C15" s="349"/>
      <c r="D15" s="349"/>
    </row>
    <row r="16" spans="1:4">
      <c r="A16" s="88" t="s">
        <v>366</v>
      </c>
      <c r="B16" s="338">
        <f>'B&amp;A Surcharges'!L25</f>
        <v>2550438.3435535482</v>
      </c>
      <c r="C16" s="349">
        <f t="shared" ref="C16:C23" si="1">$C$50*(B16/$B$50)</f>
        <v>-1807607.519175085</v>
      </c>
      <c r="D16" s="349">
        <f>C16+B16</f>
        <v>742830.82437846321</v>
      </c>
    </row>
    <row r="17" spans="1:4">
      <c r="A17" s="88" t="s">
        <v>365</v>
      </c>
      <c r="B17" s="338">
        <f>'B&amp;A Surcharges'!L21</f>
        <v>13977.348020645162</v>
      </c>
      <c r="C17" s="349">
        <f t="shared" si="1"/>
        <v>-9906.3596044601727</v>
      </c>
      <c r="D17" s="349">
        <f t="shared" ref="D17:D48" si="2">C17+B17</f>
        <v>4070.9884161849895</v>
      </c>
    </row>
    <row r="18" spans="1:4">
      <c r="A18" s="63" t="s">
        <v>202</v>
      </c>
      <c r="B18" s="338">
        <f>'B&amp;A Surcharges'!L19</f>
        <v>35815.637925161289</v>
      </c>
      <c r="C18" s="349">
        <f t="shared" si="1"/>
        <v>-25384.113511785668</v>
      </c>
      <c r="D18" s="349">
        <f t="shared" si="2"/>
        <v>10431.52441337562</v>
      </c>
    </row>
    <row r="19" spans="1:4">
      <c r="A19" s="88" t="s">
        <v>367</v>
      </c>
      <c r="B19" s="338">
        <f>'B&amp;A Surcharges'!L23</f>
        <v>6158.7688387096778</v>
      </c>
      <c r="C19" s="349">
        <f t="shared" si="1"/>
        <v>-4364.9896065323492</v>
      </c>
      <c r="D19" s="349">
        <f t="shared" si="2"/>
        <v>1793.7792321773286</v>
      </c>
    </row>
    <row r="20" spans="1:4">
      <c r="A20" s="88" t="s">
        <v>369</v>
      </c>
      <c r="B20" s="338">
        <f>'B&amp;A Surcharges'!L27</f>
        <v>7167.5005574193547</v>
      </c>
      <c r="C20" s="349">
        <f t="shared" si="1"/>
        <v>-5079.9220196913639</v>
      </c>
      <c r="D20" s="349">
        <f t="shared" si="2"/>
        <v>2087.5785377279908</v>
      </c>
    </row>
    <row r="21" spans="1:4">
      <c r="A21" s="88" t="s">
        <v>370</v>
      </c>
      <c r="B21" s="338">
        <f>'B&amp;A Surcharges'!L29</f>
        <v>36839.913230967744</v>
      </c>
      <c r="C21" s="349">
        <f t="shared" si="1"/>
        <v>-26110.062346879411</v>
      </c>
      <c r="D21" s="349">
        <f t="shared" si="2"/>
        <v>10729.850884088333</v>
      </c>
    </row>
    <row r="22" spans="1:4">
      <c r="A22" s="88" t="s">
        <v>368</v>
      </c>
      <c r="B22" s="338">
        <f>'B&amp;A Surcharges'!L31</f>
        <v>36210.813705806453</v>
      </c>
      <c r="C22" s="349">
        <f t="shared" si="1"/>
        <v>-25664.191920383779</v>
      </c>
      <c r="D22" s="349">
        <f t="shared" si="2"/>
        <v>10546.621785422674</v>
      </c>
    </row>
    <row r="23" spans="1:4">
      <c r="A23" s="128" t="s">
        <v>371</v>
      </c>
      <c r="B23" s="350">
        <f>'B&amp;A Surcharges'!L33</f>
        <v>1843.235821935484</v>
      </c>
      <c r="C23" s="359">
        <f t="shared" si="1"/>
        <v>-1306.3820734051374</v>
      </c>
      <c r="D23" s="359">
        <f t="shared" si="2"/>
        <v>536.85374853034659</v>
      </c>
    </row>
    <row r="24" spans="1:4">
      <c r="A24" s="88" t="s">
        <v>351</v>
      </c>
      <c r="B24" s="338">
        <f>SUM(B16:B23)</f>
        <v>2688451.5616541938</v>
      </c>
      <c r="C24" s="349">
        <f>SUM(C16:C23)</f>
        <v>-1905423.540258223</v>
      </c>
      <c r="D24" s="349">
        <f t="shared" si="2"/>
        <v>783028.02139597083</v>
      </c>
    </row>
    <row r="25" spans="1:4">
      <c r="A25" s="88"/>
      <c r="B25" s="338"/>
      <c r="C25" s="349"/>
      <c r="D25" s="349"/>
    </row>
    <row r="26" spans="1:4">
      <c r="A26" s="88" t="s">
        <v>372</v>
      </c>
      <c r="B26" s="338">
        <f>'B&amp;A Surcharges'!L35</f>
        <v>1092712.417536129</v>
      </c>
      <c r="C26" s="349">
        <f t="shared" ref="C26:C32" si="3">$C$50*(B26/$B$50)</f>
        <v>-774453.2179053718</v>
      </c>
      <c r="D26" s="349">
        <f t="shared" si="2"/>
        <v>318259.19963075721</v>
      </c>
    </row>
    <row r="27" spans="1:4">
      <c r="A27" s="88" t="s">
        <v>376</v>
      </c>
      <c r="B27" s="338">
        <f>'B&amp;A Surcharges'!L37</f>
        <v>7607.8929058064514</v>
      </c>
      <c r="C27" s="349">
        <f t="shared" si="3"/>
        <v>-5392.0473930977787</v>
      </c>
      <c r="D27" s="349">
        <f t="shared" si="2"/>
        <v>2215.8455127086727</v>
      </c>
    </row>
    <row r="28" spans="1:4">
      <c r="A28" s="88" t="s">
        <v>377</v>
      </c>
      <c r="B28" s="338">
        <f>'B&amp;A Surcharges'!L39</f>
        <v>12442.292697419354</v>
      </c>
      <c r="C28" s="349">
        <f t="shared" si="3"/>
        <v>-8818.3985676344037</v>
      </c>
      <c r="D28" s="349">
        <f t="shared" si="2"/>
        <v>3623.8941297849506</v>
      </c>
    </row>
    <row r="29" spans="1:4">
      <c r="A29" s="88" t="s">
        <v>378</v>
      </c>
      <c r="B29" s="338">
        <f>'B&amp;A Surcharges'!L41</f>
        <v>9267.7401187096766</v>
      </c>
      <c r="C29" s="349">
        <f t="shared" si="3"/>
        <v>-6568.4539156507844</v>
      </c>
      <c r="D29" s="349">
        <f t="shared" si="2"/>
        <v>2699.2862030588922</v>
      </c>
    </row>
    <row r="30" spans="1:4">
      <c r="A30" s="88" t="s">
        <v>373</v>
      </c>
      <c r="B30" s="338">
        <f>'B&amp;A Surcharges'!L43</f>
        <v>415026.61754451616</v>
      </c>
      <c r="C30" s="349">
        <f t="shared" si="3"/>
        <v>-294147.56738875015</v>
      </c>
      <c r="D30" s="349">
        <f t="shared" si="2"/>
        <v>120879.05015576602</v>
      </c>
    </row>
    <row r="31" spans="1:4">
      <c r="A31" s="63" t="s">
        <v>374</v>
      </c>
      <c r="B31" s="338">
        <f>'B&amp;A Surcharges'!L45</f>
        <v>39762.718507741927</v>
      </c>
      <c r="C31" s="349">
        <f t="shared" si="3"/>
        <v>-28181.582644061102</v>
      </c>
      <c r="D31" s="349">
        <f t="shared" si="2"/>
        <v>11581.135863680825</v>
      </c>
    </row>
    <row r="32" spans="1:4">
      <c r="A32" s="128" t="s">
        <v>375</v>
      </c>
      <c r="B32" s="350">
        <f>'B&amp;A Surcharges'!L47</f>
        <v>0</v>
      </c>
      <c r="C32" s="359">
        <f t="shared" si="3"/>
        <v>0</v>
      </c>
      <c r="D32" s="359">
        <f t="shared" si="2"/>
        <v>0</v>
      </c>
    </row>
    <row r="33" spans="1:4">
      <c r="A33" s="88" t="s">
        <v>175</v>
      </c>
      <c r="B33" s="338">
        <f>SUM(B26:B32)</f>
        <v>1576819.6793103227</v>
      </c>
      <c r="C33" s="349">
        <f>SUM(C26:C32)</f>
        <v>-1117561.2678145661</v>
      </c>
      <c r="D33" s="349">
        <f t="shared" si="2"/>
        <v>459258.41149575659</v>
      </c>
    </row>
    <row r="34" spans="1:4">
      <c r="A34" s="88"/>
      <c r="B34" s="338"/>
      <c r="C34" s="349"/>
      <c r="D34" s="349"/>
    </row>
    <row r="35" spans="1:4">
      <c r="A35" s="83" t="s">
        <v>379</v>
      </c>
      <c r="B35" s="338">
        <f>'B&amp;A Surcharges'!L49</f>
        <v>437493.29519225808</v>
      </c>
      <c r="C35" s="349">
        <f>$C$50*(B35/$B$50)</f>
        <v>-310070.68725149403</v>
      </c>
      <c r="D35" s="349">
        <f t="shared" si="2"/>
        <v>127422.60794076405</v>
      </c>
    </row>
    <row r="36" spans="1:4">
      <c r="A36" s="275" t="s">
        <v>380</v>
      </c>
      <c r="B36" s="350">
        <f>'B&amp;A Surcharges'!L51</f>
        <v>8275.0933909677424</v>
      </c>
      <c r="C36" s="359">
        <f>$C$50*(B36/$B$50)</f>
        <v>-5864.9216410964318</v>
      </c>
      <c r="D36" s="359">
        <f t="shared" si="2"/>
        <v>2410.1717498713106</v>
      </c>
    </row>
    <row r="37" spans="1:4">
      <c r="A37" s="83" t="s">
        <v>292</v>
      </c>
      <c r="B37" s="338">
        <f>SUM(B35:B36)</f>
        <v>445768.38858322584</v>
      </c>
      <c r="C37" s="349">
        <f>SUM(C35:C36)</f>
        <v>-315935.60889259045</v>
      </c>
      <c r="D37" s="349">
        <f t="shared" si="2"/>
        <v>129832.77969063539</v>
      </c>
    </row>
    <row r="38" spans="1:4">
      <c r="A38" s="88"/>
      <c r="B38" s="338"/>
      <c r="C38" s="349"/>
      <c r="D38" s="349"/>
    </row>
    <row r="39" spans="1:4">
      <c r="A39" s="83" t="s">
        <v>384</v>
      </c>
      <c r="B39" s="338">
        <f>'B&amp;A Surcharges'!L53</f>
        <v>53213.723556774188</v>
      </c>
      <c r="C39" s="349">
        <f>$C$50*(B39/$B$50)</f>
        <v>-37714.899898543576</v>
      </c>
      <c r="D39" s="349">
        <f t="shared" si="2"/>
        <v>15498.823658230613</v>
      </c>
    </row>
    <row r="40" spans="1:4">
      <c r="A40" s="83" t="s">
        <v>381</v>
      </c>
      <c r="B40" s="338">
        <f>'B&amp;A Surcharges'!L55</f>
        <v>1237356.2830058064</v>
      </c>
      <c r="C40" s="349">
        <f>$C$50*(B40/$B$50)</f>
        <v>-876968.66960660554</v>
      </c>
      <c r="D40" s="349">
        <f t="shared" si="2"/>
        <v>360387.61339920084</v>
      </c>
    </row>
    <row r="41" spans="1:4">
      <c r="A41" s="83" t="s">
        <v>382</v>
      </c>
      <c r="B41" s="338">
        <f>'B&amp;A Surcharges'!L57</f>
        <v>4822777.8975935476</v>
      </c>
      <c r="C41" s="349">
        <f>$C$50*(B41/$B$50)</f>
        <v>-3418114.2284957459</v>
      </c>
      <c r="D41" s="349">
        <f t="shared" si="2"/>
        <v>1404663.6690978017</v>
      </c>
    </row>
    <row r="42" spans="1:4">
      <c r="A42" s="275" t="s">
        <v>383</v>
      </c>
      <c r="B42" s="350">
        <f>'B&amp;A Surcharges'!L59</f>
        <v>719508.31060064514</v>
      </c>
      <c r="C42" s="359">
        <f>$C$50*(B42/$B$50)</f>
        <v>-509947.09816766909</v>
      </c>
      <c r="D42" s="359">
        <f t="shared" si="2"/>
        <v>209561.21243297606</v>
      </c>
    </row>
    <row r="43" spans="1:4">
      <c r="A43" s="88" t="s">
        <v>324</v>
      </c>
      <c r="B43" s="338">
        <f>SUM(B39:B42)</f>
        <v>6832856.2147567729</v>
      </c>
      <c r="C43" s="349">
        <f>SUM(C39:C42)</f>
        <v>-4842744.8961685644</v>
      </c>
      <c r="D43" s="349">
        <f t="shared" si="2"/>
        <v>1990111.3185882084</v>
      </c>
    </row>
    <row r="44" spans="1:4">
      <c r="A44" s="88"/>
      <c r="B44" s="338"/>
      <c r="C44" s="349"/>
      <c r="D44" s="349"/>
    </row>
    <row r="45" spans="1:4">
      <c r="A45" s="276" t="s">
        <v>35</v>
      </c>
      <c r="B45" s="338">
        <f>'B&amp;A Surcharges'!L17</f>
        <v>28420.841289032254</v>
      </c>
      <c r="C45" s="349">
        <f>$C$50*(B45/$B$50)</f>
        <v>-20143.096791650707</v>
      </c>
      <c r="D45" s="349">
        <f t="shared" si="2"/>
        <v>8277.7444973815473</v>
      </c>
    </row>
    <row r="46" spans="1:4">
      <c r="A46" s="277" t="s">
        <v>36</v>
      </c>
      <c r="B46" s="338">
        <f>'B&amp;A Surcharges'!L61</f>
        <v>6151.831341612904</v>
      </c>
      <c r="C46" s="349">
        <f>$C$50*(B46/$B$50)</f>
        <v>-4360.0726980534282</v>
      </c>
      <c r="D46" s="349">
        <f t="shared" si="2"/>
        <v>1791.7586435594758</v>
      </c>
    </row>
    <row r="47" spans="1:4">
      <c r="A47" s="88"/>
      <c r="B47" s="338"/>
      <c r="C47" s="349"/>
      <c r="D47" s="349"/>
    </row>
    <row r="48" spans="1:4">
      <c r="A48" s="88" t="s">
        <v>34</v>
      </c>
      <c r="B48" s="338">
        <f>'B&amp;A Surcharges'!L63</f>
        <v>5415.5879577419346</v>
      </c>
      <c r="C48" s="349">
        <f>$C$50*(B48/$B$50)</f>
        <v>-3838.264719439916</v>
      </c>
      <c r="D48" s="349">
        <f t="shared" si="2"/>
        <v>1577.3232383020186</v>
      </c>
    </row>
    <row r="49" spans="1:4">
      <c r="A49" s="128"/>
      <c r="B49" s="350"/>
      <c r="C49" s="359"/>
      <c r="D49" s="359"/>
    </row>
    <row r="50" spans="1:4">
      <c r="A50" s="52" t="s">
        <v>17</v>
      </c>
      <c r="B50" s="338">
        <f>SUM(B13,B24,B33,B37,B43,B45,B46,B48)</f>
        <v>21287104.965336777</v>
      </c>
      <c r="C50" s="349">
        <f>D50-B50</f>
        <v>-15087104.965336777</v>
      </c>
      <c r="D50" s="349">
        <v>6200000</v>
      </c>
    </row>
    <row r="51" spans="1:4">
      <c r="A51" s="83"/>
      <c r="B51" s="30"/>
      <c r="C51" s="349"/>
      <c r="D51" s="349"/>
    </row>
    <row r="52" spans="1:4">
      <c r="A52" s="83"/>
      <c r="B52" s="30"/>
      <c r="C52" s="349">
        <f>SUM(C48,C46,C45,C43,C37,C33,C24,C13)</f>
        <v>-15087104.965336777</v>
      </c>
      <c r="D52" s="349">
        <f>SUM(D48,D46,D45,D43,D37,D33,D24,D13)</f>
        <v>6199999.9999999981</v>
      </c>
    </row>
    <row r="53" spans="1:4">
      <c r="A53" s="83"/>
      <c r="B53" s="30"/>
      <c r="C53" s="30"/>
      <c r="D53" s="30"/>
    </row>
    <row r="54" spans="1:4">
      <c r="A54" s="83"/>
      <c r="B54" s="30"/>
      <c r="C54" s="30"/>
      <c r="D54" s="30"/>
    </row>
    <row r="55" spans="1:4">
      <c r="A55" s="83"/>
      <c r="B55" s="30"/>
      <c r="C55" s="30"/>
      <c r="D55" s="30"/>
    </row>
    <row r="56" spans="1:4">
      <c r="A56" s="83"/>
      <c r="B56" s="30"/>
      <c r="C56" s="30"/>
      <c r="D56" s="30"/>
    </row>
    <row r="57" spans="1:4">
      <c r="A57" s="83"/>
      <c r="B57" s="30"/>
      <c r="C57" s="30"/>
      <c r="D57" s="30"/>
    </row>
    <row r="58" spans="1:4">
      <c r="A58" s="83"/>
      <c r="B58" s="30"/>
      <c r="C58" s="30"/>
      <c r="D58" s="30"/>
    </row>
    <row r="59" spans="1:4">
      <c r="A59" s="83"/>
      <c r="B59" s="30"/>
      <c r="C59" s="30"/>
      <c r="D59" s="30"/>
    </row>
    <row r="60" spans="1:4">
      <c r="A60" s="83"/>
      <c r="B60" s="30"/>
      <c r="C60" s="30"/>
      <c r="D60" s="30"/>
    </row>
    <row r="61" spans="1:4">
      <c r="A61" s="83"/>
      <c r="B61" s="30"/>
      <c r="C61" s="30"/>
      <c r="D61" s="30"/>
    </row>
    <row r="62" spans="1:4">
      <c r="A62" s="83"/>
      <c r="B62" s="30"/>
      <c r="C62" s="30"/>
      <c r="D62" s="30"/>
    </row>
    <row r="63" spans="1:4">
      <c r="A63" s="83"/>
      <c r="B63" s="30"/>
      <c r="C63" s="30"/>
      <c r="D63" s="30"/>
    </row>
    <row r="64" spans="1:4">
      <c r="A64" s="83"/>
      <c r="B64" s="30"/>
      <c r="C64" s="30"/>
      <c r="D64" s="30"/>
    </row>
    <row r="65" spans="1:4">
      <c r="A65" s="28"/>
      <c r="B65" s="30"/>
      <c r="C65" s="30"/>
      <c r="D65" s="30"/>
    </row>
    <row r="66" spans="1:4">
      <c r="A66" s="28"/>
      <c r="B66" s="30"/>
      <c r="C66" s="30"/>
      <c r="D66" s="30"/>
    </row>
    <row r="67" spans="1:4">
      <c r="B67" s="8"/>
      <c r="C67" s="8"/>
      <c r="D67" s="8"/>
    </row>
    <row r="68" spans="1:4">
      <c r="B68" s="8"/>
      <c r="C68" s="8"/>
      <c r="D68" s="8"/>
    </row>
    <row r="69" spans="1:4">
      <c r="B69" s="8"/>
      <c r="C69" s="8"/>
    </row>
    <row r="70" spans="1:4">
      <c r="B70" s="8"/>
      <c r="C70" s="8"/>
      <c r="D70" s="64"/>
    </row>
    <row r="71" spans="1:4" s="17" customFormat="1"/>
    <row r="72" spans="1:4" s="17" customFormat="1">
      <c r="D72" s="39"/>
    </row>
    <row r="73" spans="1:4" s="17" customFormat="1">
      <c r="A73" s="84"/>
      <c r="D73" s="39"/>
    </row>
    <row r="74" spans="1:4" s="17" customFormat="1"/>
    <row r="75" spans="1:4" s="17" customFormat="1">
      <c r="A75" s="84"/>
      <c r="D75" s="39"/>
    </row>
    <row r="76" spans="1:4" s="17" customFormat="1"/>
    <row r="77" spans="1:4" s="17" customFormat="1">
      <c r="A77" s="84"/>
      <c r="D77" s="39"/>
    </row>
    <row r="78" spans="1:4" s="17" customFormat="1"/>
    <row r="79" spans="1:4" s="17" customFormat="1"/>
  </sheetData>
  <phoneticPr fontId="0" type="noConversion"/>
  <printOptions horizontalCentered="1"/>
  <pageMargins left="0.75" right="0.75" top="0.5" bottom="0.5" header="0.5" footer="0.5"/>
  <pageSetup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T57"/>
  <sheetViews>
    <sheetView zoomScale="90" zoomScaleNormal="9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5" style="150" customWidth="1"/>
    <col min="15" max="16" width="15" style="164" customWidth="1"/>
    <col min="17" max="17" width="15" style="150" customWidth="1"/>
    <col min="18" max="18" width="3.7109375" style="150" customWidth="1"/>
    <col min="19" max="20" width="15.140625" style="150" customWidth="1"/>
    <col min="21" max="16384" width="9.140625" style="150"/>
  </cols>
  <sheetData>
    <row r="2" spans="2:20">
      <c r="B2" s="150" t="s">
        <v>0</v>
      </c>
      <c r="G2" s="151"/>
      <c r="H2" s="151"/>
      <c r="I2" s="352"/>
      <c r="J2" s="151"/>
      <c r="K2" s="151"/>
    </row>
    <row r="3" spans="2:20">
      <c r="B3" s="150" t="s">
        <v>37</v>
      </c>
      <c r="G3" s="531"/>
      <c r="H3" s="531"/>
      <c r="I3" s="352"/>
      <c r="J3" s="531"/>
      <c r="K3" s="531"/>
    </row>
    <row r="4" spans="2:20">
      <c r="B4" s="150" t="s">
        <v>606</v>
      </c>
      <c r="I4" s="353"/>
    </row>
    <row r="5" spans="2:20">
      <c r="I5" s="352"/>
    </row>
    <row r="6" spans="2:20">
      <c r="B6" s="150" t="s">
        <v>468</v>
      </c>
      <c r="I6" s="354"/>
    </row>
    <row r="7" spans="2:20">
      <c r="B7" s="150" t="s">
        <v>224</v>
      </c>
      <c r="K7" s="532"/>
    </row>
    <row r="8" spans="2:20">
      <c r="E8" s="154"/>
      <c r="F8" s="154"/>
      <c r="H8" s="580" t="s">
        <v>494</v>
      </c>
      <c r="I8" s="580"/>
      <c r="J8" s="580"/>
      <c r="K8" s="533"/>
      <c r="L8" s="580" t="s">
        <v>484</v>
      </c>
      <c r="M8" s="580"/>
      <c r="N8" s="580"/>
      <c r="O8" s="580"/>
      <c r="P8" s="580"/>
      <c r="Q8" s="154"/>
      <c r="R8" s="154"/>
    </row>
    <row r="9" spans="2:20">
      <c r="B9" s="154"/>
      <c r="C9" s="154" t="s">
        <v>609</v>
      </c>
      <c r="D9" s="154"/>
      <c r="E9" s="154" t="s">
        <v>609</v>
      </c>
      <c r="F9" s="154"/>
      <c r="G9" s="154" t="s">
        <v>107</v>
      </c>
      <c r="H9" s="154" t="s">
        <v>213</v>
      </c>
      <c r="I9" s="154" t="s">
        <v>134</v>
      </c>
      <c r="J9" s="154" t="s">
        <v>134</v>
      </c>
      <c r="K9" s="533" t="s">
        <v>123</v>
      </c>
      <c r="L9" s="154" t="s">
        <v>318</v>
      </c>
      <c r="M9" s="154" t="s">
        <v>5</v>
      </c>
      <c r="N9" s="154" t="s">
        <v>213</v>
      </c>
      <c r="O9" s="154" t="s">
        <v>134</v>
      </c>
      <c r="P9" s="154" t="s">
        <v>134</v>
      </c>
      <c r="Q9" s="154" t="s">
        <v>485</v>
      </c>
      <c r="R9" s="154"/>
      <c r="S9" s="154" t="s">
        <v>170</v>
      </c>
      <c r="T9" s="154" t="s">
        <v>172</v>
      </c>
    </row>
    <row r="10" spans="2:20">
      <c r="B10" s="416" t="s">
        <v>1</v>
      </c>
      <c r="C10" s="416" t="s">
        <v>330</v>
      </c>
      <c r="D10" s="416"/>
      <c r="E10" s="416" t="s">
        <v>5</v>
      </c>
      <c r="F10" s="416"/>
      <c r="G10" s="416" t="s">
        <v>6</v>
      </c>
      <c r="H10" s="416" t="s">
        <v>214</v>
      </c>
      <c r="I10" s="416" t="s">
        <v>118</v>
      </c>
      <c r="J10" s="416" t="s">
        <v>496</v>
      </c>
      <c r="K10" s="416" t="s">
        <v>330</v>
      </c>
      <c r="L10" s="416" t="s">
        <v>317</v>
      </c>
      <c r="M10" s="416" t="s">
        <v>118</v>
      </c>
      <c r="N10" s="416" t="s">
        <v>214</v>
      </c>
      <c r="O10" s="416" t="s">
        <v>118</v>
      </c>
      <c r="P10" s="416" t="s">
        <v>496</v>
      </c>
      <c r="Q10" s="416" t="s">
        <v>6</v>
      </c>
      <c r="R10" s="533"/>
      <c r="S10" s="416" t="s">
        <v>532</v>
      </c>
      <c r="T10" s="416" t="s">
        <v>6</v>
      </c>
    </row>
    <row r="11" spans="2:20">
      <c r="B11" s="534" t="s">
        <v>7</v>
      </c>
      <c r="C11" s="534" t="s">
        <v>8</v>
      </c>
      <c r="D11" s="534" t="s">
        <v>9</v>
      </c>
      <c r="E11" s="535" t="s">
        <v>124</v>
      </c>
      <c r="F11" s="534" t="s">
        <v>178</v>
      </c>
      <c r="G11" s="534" t="s">
        <v>10</v>
      </c>
      <c r="H11" s="534" t="s">
        <v>179</v>
      </c>
      <c r="I11" s="534" t="s">
        <v>104</v>
      </c>
      <c r="J11" s="534" t="s">
        <v>130</v>
      </c>
      <c r="K11" s="534" t="s">
        <v>180</v>
      </c>
      <c r="L11" s="536" t="s">
        <v>290</v>
      </c>
      <c r="M11" s="534" t="s">
        <v>495</v>
      </c>
      <c r="N11" s="536" t="s">
        <v>166</v>
      </c>
      <c r="O11" s="537" t="s">
        <v>181</v>
      </c>
      <c r="P11" s="537" t="s">
        <v>210</v>
      </c>
      <c r="Q11" s="537" t="s">
        <v>295</v>
      </c>
      <c r="R11" s="537"/>
    </row>
    <row r="12" spans="2:20">
      <c r="C12" s="164"/>
      <c r="D12" s="164"/>
      <c r="E12" s="164"/>
      <c r="F12" s="164"/>
      <c r="G12" s="164"/>
      <c r="H12" s="164"/>
      <c r="I12" s="164"/>
      <c r="J12" s="164"/>
      <c r="K12" s="164"/>
      <c r="L12" s="164"/>
      <c r="M12" s="164"/>
      <c r="N12" s="164"/>
      <c r="Q12" s="164"/>
      <c r="R12" s="164"/>
    </row>
    <row r="13" spans="2:20">
      <c r="B13" s="538" t="s">
        <v>469</v>
      </c>
      <c r="C13" s="164">
        <f>'Bill Units'!D5</f>
        <v>1851292687</v>
      </c>
      <c r="D13" s="164">
        <f>'Bill Units'!E5</f>
        <v>0</v>
      </c>
      <c r="E13" s="203">
        <f>'Rate Input'!D5</f>
        <v>0.10799</v>
      </c>
      <c r="F13" s="203">
        <f>'Rate Input'!E5</f>
        <v>0</v>
      </c>
      <c r="G13" s="164">
        <f>(C13*E13)+(D13*F13)</f>
        <v>199921097.26912999</v>
      </c>
      <c r="H13" s="164">
        <f>VLOOKUP($B$7,WNLA!A:B,2,FALSE)*(SUM(C13:D13)/SUM(C13:D15))</f>
        <v>98399895.72878553</v>
      </c>
      <c r="I13" s="162">
        <f>VLOOKUP($B$7,'Monthly # of Customers'!A:R,18,FALSE)*SUM(C13:D13)</f>
        <v>-4573183.3818672067</v>
      </c>
      <c r="J13" s="162"/>
      <c r="K13" s="164">
        <f>C13+D13+H13+I13-K16</f>
        <v>1945119399.3469183</v>
      </c>
      <c r="L13" s="164"/>
      <c r="M13" s="164"/>
      <c r="N13" s="164">
        <f>VLOOKUP($B$7,WNLA!A:B,2,FALSE)*(SUM(C13:D13)/SUM(C13:D15))*E13</f>
        <v>10626204.739751549</v>
      </c>
      <c r="O13" s="162">
        <f>VLOOKUP($B$7,'Monthly # of Customers'!A:R,18,FALSE)*G13</f>
        <v>-493858.07340783963</v>
      </c>
      <c r="P13" s="162"/>
      <c r="Q13" s="164">
        <f>G13+L13+M13+N13+O13</f>
        <v>210053443.93547371</v>
      </c>
      <c r="R13" s="164"/>
      <c r="S13" s="203">
        <f>'Proposed Rates'!C4</f>
        <v>0.12947</v>
      </c>
      <c r="T13" s="164">
        <f>S13*K13</f>
        <v>251834608.63344553</v>
      </c>
    </row>
    <row r="14" spans="2:20">
      <c r="B14" s="538" t="s">
        <v>207</v>
      </c>
      <c r="C14" s="164">
        <f>'Bill Units'!D6</f>
        <v>0</v>
      </c>
      <c r="D14" s="164">
        <f>'Bill Units'!E6</f>
        <v>0</v>
      </c>
      <c r="E14" s="203"/>
      <c r="F14" s="203"/>
      <c r="G14" s="164"/>
      <c r="H14" s="164"/>
      <c r="I14" s="164"/>
      <c r="J14" s="164"/>
      <c r="K14" s="164"/>
      <c r="L14" s="164"/>
      <c r="M14" s="164"/>
      <c r="N14" s="164"/>
      <c r="Q14" s="164"/>
      <c r="R14" s="164"/>
      <c r="S14" s="203"/>
      <c r="T14" s="164"/>
    </row>
    <row r="15" spans="2:20">
      <c r="B15" s="538" t="s">
        <v>470</v>
      </c>
      <c r="C15" s="164">
        <f>'Bill Units'!D7</f>
        <v>415842</v>
      </c>
      <c r="D15" s="164">
        <f>'Bill Units'!E7</f>
        <v>0</v>
      </c>
      <c r="E15" s="203">
        <f>'Rate Input'!D6</f>
        <v>7.8880000000000006E-2</v>
      </c>
      <c r="F15" s="203">
        <f>'Rate Input'!E6</f>
        <v>0</v>
      </c>
      <c r="G15" s="164">
        <f>(C15*E15)+(D15*F15)</f>
        <v>32801.616959999999</v>
      </c>
      <c r="H15" s="164">
        <f>VLOOKUP($B$7,WNLA!A:B,2,FALSE)*(SUM(C15:D15)/SUM(C13:D15))</f>
        <v>22102.831025578202</v>
      </c>
      <c r="I15" s="162">
        <f>VLOOKUP($B$7,'Monthly # of Customers'!A:R,18,FALSE)*SUM(C15:D15)</f>
        <v>-1027.2399049791218</v>
      </c>
      <c r="J15" s="162"/>
      <c r="K15" s="164">
        <f>C15+D15+H15+I15</f>
        <v>436917.59112059907</v>
      </c>
      <c r="L15" s="164"/>
      <c r="M15" s="164"/>
      <c r="N15" s="164">
        <f>VLOOKUP($B$7,WNLA!A:B,2,FALSE)*(SUM(C15:D15)/SUM(C13:D15))*E15</f>
        <v>1743.4713112976087</v>
      </c>
      <c r="O15" s="164">
        <f>VLOOKUP($B$7,'Monthly # of Customers'!A:R,18,FALSE)*G15</f>
        <v>-81.028683704753121</v>
      </c>
      <c r="Q15" s="164">
        <f t="shared" ref="Q15:Q19" si="0">G15+L15+M15+N15+O15</f>
        <v>34464.059587592856</v>
      </c>
      <c r="R15" s="164"/>
      <c r="S15" s="203">
        <f>'Proposed Rates'!C6</f>
        <v>8.6029999999999995E-2</v>
      </c>
      <c r="T15" s="164">
        <f>S15*K15</f>
        <v>37588.020364105134</v>
      </c>
    </row>
    <row r="16" spans="2:20">
      <c r="B16" s="538"/>
      <c r="C16" s="164"/>
      <c r="D16" s="164"/>
      <c r="E16" s="164"/>
      <c r="F16" s="164"/>
      <c r="G16" s="164"/>
      <c r="H16" s="164"/>
      <c r="I16" s="164"/>
      <c r="J16" s="164"/>
      <c r="K16" s="164"/>
      <c r="L16" s="164"/>
      <c r="M16" s="164"/>
      <c r="N16" s="164"/>
      <c r="Q16" s="164"/>
      <c r="R16" s="164"/>
      <c r="S16" s="203">
        <f>'Proposed Rates'!C5</f>
        <v>0.12947</v>
      </c>
      <c r="T16" s="164">
        <f>S16*K16</f>
        <v>0</v>
      </c>
    </row>
    <row r="17" spans="2:20">
      <c r="B17" s="150" t="s">
        <v>12</v>
      </c>
      <c r="C17" s="164">
        <f>'Bill Units'!D9</f>
        <v>1579798</v>
      </c>
      <c r="D17" s="164">
        <f>'Bill Units'!E9</f>
        <v>0</v>
      </c>
      <c r="E17" s="162">
        <f>'Rate Input'!D8</f>
        <v>17.5</v>
      </c>
      <c r="F17" s="162">
        <f>'Rate Input'!E8</f>
        <v>0</v>
      </c>
      <c r="G17" s="164">
        <f>(C17*E17)+(D17*F17)</f>
        <v>27646465</v>
      </c>
      <c r="H17" s="162"/>
      <c r="I17" s="164">
        <f>VLOOKUP($B$7,'Monthly # of Customers'!A:R,17,FALSE)</f>
        <v>-3911</v>
      </c>
      <c r="J17" s="164"/>
      <c r="K17" s="164">
        <f>C17+D17+H17+I17</f>
        <v>1575887</v>
      </c>
      <c r="L17" s="164"/>
      <c r="M17" s="164"/>
      <c r="N17" s="164"/>
      <c r="O17" s="164">
        <f>VLOOKUP($B$7,'Monthly # of Customers'!A:R,18,FALSE)*G17</f>
        <v>-68294.092659251866</v>
      </c>
      <c r="Q17" s="164">
        <f t="shared" si="0"/>
        <v>27578170.907340746</v>
      </c>
      <c r="R17" s="164"/>
      <c r="S17" s="162">
        <f>'Proposed Rates'!B4</f>
        <v>20</v>
      </c>
      <c r="T17" s="164">
        <f>S17*K17</f>
        <v>31517740</v>
      </c>
    </row>
    <row r="18" spans="2:20">
      <c r="B18" s="150" t="s">
        <v>206</v>
      </c>
      <c r="C18" s="164">
        <f>'Bill Units'!D10</f>
        <v>3433</v>
      </c>
      <c r="D18" s="164">
        <f>'Bill Units'!E10</f>
        <v>0</v>
      </c>
      <c r="E18" s="162">
        <f>E17</f>
        <v>17.5</v>
      </c>
      <c r="F18" s="162">
        <f>F17</f>
        <v>0</v>
      </c>
      <c r="G18" s="164">
        <f>(C18*E18)+(D18*F18)</f>
        <v>60077.5</v>
      </c>
      <c r="H18" s="164"/>
      <c r="I18" s="164"/>
      <c r="J18" s="164"/>
      <c r="K18" s="164">
        <f>C18+D18+H18+I18</f>
        <v>3433</v>
      </c>
      <c r="L18" s="164"/>
      <c r="M18" s="164"/>
      <c r="N18" s="164"/>
      <c r="Q18" s="164">
        <f>G18+L18+M18+N18+O18</f>
        <v>60077.5</v>
      </c>
      <c r="R18" s="164"/>
      <c r="S18" s="162"/>
      <c r="T18" s="164">
        <f>S17*K18</f>
        <v>68660</v>
      </c>
    </row>
    <row r="19" spans="2:20">
      <c r="B19" s="150" t="s">
        <v>18</v>
      </c>
      <c r="C19" s="164"/>
      <c r="D19" s="164"/>
      <c r="E19" s="164"/>
      <c r="F19" s="164"/>
      <c r="G19" s="164">
        <f>-1*(C18*0.1897*E18/2)-(C18*0.8103*E18)</f>
        <v>-54379.149124999996</v>
      </c>
      <c r="H19" s="164"/>
      <c r="I19" s="164"/>
      <c r="J19" s="164"/>
      <c r="K19" s="164"/>
      <c r="L19" s="164"/>
      <c r="M19" s="164"/>
      <c r="N19" s="164"/>
      <c r="Q19" s="164">
        <f t="shared" si="0"/>
        <v>-54379.149124999996</v>
      </c>
      <c r="R19" s="164"/>
      <c r="T19" s="164">
        <v>0</v>
      </c>
    </row>
    <row r="20" spans="2:20" hidden="1">
      <c r="C20" s="164"/>
      <c r="D20" s="164"/>
      <c r="E20" s="164"/>
      <c r="F20" s="164"/>
      <c r="G20" s="164"/>
      <c r="H20" s="164"/>
      <c r="I20" s="164"/>
      <c r="J20" s="164"/>
      <c r="K20" s="164"/>
      <c r="L20" s="164"/>
      <c r="M20" s="164"/>
      <c r="N20" s="164"/>
      <c r="Q20" s="164"/>
      <c r="R20" s="164"/>
      <c r="T20" s="164"/>
    </row>
    <row r="21" spans="2:20" hidden="1">
      <c r="C21" s="164"/>
      <c r="D21" s="164"/>
      <c r="E21" s="164"/>
      <c r="F21" s="164"/>
      <c r="G21" s="164"/>
      <c r="H21" s="164"/>
      <c r="I21" s="164"/>
      <c r="J21" s="164"/>
      <c r="K21" s="164"/>
      <c r="L21" s="164"/>
      <c r="M21" s="164"/>
      <c r="N21" s="164"/>
      <c r="Q21" s="164"/>
      <c r="R21" s="164"/>
      <c r="T21" s="164"/>
    </row>
    <row r="22" spans="2:20" hidden="1">
      <c r="C22" s="164"/>
      <c r="D22" s="164"/>
      <c r="E22" s="164"/>
      <c r="F22" s="164"/>
      <c r="G22" s="164"/>
      <c r="H22" s="164"/>
      <c r="I22" s="164"/>
      <c r="J22" s="164"/>
      <c r="K22" s="164"/>
      <c r="L22" s="164"/>
      <c r="M22" s="164"/>
      <c r="N22" s="164"/>
      <c r="Q22" s="164"/>
      <c r="R22" s="164"/>
      <c r="T22" s="164"/>
    </row>
    <row r="23" spans="2:20" hidden="1">
      <c r="C23" s="164"/>
      <c r="D23" s="164"/>
      <c r="E23" s="164"/>
      <c r="F23" s="164"/>
      <c r="G23" s="164"/>
      <c r="H23" s="164"/>
      <c r="I23" s="164"/>
      <c r="J23" s="164"/>
      <c r="K23" s="164"/>
      <c r="L23" s="164"/>
      <c r="M23" s="164"/>
      <c r="N23" s="164"/>
      <c r="Q23" s="164"/>
      <c r="R23" s="164"/>
      <c r="T23" s="164"/>
    </row>
    <row r="24" spans="2:20" hidden="1">
      <c r="C24" s="164"/>
      <c r="D24" s="164"/>
      <c r="E24" s="164"/>
      <c r="F24" s="164"/>
      <c r="G24" s="164"/>
      <c r="H24" s="164"/>
      <c r="I24" s="164"/>
      <c r="J24" s="164"/>
      <c r="K24" s="164"/>
      <c r="L24" s="164"/>
      <c r="M24" s="164"/>
      <c r="N24" s="164"/>
      <c r="Q24" s="164"/>
      <c r="R24" s="164"/>
      <c r="T24" s="164"/>
    </row>
    <row r="25" spans="2:20" hidden="1">
      <c r="C25" s="164"/>
      <c r="D25" s="164"/>
      <c r="E25" s="164"/>
      <c r="F25" s="164"/>
      <c r="G25" s="164"/>
      <c r="H25" s="164"/>
      <c r="I25" s="164"/>
      <c r="J25" s="164"/>
      <c r="K25" s="164"/>
      <c r="L25" s="164"/>
      <c r="M25" s="164"/>
      <c r="N25" s="164"/>
      <c r="Q25" s="164"/>
      <c r="R25" s="164"/>
      <c r="T25" s="164"/>
    </row>
    <row r="26" spans="2:20" hidden="1">
      <c r="C26" s="164"/>
      <c r="D26" s="164"/>
      <c r="E26" s="164"/>
      <c r="F26" s="164"/>
      <c r="G26" s="164"/>
      <c r="H26" s="164"/>
      <c r="I26" s="164"/>
      <c r="J26" s="164"/>
      <c r="K26" s="164"/>
      <c r="L26" s="164"/>
      <c r="M26" s="164"/>
      <c r="N26" s="164"/>
      <c r="Q26" s="164"/>
      <c r="R26" s="164"/>
      <c r="T26" s="164"/>
    </row>
    <row r="27" spans="2:20" hidden="1">
      <c r="C27" s="164"/>
      <c r="D27" s="164"/>
      <c r="E27" s="164"/>
      <c r="F27" s="164"/>
      <c r="G27" s="164"/>
      <c r="H27" s="164"/>
      <c r="I27" s="164"/>
      <c r="J27" s="164"/>
      <c r="K27" s="164"/>
      <c r="L27" s="164"/>
      <c r="M27" s="164"/>
      <c r="N27" s="164"/>
      <c r="Q27" s="164"/>
      <c r="R27" s="164"/>
      <c r="T27" s="164"/>
    </row>
    <row r="28" spans="2:20" hidden="1">
      <c r="C28" s="164"/>
      <c r="D28" s="164"/>
      <c r="E28" s="164"/>
      <c r="F28" s="164"/>
      <c r="G28" s="164"/>
      <c r="H28" s="164"/>
      <c r="I28" s="164"/>
      <c r="J28" s="164"/>
      <c r="K28" s="164"/>
      <c r="L28" s="164"/>
      <c r="M28" s="164"/>
      <c r="N28" s="164"/>
      <c r="Q28" s="164"/>
      <c r="R28" s="164"/>
      <c r="T28" s="164"/>
    </row>
    <row r="29" spans="2:20">
      <c r="C29" s="164"/>
      <c r="D29" s="164"/>
      <c r="E29" s="164"/>
      <c r="F29" s="164"/>
      <c r="G29" s="164"/>
      <c r="H29" s="164"/>
      <c r="I29" s="164"/>
      <c r="J29" s="164"/>
      <c r="K29" s="164"/>
      <c r="L29" s="164"/>
      <c r="M29" s="164"/>
      <c r="N29" s="164"/>
      <c r="Q29" s="164"/>
      <c r="R29" s="164"/>
      <c r="T29" s="164"/>
    </row>
    <row r="30" spans="2:20">
      <c r="B30" s="169" t="s">
        <v>486</v>
      </c>
      <c r="C30" s="170"/>
      <c r="D30" s="170"/>
      <c r="E30" s="170"/>
      <c r="F30" s="170"/>
      <c r="G30" s="531">
        <f>'B&amp;A Surcharges'!U11</f>
        <v>-1395979.6980995839</v>
      </c>
      <c r="L30" s="170"/>
      <c r="M30" s="170"/>
      <c r="N30" s="170"/>
      <c r="O30" s="170"/>
      <c r="P30" s="170"/>
      <c r="Q30" s="164">
        <f>VLOOKUP(B7,'B&amp;A Surcharges'!A:U,21,FALSE)</f>
        <v>-1395979.6980995839</v>
      </c>
      <c r="R30" s="164"/>
      <c r="T30" s="164">
        <f>Q30</f>
        <v>-1395979.6980995839</v>
      </c>
    </row>
    <row r="31" spans="2:20">
      <c r="C31" s="164"/>
      <c r="D31" s="164"/>
      <c r="E31" s="164"/>
      <c r="F31" s="164"/>
      <c r="G31" s="164"/>
      <c r="H31" s="164"/>
      <c r="I31" s="164"/>
      <c r="J31" s="164"/>
      <c r="K31" s="162"/>
      <c r="L31" s="164"/>
      <c r="M31" s="164"/>
      <c r="N31" s="164"/>
      <c r="Q31" s="164"/>
      <c r="R31" s="164"/>
      <c r="T31" s="164"/>
    </row>
    <row r="32" spans="2:20">
      <c r="B32" s="150" t="s">
        <v>14</v>
      </c>
      <c r="C32" s="164"/>
      <c r="D32" s="164"/>
      <c r="E32" s="164"/>
      <c r="F32" s="164"/>
      <c r="G32" s="164">
        <f>VLOOKUP(B7,'B&amp;A Surcharges'!A:U,2,FALSE)</f>
        <v>51775427.170000002</v>
      </c>
      <c r="H32" s="164"/>
      <c r="I32" s="164"/>
      <c r="J32" s="164"/>
      <c r="K32" s="164"/>
      <c r="L32" s="164"/>
      <c r="M32" s="164"/>
      <c r="N32" s="164"/>
      <c r="Q32" s="164"/>
      <c r="R32" s="164"/>
      <c r="T32" s="164"/>
    </row>
    <row r="33" spans="2:20">
      <c r="C33" s="164"/>
      <c r="D33" s="164"/>
      <c r="E33" s="164"/>
      <c r="F33" s="164"/>
      <c r="G33" s="164"/>
      <c r="H33" s="164"/>
      <c r="I33" s="164"/>
      <c r="J33" s="164"/>
      <c r="K33" s="164"/>
      <c r="L33" s="164"/>
      <c r="M33" s="164"/>
      <c r="N33" s="164"/>
      <c r="Q33" s="164"/>
      <c r="R33" s="164"/>
      <c r="T33" s="164"/>
    </row>
    <row r="34" spans="2:20">
      <c r="B34" s="150" t="s">
        <v>208</v>
      </c>
      <c r="C34" s="164"/>
      <c r="D34" s="164"/>
      <c r="E34" s="164"/>
      <c r="F34" s="164"/>
      <c r="G34" s="164">
        <f>VLOOKUP(B7,'B&amp;A Surcharges'!A:U,16,FALSE)</f>
        <v>474969.3</v>
      </c>
      <c r="H34" s="164"/>
      <c r="I34" s="164"/>
      <c r="J34" s="164"/>
      <c r="K34" s="164"/>
      <c r="L34" s="164"/>
      <c r="M34" s="164"/>
      <c r="N34" s="164"/>
      <c r="Q34" s="164"/>
      <c r="R34" s="164"/>
      <c r="T34" s="164"/>
    </row>
    <row r="35" spans="2:20">
      <c r="C35" s="164"/>
      <c r="D35" s="164"/>
      <c r="E35" s="164"/>
      <c r="F35" s="164"/>
      <c r="G35" s="164"/>
      <c r="H35" s="164"/>
      <c r="I35" s="164"/>
      <c r="J35" s="164"/>
      <c r="K35" s="164"/>
      <c r="L35" s="164"/>
      <c r="M35" s="164"/>
      <c r="N35" s="164"/>
      <c r="Q35" s="164"/>
      <c r="R35" s="164"/>
      <c r="T35" s="164"/>
    </row>
    <row r="36" spans="2:20">
      <c r="B36" s="150" t="s">
        <v>16</v>
      </c>
      <c r="C36" s="164"/>
      <c r="D36" s="164"/>
      <c r="E36" s="164"/>
      <c r="F36" s="164"/>
      <c r="G36" s="164">
        <f>VLOOKUP(B7,'B&amp;A Surcharges'!A:U,4,FALSE)</f>
        <v>-584195.91999999993</v>
      </c>
      <c r="H36" s="164"/>
      <c r="I36" s="164"/>
      <c r="J36" s="164"/>
      <c r="K36" s="164"/>
      <c r="L36" s="164"/>
      <c r="M36" s="164"/>
      <c r="N36" s="164"/>
      <c r="Q36" s="164"/>
      <c r="R36" s="164"/>
      <c r="T36" s="164"/>
    </row>
    <row r="37" spans="2:20">
      <c r="C37" s="164"/>
      <c r="D37" s="164"/>
      <c r="E37" s="164"/>
      <c r="F37" s="164"/>
      <c r="G37" s="164"/>
      <c r="H37" s="164"/>
      <c r="I37" s="164"/>
      <c r="J37" s="164"/>
      <c r="K37" s="164"/>
      <c r="L37" s="164"/>
      <c r="M37" s="164"/>
      <c r="N37" s="164"/>
      <c r="Q37" s="164"/>
      <c r="R37" s="164"/>
      <c r="T37" s="164"/>
    </row>
    <row r="38" spans="2:20">
      <c r="B38" s="150" t="s">
        <v>161</v>
      </c>
      <c r="C38" s="164"/>
      <c r="D38" s="164"/>
      <c r="E38" s="164"/>
      <c r="F38" s="164"/>
      <c r="G38" s="164">
        <f>VLOOKUP(B7,'B&amp;A Surcharges'!A:U,6,FALSE)</f>
        <v>1910864.4893393549</v>
      </c>
      <c r="H38" s="164"/>
      <c r="I38" s="164"/>
      <c r="J38" s="164"/>
      <c r="K38" s="164"/>
      <c r="L38" s="164"/>
      <c r="M38" s="164"/>
      <c r="N38" s="164"/>
      <c r="Q38" s="164"/>
      <c r="R38" s="164"/>
      <c r="T38" s="164"/>
    </row>
    <row r="39" spans="2:20">
      <c r="C39" s="164"/>
      <c r="D39" s="164"/>
      <c r="E39" s="164"/>
      <c r="F39" s="164"/>
      <c r="G39" s="164"/>
      <c r="H39" s="164"/>
      <c r="I39" s="164"/>
      <c r="J39" s="164"/>
      <c r="K39" s="164"/>
      <c r="L39" s="164"/>
      <c r="M39" s="164"/>
      <c r="N39" s="164"/>
      <c r="Q39" s="164"/>
      <c r="R39" s="164"/>
      <c r="T39" s="164"/>
    </row>
    <row r="40" spans="2:20">
      <c r="C40" s="164"/>
      <c r="D40" s="164"/>
      <c r="E40" s="164"/>
      <c r="F40" s="164"/>
      <c r="G40" s="164"/>
      <c r="H40" s="164"/>
      <c r="I40" s="164"/>
      <c r="J40" s="164"/>
      <c r="K40" s="164"/>
      <c r="L40" s="164"/>
      <c r="M40" s="164"/>
      <c r="N40" s="164"/>
      <c r="Q40" s="164"/>
      <c r="R40" s="164"/>
      <c r="T40" s="164"/>
    </row>
    <row r="41" spans="2:20">
      <c r="C41" s="164"/>
      <c r="D41" s="164"/>
      <c r="E41" s="164"/>
      <c r="F41" s="164"/>
      <c r="G41" s="164"/>
      <c r="H41" s="164"/>
      <c r="I41" s="164"/>
      <c r="J41" s="164"/>
      <c r="K41" s="164"/>
      <c r="L41" s="164"/>
      <c r="M41" s="164"/>
      <c r="N41" s="164"/>
      <c r="Q41" s="164"/>
      <c r="R41" s="164"/>
      <c r="T41" s="164"/>
    </row>
    <row r="42" spans="2:20">
      <c r="B42" s="150" t="s">
        <v>15</v>
      </c>
      <c r="C42" s="164"/>
      <c r="D42" s="164"/>
      <c r="E42" s="164"/>
      <c r="F42" s="164"/>
      <c r="G42" s="164">
        <f>VLOOKUP(B7,'B&amp;A Surcharges'!A:U,10,FALSE)</f>
        <v>14051154.719999999</v>
      </c>
      <c r="H42" s="164"/>
      <c r="I42" s="164"/>
      <c r="J42" s="164"/>
      <c r="K42" s="164"/>
      <c r="L42" s="164">
        <f>VLOOKUP(B7,'Envir FGD adj'!A:F,6,FALSE)</f>
        <v>-9055052.5186105724</v>
      </c>
      <c r="M42" s="164"/>
      <c r="N42" s="164"/>
      <c r="Q42" s="164">
        <f t="shared" ref="Q42" si="1">L42+M42+N42+O42</f>
        <v>-9055052.5186105724</v>
      </c>
      <c r="R42" s="164"/>
      <c r="T42" s="164"/>
    </row>
    <row r="43" spans="2:20">
      <c r="C43" s="164"/>
      <c r="D43" s="164"/>
      <c r="E43" s="164"/>
      <c r="F43" s="164"/>
      <c r="G43" s="164"/>
      <c r="H43" s="164"/>
      <c r="I43" s="164"/>
      <c r="J43" s="164"/>
      <c r="K43" s="164"/>
      <c r="L43" s="164"/>
      <c r="M43" s="164"/>
      <c r="N43" s="164"/>
      <c r="Q43" s="164"/>
      <c r="R43" s="164"/>
      <c r="T43" s="164"/>
    </row>
    <row r="44" spans="2:20">
      <c r="B44" s="150" t="s">
        <v>265</v>
      </c>
      <c r="C44" s="164"/>
      <c r="D44" s="164"/>
      <c r="E44" s="164"/>
      <c r="F44" s="164"/>
      <c r="G44" s="164">
        <f>VLOOKUP(B7,'B&amp;A Surcharges'!A:U,12,FALSE)</f>
        <v>9688356.6954393554</v>
      </c>
      <c r="H44" s="164"/>
      <c r="I44" s="164"/>
      <c r="J44" s="164"/>
      <c r="K44" s="164"/>
      <c r="L44" s="164"/>
      <c r="M44" s="164"/>
      <c r="N44" s="164"/>
      <c r="Q44" s="164"/>
      <c r="R44" s="164"/>
      <c r="T44" s="164"/>
    </row>
    <row r="45" spans="2:20">
      <c r="C45" s="164"/>
      <c r="D45" s="164"/>
      <c r="E45" s="164"/>
      <c r="F45" s="164"/>
      <c r="G45" s="164"/>
      <c r="H45" s="164"/>
      <c r="I45" s="164"/>
      <c r="J45" s="164"/>
      <c r="K45" s="164"/>
      <c r="L45" s="164"/>
      <c r="M45" s="164"/>
      <c r="N45" s="164"/>
      <c r="Q45" s="164"/>
      <c r="R45" s="164"/>
      <c r="T45" s="164"/>
    </row>
    <row r="46" spans="2:20">
      <c r="B46" s="150" t="s">
        <v>329</v>
      </c>
      <c r="C46" s="164"/>
      <c r="D46" s="164"/>
      <c r="E46" s="164"/>
      <c r="F46" s="164"/>
      <c r="G46" s="164">
        <f>VLOOKUP(B7,'B&amp;A Surcharges'!A:U,14,FALSE)</f>
        <v>14069674.970000001</v>
      </c>
      <c r="H46" s="164"/>
      <c r="I46" s="164"/>
      <c r="J46" s="164"/>
      <c r="K46" s="164"/>
      <c r="L46" s="164"/>
      <c r="M46" s="164"/>
      <c r="N46" s="164"/>
      <c r="Q46" s="164"/>
      <c r="R46" s="164"/>
      <c r="T46" s="164"/>
    </row>
    <row r="47" spans="2:20">
      <c r="C47" s="164"/>
      <c r="D47" s="164"/>
      <c r="E47" s="164"/>
      <c r="F47" s="164"/>
      <c r="G47" s="164"/>
      <c r="H47" s="164"/>
      <c r="I47" s="164"/>
      <c r="J47" s="164"/>
      <c r="K47" s="164"/>
      <c r="L47" s="164"/>
      <c r="M47" s="164"/>
      <c r="N47" s="164"/>
      <c r="Q47" s="164"/>
      <c r="R47" s="164"/>
      <c r="T47" s="164"/>
    </row>
    <row r="48" spans="2:20">
      <c r="B48" s="150" t="s">
        <v>264</v>
      </c>
      <c r="C48" s="164"/>
      <c r="D48" s="164"/>
      <c r="E48" s="164"/>
      <c r="F48" s="164"/>
      <c r="G48" s="164">
        <f>VLOOKUP(B7,'B&amp;A Surcharges'!A:U,18,FALSE)</f>
        <v>0</v>
      </c>
      <c r="H48" s="164"/>
      <c r="I48" s="164"/>
      <c r="J48" s="164"/>
      <c r="K48" s="164"/>
      <c r="L48" s="164"/>
      <c r="M48" s="164"/>
      <c r="N48" s="164"/>
      <c r="Q48" s="164"/>
      <c r="R48" s="164"/>
      <c r="T48" s="164"/>
    </row>
    <row r="49" spans="2:20">
      <c r="C49" s="164"/>
      <c r="D49" s="164"/>
      <c r="E49" s="164"/>
      <c r="F49" s="164"/>
      <c r="G49" s="164"/>
      <c r="H49" s="164"/>
      <c r="I49" s="164"/>
      <c r="J49" s="164"/>
      <c r="K49" s="164"/>
      <c r="L49" s="164"/>
      <c r="M49" s="164"/>
      <c r="N49" s="164"/>
      <c r="Q49" s="164"/>
      <c r="R49" s="164"/>
      <c r="T49" s="164"/>
    </row>
    <row r="50" spans="2:20">
      <c r="B50" s="150" t="s">
        <v>346</v>
      </c>
      <c r="C50" s="164"/>
      <c r="D50" s="164"/>
      <c r="E50" s="164"/>
      <c r="F50" s="164"/>
      <c r="G50" s="164">
        <f>VLOOKUP(B7,'B&amp;A Surcharges'!A:U,19,FALSE)</f>
        <v>-16494384.799999997</v>
      </c>
      <c r="H50" s="164"/>
      <c r="I50" s="164"/>
      <c r="J50" s="164"/>
      <c r="K50" s="164"/>
      <c r="L50" s="164"/>
      <c r="M50" s="164"/>
      <c r="N50" s="164"/>
      <c r="Q50" s="164"/>
      <c r="R50" s="164"/>
      <c r="T50" s="164"/>
    </row>
    <row r="51" spans="2:20">
      <c r="B51" s="157"/>
      <c r="C51" s="165"/>
      <c r="D51" s="165"/>
      <c r="E51" s="165"/>
      <c r="F51" s="165"/>
      <c r="G51" s="165"/>
      <c r="H51" s="165"/>
      <c r="I51" s="165"/>
      <c r="J51" s="165"/>
      <c r="K51" s="165"/>
      <c r="L51" s="165"/>
      <c r="M51" s="165"/>
      <c r="N51" s="165"/>
      <c r="O51" s="165"/>
      <c r="P51" s="165"/>
      <c r="Q51" s="165"/>
      <c r="R51" s="170"/>
      <c r="T51" s="165"/>
    </row>
    <row r="53" spans="2:20" s="168" customFormat="1">
      <c r="B53" s="168" t="s">
        <v>17</v>
      </c>
      <c r="G53" s="168">
        <f>SUM(G13:G50)</f>
        <v>301101949.16364413</v>
      </c>
      <c r="L53" s="168">
        <f t="shared" ref="L53:P53" si="2">SUM(L13:L50)</f>
        <v>-9055052.5186105724</v>
      </c>
      <c r="M53" s="168">
        <f t="shared" si="2"/>
        <v>0</v>
      </c>
      <c r="N53" s="168">
        <f>SUM(N13:N50)</f>
        <v>10627948.211062847</v>
      </c>
      <c r="O53" s="539">
        <f>SUM(O13:O50)</f>
        <v>-562233.19475079619</v>
      </c>
      <c r="P53" s="539">
        <f t="shared" si="2"/>
        <v>0</v>
      </c>
      <c r="Q53" s="168">
        <f>SUM(Q13:Q50)</f>
        <v>227220745.03656688</v>
      </c>
      <c r="T53" s="168">
        <f>SUM(T13:T50)</f>
        <v>282062616.95571005</v>
      </c>
    </row>
    <row r="54" spans="2:20">
      <c r="G54" s="532"/>
      <c r="H54" s="532"/>
      <c r="I54" s="532"/>
      <c r="J54" s="532"/>
      <c r="K54" s="532"/>
      <c r="L54" s="158"/>
      <c r="M54" s="158"/>
      <c r="Q54" s="531"/>
      <c r="R54" s="531"/>
    </row>
    <row r="55" spans="2:20">
      <c r="G55" s="186"/>
      <c r="H55" s="186"/>
      <c r="I55" s="186"/>
      <c r="J55" s="186"/>
      <c r="K55" s="186"/>
      <c r="L55" s="186"/>
      <c r="M55" s="158"/>
      <c r="T55" s="186"/>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honeticPr fontId="0" type="noConversion"/>
  <pageMargins left="0.25" right="0.25" top="0.75" bottom="0.75" header="0.3" footer="0.3"/>
  <pageSetup paperSize="5" scale="59" orientation="landscape" r:id="rId1"/>
  <headerFooter alignWithMargins="0"/>
  <ignoredErrors>
    <ignoredError sqref="B11:I1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T57"/>
  <sheetViews>
    <sheetView zoomScale="110" zoomScaleNormal="11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155</v>
      </c>
    </row>
    <row r="7" spans="2:20">
      <c r="B7" s="150" t="s">
        <v>225</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Units'!H5</f>
        <v>1072628</v>
      </c>
      <c r="D13" s="164">
        <f>'Bill Units'!I5</f>
        <v>0</v>
      </c>
      <c r="E13" s="203">
        <f>'Rate Input'!H5</f>
        <v>0.14534</v>
      </c>
      <c r="F13" s="203">
        <f>'Rate Input'!I5</f>
        <v>0</v>
      </c>
      <c r="G13" s="164">
        <f>(C13*E13)+(D13*F13)</f>
        <v>155895.75352</v>
      </c>
      <c r="H13" s="164">
        <f>VLOOKUP($B$7,WNLA!A:B,2,FALSE)*(SUM(C13:D13)/SUM(C13:D14))</f>
        <v>62363.267211904938</v>
      </c>
      <c r="I13" s="162">
        <f>VLOOKUP($B$7,'Monthly # of Customers'!A:R,18,FALSE)*SUM(C13:D13)</f>
        <v>-27813.352874859072</v>
      </c>
      <c r="J13" s="162"/>
      <c r="K13" s="164">
        <f>C13+D13+H13+I13+J13</f>
        <v>1107177.914337046</v>
      </c>
      <c r="L13" s="164"/>
      <c r="M13" s="164"/>
      <c r="N13" s="164">
        <f>H13*E13</f>
        <v>9063.8772565782638</v>
      </c>
      <c r="O13" s="162">
        <f>I13*E13</f>
        <v>-4042.3927068320177</v>
      </c>
      <c r="P13" s="162">
        <f>J13*F13</f>
        <v>0</v>
      </c>
      <c r="Q13" s="164">
        <f>G13+L13+M13+N13+O13+P13</f>
        <v>160917.23806974626</v>
      </c>
      <c r="S13" s="203">
        <f>'Proposed Rates'!C8</f>
        <v>0.18645999999999999</v>
      </c>
      <c r="T13" s="164">
        <f>S13*K13</f>
        <v>206444.39390728559</v>
      </c>
    </row>
    <row r="14" spans="2:20">
      <c r="B14" s="538" t="s">
        <v>23</v>
      </c>
      <c r="C14" s="164">
        <f>'Bill Units'!H6</f>
        <v>1713506</v>
      </c>
      <c r="D14" s="164">
        <f>'Bill Units'!I6</f>
        <v>0</v>
      </c>
      <c r="E14" s="203">
        <f>'Rate Input'!H6</f>
        <v>7.8880000000000006E-2</v>
      </c>
      <c r="F14" s="203">
        <f>'Rate Input'!I6</f>
        <v>0</v>
      </c>
      <c r="G14" s="164">
        <f t="shared" ref="G14:G28" si="0">(C14*E14)+(D14*F14)</f>
        <v>135161.35328000001</v>
      </c>
      <c r="H14" s="164">
        <f>VLOOKUP($B$7,WNLA!A:B,2,FALSE)*(SUM(C14:D14)/SUM(C13:D14))</f>
        <v>99624.31760797069</v>
      </c>
      <c r="I14" s="162">
        <f>VLOOKUP($B$7,'Monthly # of Customers'!A:R,18,FALSE)*SUM(C14:D14)</f>
        <v>-44431.384441939117</v>
      </c>
      <c r="J14" s="164"/>
      <c r="K14" s="164">
        <f t="shared" ref="K14:K28" si="1">C14+D14+H14+I14+J14</f>
        <v>1768698.9331660315</v>
      </c>
      <c r="L14" s="164"/>
      <c r="M14" s="164"/>
      <c r="N14" s="164">
        <f>H14*E14</f>
        <v>7858.3661729167288</v>
      </c>
      <c r="O14" s="162">
        <f>I14*E14</f>
        <v>-3504.7476047801579</v>
      </c>
      <c r="P14" s="162">
        <f t="shared" ref="P14:P28" si="2">J14*F14</f>
        <v>0</v>
      </c>
      <c r="Q14" s="164">
        <f t="shared" ref="Q14:Q28" si="3">G14+L14+M14+N14+O14+P14</f>
        <v>139514.97184813657</v>
      </c>
      <c r="S14" s="203">
        <f>'Proposed Rates'!C9</f>
        <v>8.6029999999999995E-2</v>
      </c>
      <c r="T14" s="164">
        <f t="shared" ref="T14:T29" si="4">S14*K14</f>
        <v>152161.16922027367</v>
      </c>
    </row>
    <row r="15" spans="2:20">
      <c r="B15" s="538" t="s">
        <v>207</v>
      </c>
      <c r="C15" s="164">
        <f>'Bill Units'!H7</f>
        <v>0</v>
      </c>
      <c r="D15" s="164">
        <f>'Bill Units'!I7</f>
        <v>0</v>
      </c>
      <c r="E15" s="203"/>
      <c r="F15" s="203"/>
      <c r="G15" s="164">
        <f t="shared" si="0"/>
        <v>0</v>
      </c>
      <c r="H15" s="164"/>
      <c r="I15" s="164">
        <f>VLOOKUP($B$7,'Monthly # of Customers'!A:R,18,FALSE)*SUM(C15:D15)</f>
        <v>0</v>
      </c>
      <c r="J15" s="162"/>
      <c r="K15" s="164">
        <f t="shared" si="1"/>
        <v>0</v>
      </c>
      <c r="L15" s="164"/>
      <c r="M15" s="164"/>
      <c r="N15" s="164">
        <f t="shared" ref="N15:N28" si="5">H15*F15</f>
        <v>0</v>
      </c>
      <c r="O15" s="162">
        <f t="shared" ref="O15:O28" si="6">I15*F15</f>
        <v>0</v>
      </c>
      <c r="P15" s="162">
        <f t="shared" si="2"/>
        <v>0</v>
      </c>
      <c r="Q15" s="164">
        <f t="shared" si="3"/>
        <v>0</v>
      </c>
      <c r="S15" s="162"/>
      <c r="T15" s="164">
        <f t="shared" si="4"/>
        <v>0</v>
      </c>
    </row>
    <row r="16" spans="2:20">
      <c r="B16" s="538"/>
      <c r="C16" s="164"/>
      <c r="D16" s="164"/>
      <c r="E16" s="164"/>
      <c r="F16" s="164"/>
      <c r="G16" s="164">
        <f t="shared" si="0"/>
        <v>0</v>
      </c>
      <c r="H16" s="164"/>
      <c r="I16" s="164">
        <f>VLOOKUP($B$7,'Monthly # of Customers'!A:R,18,FALSE)*SUM(C16:D16)</f>
        <v>0</v>
      </c>
      <c r="J16" s="164"/>
      <c r="K16" s="164">
        <f t="shared" si="1"/>
        <v>0</v>
      </c>
      <c r="L16" s="164"/>
      <c r="M16" s="164"/>
      <c r="N16" s="164">
        <f t="shared" si="5"/>
        <v>0</v>
      </c>
      <c r="O16" s="162">
        <f t="shared" si="6"/>
        <v>0</v>
      </c>
      <c r="P16" s="162">
        <f t="shared" si="2"/>
        <v>0</v>
      </c>
      <c r="Q16" s="164">
        <f t="shared" si="3"/>
        <v>0</v>
      </c>
      <c r="S16" s="162"/>
      <c r="T16" s="164">
        <f t="shared" si="4"/>
        <v>0</v>
      </c>
    </row>
    <row r="17" spans="2:20">
      <c r="B17" s="150" t="s">
        <v>40</v>
      </c>
      <c r="C17" s="164">
        <f>'Bill Units'!H9</f>
        <v>0</v>
      </c>
      <c r="D17" s="164">
        <f>'Bill Units'!I9</f>
        <v>0</v>
      </c>
      <c r="E17" s="203">
        <f>'Rate Input'!H7</f>
        <v>-7.45E-3</v>
      </c>
      <c r="F17" s="203">
        <f>'Rate Input'!I7</f>
        <v>0</v>
      </c>
      <c r="G17" s="164">
        <f t="shared" si="0"/>
        <v>0</v>
      </c>
      <c r="H17" s="162"/>
      <c r="I17" s="164">
        <f>VLOOKUP($B$7,'Monthly # of Customers'!A:R,18,FALSE)*SUM(C17:D17)</f>
        <v>0</v>
      </c>
      <c r="J17" s="164"/>
      <c r="K17" s="164">
        <f t="shared" si="1"/>
        <v>0</v>
      </c>
      <c r="L17" s="164"/>
      <c r="M17" s="164"/>
      <c r="N17" s="164">
        <f t="shared" si="5"/>
        <v>0</v>
      </c>
      <c r="O17" s="162">
        <f t="shared" si="6"/>
        <v>0</v>
      </c>
      <c r="P17" s="162">
        <f t="shared" si="2"/>
        <v>0</v>
      </c>
      <c r="Q17" s="164">
        <f t="shared" si="3"/>
        <v>0</v>
      </c>
      <c r="S17" s="162"/>
      <c r="T17" s="164">
        <f t="shared" si="4"/>
        <v>0</v>
      </c>
    </row>
    <row r="18" spans="2:20">
      <c r="C18" s="164"/>
      <c r="D18" s="164"/>
      <c r="E18" s="162"/>
      <c r="F18" s="162"/>
      <c r="G18" s="164">
        <f t="shared" si="0"/>
        <v>0</v>
      </c>
      <c r="H18" s="164"/>
      <c r="I18" s="164">
        <f>VLOOKUP($B$7,'Monthly # of Customers'!A:R,18,FALSE)*SUM(C18:D18)</f>
        <v>0</v>
      </c>
      <c r="J18" s="164"/>
      <c r="K18" s="164">
        <f t="shared" si="1"/>
        <v>0</v>
      </c>
      <c r="L18" s="164"/>
      <c r="M18" s="164"/>
      <c r="N18" s="164">
        <f t="shared" si="5"/>
        <v>0</v>
      </c>
      <c r="O18" s="162">
        <f t="shared" si="6"/>
        <v>0</v>
      </c>
      <c r="P18" s="162">
        <f t="shared" si="2"/>
        <v>0</v>
      </c>
      <c r="Q18" s="164">
        <f t="shared" si="3"/>
        <v>0</v>
      </c>
      <c r="T18" s="164">
        <f t="shared" si="4"/>
        <v>0</v>
      </c>
    </row>
    <row r="19" spans="2:20">
      <c r="B19" s="150" t="s">
        <v>12</v>
      </c>
      <c r="C19" s="164">
        <f>'Bill Units'!H11</f>
        <v>1774</v>
      </c>
      <c r="D19" s="164">
        <f>'Bill Units'!I11</f>
        <v>0</v>
      </c>
      <c r="E19" s="162">
        <f>'Rate Input'!H9</f>
        <v>21</v>
      </c>
      <c r="F19" s="162">
        <f>'Rate Input'!I9</f>
        <v>0</v>
      </c>
      <c r="G19" s="164">
        <f t="shared" si="0"/>
        <v>37254</v>
      </c>
      <c r="H19" s="164"/>
      <c r="I19" s="164">
        <f>VLOOKUP($B$7,'Monthly # of Customers'!A:R,18,FALSE)*SUM(C19:D19)</f>
        <v>-46</v>
      </c>
      <c r="J19" s="164"/>
      <c r="K19" s="164">
        <f>C19+D19+H19+I19+J19</f>
        <v>1728</v>
      </c>
      <c r="L19" s="164"/>
      <c r="M19" s="164"/>
      <c r="N19" s="164">
        <f t="shared" si="5"/>
        <v>0</v>
      </c>
      <c r="O19" s="162">
        <f>I19*E19</f>
        <v>-966</v>
      </c>
      <c r="P19" s="162">
        <f t="shared" si="2"/>
        <v>0</v>
      </c>
      <c r="Q19" s="164">
        <f t="shared" si="3"/>
        <v>36288</v>
      </c>
      <c r="S19" s="162">
        <f>'Proposed Rates'!B11</f>
        <v>23</v>
      </c>
      <c r="T19" s="164">
        <f t="shared" si="4"/>
        <v>39744</v>
      </c>
    </row>
    <row r="20" spans="2:20">
      <c r="B20" s="150" t="s">
        <v>209</v>
      </c>
      <c r="C20" s="164">
        <f>'Bill Units'!H12</f>
        <v>96</v>
      </c>
      <c r="D20" s="164">
        <f>'Bill Units'!I12</f>
        <v>0</v>
      </c>
      <c r="E20" s="162">
        <f>'Rate Input'!H10</f>
        <v>4.3</v>
      </c>
      <c r="F20" s="162">
        <f>'Rate Input'!I10</f>
        <v>0</v>
      </c>
      <c r="G20" s="164">
        <f t="shared" si="0"/>
        <v>412.79999999999995</v>
      </c>
      <c r="H20" s="164"/>
      <c r="I20" s="164">
        <f>VLOOKUP($B$7,'Monthly # of Customers'!A:R,18,FALSE)*SUM(C20:D20)</f>
        <v>-2.4892897406989851</v>
      </c>
      <c r="J20" s="164"/>
      <c r="K20" s="164">
        <f>C20+D20+H20+I20+J20</f>
        <v>93.510710259301021</v>
      </c>
      <c r="L20" s="164"/>
      <c r="M20" s="164"/>
      <c r="N20" s="164">
        <f t="shared" si="5"/>
        <v>0</v>
      </c>
      <c r="O20" s="162">
        <f>I20*E20</f>
        <v>-10.703945885005636</v>
      </c>
      <c r="P20" s="162">
        <f t="shared" si="2"/>
        <v>0</v>
      </c>
      <c r="Q20" s="164">
        <f t="shared" si="3"/>
        <v>402.09605411499433</v>
      </c>
      <c r="S20" s="162">
        <f>'Proposed Rates'!B10</f>
        <v>4.3</v>
      </c>
      <c r="T20" s="164">
        <f t="shared" si="4"/>
        <v>402.09605411499439</v>
      </c>
    </row>
    <row r="21" spans="2:20">
      <c r="C21" s="164"/>
      <c r="D21" s="164"/>
      <c r="E21" s="164"/>
      <c r="F21" s="164"/>
      <c r="G21" s="164">
        <f t="shared" si="0"/>
        <v>0</v>
      </c>
      <c r="H21" s="164"/>
      <c r="I21" s="164">
        <f>VLOOKUP($B$7,'Monthly # of Customers'!A:R,18,FALSE)*SUM(C21:D21)</f>
        <v>0</v>
      </c>
      <c r="J21" s="164"/>
      <c r="K21" s="164">
        <f t="shared" si="1"/>
        <v>0</v>
      </c>
      <c r="L21" s="164"/>
      <c r="M21" s="164"/>
      <c r="N21" s="164">
        <f t="shared" si="5"/>
        <v>0</v>
      </c>
      <c r="O21" s="162">
        <f t="shared" si="6"/>
        <v>0</v>
      </c>
      <c r="P21" s="162">
        <f t="shared" si="2"/>
        <v>0</v>
      </c>
      <c r="Q21" s="164">
        <f t="shared" si="3"/>
        <v>0</v>
      </c>
      <c r="T21" s="164">
        <f t="shared" si="4"/>
        <v>0</v>
      </c>
    </row>
    <row r="22" spans="2:20" hidden="1">
      <c r="C22" s="164"/>
      <c r="D22" s="164"/>
      <c r="E22" s="164"/>
      <c r="F22" s="164"/>
      <c r="G22" s="164">
        <f t="shared" si="0"/>
        <v>0</v>
      </c>
      <c r="H22" s="164"/>
      <c r="I22" s="164">
        <f>VLOOKUP($B$7,'Monthly # of Customers'!A:R,18,FALSE)*SUM(C22:D22)</f>
        <v>0</v>
      </c>
      <c r="J22" s="164"/>
      <c r="K22" s="164">
        <f t="shared" si="1"/>
        <v>0</v>
      </c>
      <c r="L22" s="164"/>
      <c r="M22" s="164">
        <f t="shared" ref="M22:M28" si="7">C22*(F22-E22)</f>
        <v>0</v>
      </c>
      <c r="N22" s="164">
        <f t="shared" si="5"/>
        <v>0</v>
      </c>
      <c r="O22" s="162">
        <f t="shared" si="6"/>
        <v>0</v>
      </c>
      <c r="P22" s="162">
        <f t="shared" si="2"/>
        <v>0</v>
      </c>
      <c r="Q22" s="164">
        <f t="shared" si="3"/>
        <v>0</v>
      </c>
      <c r="T22" s="164">
        <f t="shared" si="4"/>
        <v>0</v>
      </c>
    </row>
    <row r="23" spans="2:20" hidden="1">
      <c r="C23" s="164"/>
      <c r="D23" s="164"/>
      <c r="E23" s="164"/>
      <c r="F23" s="164"/>
      <c r="G23" s="164">
        <f t="shared" si="0"/>
        <v>0</v>
      </c>
      <c r="H23" s="164"/>
      <c r="I23" s="164">
        <f>VLOOKUP($B$7,'Monthly # of Customers'!A:R,18,FALSE)*SUM(C23:D23)</f>
        <v>0</v>
      </c>
      <c r="J23" s="164"/>
      <c r="K23" s="164">
        <f t="shared" si="1"/>
        <v>0</v>
      </c>
      <c r="L23" s="164"/>
      <c r="M23" s="164">
        <f t="shared" si="7"/>
        <v>0</v>
      </c>
      <c r="N23" s="164">
        <f t="shared" si="5"/>
        <v>0</v>
      </c>
      <c r="O23" s="162">
        <f t="shared" si="6"/>
        <v>0</v>
      </c>
      <c r="P23" s="162">
        <f t="shared" si="2"/>
        <v>0</v>
      </c>
      <c r="Q23" s="164">
        <f t="shared" si="3"/>
        <v>0</v>
      </c>
      <c r="T23" s="164">
        <f t="shared" si="4"/>
        <v>0</v>
      </c>
    </row>
    <row r="24" spans="2:20" hidden="1">
      <c r="C24" s="164"/>
      <c r="D24" s="164"/>
      <c r="E24" s="164"/>
      <c r="F24" s="164"/>
      <c r="G24" s="164">
        <f t="shared" si="0"/>
        <v>0</v>
      </c>
      <c r="H24" s="164"/>
      <c r="I24" s="164">
        <f>VLOOKUP($B$7,'Monthly # of Customers'!A:R,18,FALSE)*SUM(C24:D24)</f>
        <v>0</v>
      </c>
      <c r="J24" s="164"/>
      <c r="K24" s="164">
        <f t="shared" si="1"/>
        <v>0</v>
      </c>
      <c r="L24" s="164"/>
      <c r="M24" s="164">
        <f t="shared" si="7"/>
        <v>0</v>
      </c>
      <c r="N24" s="164">
        <f t="shared" si="5"/>
        <v>0</v>
      </c>
      <c r="O24" s="162">
        <f t="shared" si="6"/>
        <v>0</v>
      </c>
      <c r="P24" s="162">
        <f t="shared" si="2"/>
        <v>0</v>
      </c>
      <c r="Q24" s="164">
        <f t="shared" si="3"/>
        <v>0</v>
      </c>
      <c r="T24" s="164">
        <f t="shared" si="4"/>
        <v>0</v>
      </c>
    </row>
    <row r="25" spans="2:20" hidden="1">
      <c r="C25" s="164"/>
      <c r="D25" s="164"/>
      <c r="E25" s="164"/>
      <c r="F25" s="164"/>
      <c r="G25" s="164">
        <f t="shared" si="0"/>
        <v>0</v>
      </c>
      <c r="H25" s="164"/>
      <c r="I25" s="164">
        <f>VLOOKUP($B$7,'Monthly # of Customers'!A:R,18,FALSE)*SUM(C25:D25)</f>
        <v>0</v>
      </c>
      <c r="J25" s="164"/>
      <c r="K25" s="164">
        <f t="shared" si="1"/>
        <v>0</v>
      </c>
      <c r="L25" s="164"/>
      <c r="M25" s="164">
        <f t="shared" si="7"/>
        <v>0</v>
      </c>
      <c r="N25" s="164">
        <f t="shared" si="5"/>
        <v>0</v>
      </c>
      <c r="O25" s="162">
        <f t="shared" si="6"/>
        <v>0</v>
      </c>
      <c r="P25" s="162">
        <f t="shared" si="2"/>
        <v>0</v>
      </c>
      <c r="Q25" s="164">
        <f t="shared" si="3"/>
        <v>0</v>
      </c>
      <c r="T25" s="164">
        <f t="shared" si="4"/>
        <v>0</v>
      </c>
    </row>
    <row r="26" spans="2:20" hidden="1">
      <c r="C26" s="164"/>
      <c r="D26" s="164"/>
      <c r="E26" s="164"/>
      <c r="F26" s="164"/>
      <c r="G26" s="164">
        <f t="shared" si="0"/>
        <v>0</v>
      </c>
      <c r="H26" s="164"/>
      <c r="I26" s="164">
        <f>VLOOKUP($B$7,'Monthly # of Customers'!A:R,18,FALSE)*SUM(C26:D26)</f>
        <v>0</v>
      </c>
      <c r="J26" s="164"/>
      <c r="K26" s="164">
        <f t="shared" si="1"/>
        <v>0</v>
      </c>
      <c r="L26" s="164"/>
      <c r="M26" s="164">
        <f t="shared" si="7"/>
        <v>0</v>
      </c>
      <c r="N26" s="164">
        <f t="shared" si="5"/>
        <v>0</v>
      </c>
      <c r="O26" s="162">
        <f t="shared" si="6"/>
        <v>0</v>
      </c>
      <c r="P26" s="162">
        <f t="shared" si="2"/>
        <v>0</v>
      </c>
      <c r="Q26" s="164">
        <f t="shared" si="3"/>
        <v>0</v>
      </c>
      <c r="T26" s="164">
        <f t="shared" si="4"/>
        <v>0</v>
      </c>
    </row>
    <row r="27" spans="2:20" hidden="1">
      <c r="C27" s="164"/>
      <c r="D27" s="164"/>
      <c r="E27" s="164"/>
      <c r="F27" s="164"/>
      <c r="G27" s="164">
        <f t="shared" si="0"/>
        <v>0</v>
      </c>
      <c r="H27" s="164"/>
      <c r="I27" s="164">
        <f>VLOOKUP($B$7,'Monthly # of Customers'!A:R,18,FALSE)*SUM(C27:D27)</f>
        <v>0</v>
      </c>
      <c r="J27" s="164"/>
      <c r="K27" s="164">
        <f t="shared" si="1"/>
        <v>0</v>
      </c>
      <c r="L27" s="164"/>
      <c r="M27" s="164">
        <f t="shared" si="7"/>
        <v>0</v>
      </c>
      <c r="N27" s="164">
        <f t="shared" si="5"/>
        <v>0</v>
      </c>
      <c r="O27" s="162">
        <f t="shared" si="6"/>
        <v>0</v>
      </c>
      <c r="P27" s="162">
        <f t="shared" si="2"/>
        <v>0</v>
      </c>
      <c r="Q27" s="164">
        <f t="shared" si="3"/>
        <v>0</v>
      </c>
      <c r="T27" s="164">
        <f t="shared" si="4"/>
        <v>0</v>
      </c>
    </row>
    <row r="28" spans="2:20" hidden="1">
      <c r="C28" s="164"/>
      <c r="D28" s="164"/>
      <c r="E28" s="164"/>
      <c r="F28" s="164"/>
      <c r="G28" s="164">
        <f t="shared" si="0"/>
        <v>0</v>
      </c>
      <c r="H28" s="164"/>
      <c r="I28" s="164">
        <f>VLOOKUP($B$7,'Monthly # of Customers'!A:R,18,FALSE)*SUM(C28:D28)</f>
        <v>0</v>
      </c>
      <c r="J28" s="164"/>
      <c r="K28" s="164">
        <f t="shared" si="1"/>
        <v>0</v>
      </c>
      <c r="L28" s="164"/>
      <c r="M28" s="164">
        <f t="shared" si="7"/>
        <v>0</v>
      </c>
      <c r="N28" s="164">
        <f t="shared" si="5"/>
        <v>0</v>
      </c>
      <c r="O28" s="162">
        <f t="shared" si="6"/>
        <v>0</v>
      </c>
      <c r="P28" s="162">
        <f t="shared" si="2"/>
        <v>0</v>
      </c>
      <c r="Q28" s="164">
        <f t="shared" si="3"/>
        <v>0</v>
      </c>
      <c r="T28" s="164">
        <f t="shared" si="4"/>
        <v>0</v>
      </c>
    </row>
    <row r="29" spans="2:20" hidden="1">
      <c r="C29" s="164"/>
      <c r="D29" s="164"/>
      <c r="E29" s="164"/>
      <c r="F29" s="164"/>
      <c r="G29" s="164"/>
      <c r="H29" s="164"/>
      <c r="I29" s="164"/>
      <c r="J29" s="164"/>
      <c r="K29" s="164"/>
      <c r="L29" s="164"/>
      <c r="M29" s="164"/>
      <c r="N29" s="164"/>
      <c r="Q29" s="164"/>
      <c r="T29" s="164">
        <f t="shared" si="4"/>
        <v>0</v>
      </c>
    </row>
    <row r="30" spans="2:20">
      <c r="B30" s="169" t="s">
        <v>486</v>
      </c>
      <c r="C30" s="170"/>
      <c r="D30" s="170"/>
      <c r="E30" s="170"/>
      <c r="F30" s="170"/>
      <c r="G30" s="531">
        <f>'B&amp;A Surcharges'!U13</f>
        <v>-2911.4118846280408</v>
      </c>
      <c r="L30" s="170"/>
      <c r="M30" s="170"/>
      <c r="N30" s="170"/>
      <c r="O30" s="170"/>
      <c r="P30" s="170"/>
      <c r="Q30" s="164">
        <f>VLOOKUP(B7,'B&amp;A Surcharges'!A:U,21,FALSE)</f>
        <v>-2911.4118846280408</v>
      </c>
      <c r="T30" s="164">
        <f>Q30</f>
        <v>-2911.4118846280408</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79137.2</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532.19999999999993</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-907.94</v>
      </c>
      <c r="H36" s="164"/>
      <c r="I36" s="164"/>
      <c r="J36" s="164"/>
      <c r="K36" s="164"/>
      <c r="L36" s="164"/>
      <c r="M36" s="164"/>
      <c r="N36" s="164"/>
      <c r="Q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2751.3423277419352</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20407.409999999996</v>
      </c>
      <c r="H42" s="164"/>
      <c r="I42" s="164"/>
      <c r="J42" s="164"/>
      <c r="K42" s="164"/>
      <c r="L42" s="164">
        <f>VLOOKUP(B7,'Envir FGD adj'!A:F,6,FALSE)</f>
        <v>-13151.244363980541</v>
      </c>
      <c r="M42" s="164"/>
      <c r="N42" s="164"/>
      <c r="Q42" s="164">
        <f t="shared" ref="Q42" si="8">L42+M42+N42+O42</f>
        <v>-13151.244363980541</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14314.753627741935</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20246.18</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0</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-26320.739999999998</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SUM(G13:G50)</f>
        <v>435972.90087085578</v>
      </c>
      <c r="L53" s="168">
        <f t="shared" ref="L53:Q53" si="9">SUM(L13:L50)</f>
        <v>-13151.244363980541</v>
      </c>
      <c r="M53" s="168">
        <f t="shared" si="9"/>
        <v>0</v>
      </c>
      <c r="N53" s="168">
        <f t="shared" si="9"/>
        <v>16922.243429494993</v>
      </c>
      <c r="O53" s="539">
        <f t="shared" si="9"/>
        <v>-8523.8442574971814</v>
      </c>
      <c r="P53" s="539">
        <f t="shared" si="9"/>
        <v>0</v>
      </c>
      <c r="Q53" s="168">
        <f t="shared" si="9"/>
        <v>321059.64972338919</v>
      </c>
      <c r="T53" s="168">
        <f>SUM(T13:T50)</f>
        <v>395840.24729704618</v>
      </c>
    </row>
    <row r="54" spans="2:20">
      <c r="G54" s="532"/>
      <c r="H54" s="532"/>
      <c r="I54" s="532"/>
      <c r="J54" s="532"/>
      <c r="K54" s="532"/>
      <c r="L54" s="158"/>
      <c r="M54" s="158"/>
      <c r="Q54" s="531"/>
    </row>
    <row r="55" spans="2:20">
      <c r="G55" s="186"/>
      <c r="H55" s="186"/>
      <c r="I55" s="186"/>
      <c r="J55" s="186"/>
      <c r="K55" s="186"/>
      <c r="L55" s="186"/>
      <c r="M55" s="158"/>
      <c r="T55" s="186"/>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T57"/>
  <sheetViews>
    <sheetView zoomScale="90" zoomScaleNormal="9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489</v>
      </c>
    </row>
    <row r="7" spans="2:20">
      <c r="B7" s="150" t="s">
        <v>226</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Units'!L5</f>
        <v>40887</v>
      </c>
      <c r="D13" s="164">
        <f>'Bill Units'!M5</f>
        <v>0</v>
      </c>
      <c r="E13" s="203">
        <f>'Rate Input'!L5</f>
        <v>0.14534</v>
      </c>
      <c r="F13" s="203">
        <f>'Rate Input'!M5</f>
        <v>0</v>
      </c>
      <c r="G13" s="164">
        <f>(C13*E13)+(D13*F13)</f>
        <v>5942.5165799999995</v>
      </c>
      <c r="H13" s="164">
        <f>VLOOKUP($B$7,WNLA!A:B,2,FALSE)*(SUM(C13:D13)/SUM(C13:D14))</f>
        <v>3074.7584369439337</v>
      </c>
      <c r="I13" s="162">
        <f>VLOOKUP($B$7,'Monthly # of Customers'!A:R,18,FALSE)*SUM(C13:D13)</f>
        <v>9009</v>
      </c>
      <c r="J13" s="162"/>
      <c r="K13" s="164">
        <f>C13+D13+H13+I13+J13</f>
        <v>52970.758436943936</v>
      </c>
      <c r="L13" s="164"/>
      <c r="M13" s="164"/>
      <c r="N13" s="164">
        <f>H13*E13</f>
        <v>446.88539122543131</v>
      </c>
      <c r="O13" s="162">
        <f>I13*E13</f>
        <v>1309.36806</v>
      </c>
      <c r="P13" s="162">
        <f>J13*F13</f>
        <v>0</v>
      </c>
      <c r="Q13" s="164">
        <f>G13+L13+M13+N13+O13+P13</f>
        <v>7698.770031225431</v>
      </c>
      <c r="S13" s="203">
        <f>'Proposed Rates'!C12</f>
        <v>0.18645999999999999</v>
      </c>
      <c r="T13" s="164">
        <f>S13*K13</f>
        <v>9876.9276181525656</v>
      </c>
    </row>
    <row r="14" spans="2:20">
      <c r="B14" s="538" t="s">
        <v>23</v>
      </c>
      <c r="C14" s="164">
        <f>'Bill Units'!L6</f>
        <v>68391</v>
      </c>
      <c r="D14" s="164">
        <f>'Bill Units'!M6</f>
        <v>0</v>
      </c>
      <c r="E14" s="203">
        <f>'Rate Input'!L6</f>
        <v>7.8880000000000006E-2</v>
      </c>
      <c r="F14" s="203">
        <f>'Rate Input'!M6</f>
        <v>0</v>
      </c>
      <c r="G14" s="164">
        <f t="shared" ref="G14:G16" si="0">(C14*E14)+(D14*F14)</f>
        <v>5394.6820800000005</v>
      </c>
      <c r="H14" s="164">
        <f>VLOOKUP($B$7,WNLA!A:B,2,FALSE)*(SUM(C14:D14)/SUM(C13:D14))</f>
        <v>5143.0969320574413</v>
      </c>
      <c r="I14" s="162">
        <f>VLOOKUP($B$7,'Monthly # of Customers'!A:R,18,FALSE)*SUM(C14:D14)</f>
        <v>15069.203389830509</v>
      </c>
      <c r="J14" s="164"/>
      <c r="K14" s="164">
        <f t="shared" ref="K14:K16" si="1">C14+D14+H14+I14+J14</f>
        <v>88603.300321887946</v>
      </c>
      <c r="L14" s="164"/>
      <c r="M14" s="164"/>
      <c r="N14" s="164">
        <f>H14*E14</f>
        <v>405.68748600069102</v>
      </c>
      <c r="O14" s="162">
        <f>I14*E14</f>
        <v>1188.6587633898307</v>
      </c>
      <c r="P14" s="162">
        <f t="shared" ref="P14:P16" si="2">J14*F14</f>
        <v>0</v>
      </c>
      <c r="Q14" s="164">
        <f t="shared" ref="Q14:Q16" si="3">G14+L14+M14+N14+O14+P14</f>
        <v>6989.0283293905222</v>
      </c>
      <c r="S14" s="203">
        <f>'Proposed Rates'!C13</f>
        <v>8.6029999999999995E-2</v>
      </c>
      <c r="T14" s="164">
        <f t="shared" ref="T14:T29" si="4">S14*K14</f>
        <v>7622.5419266920198</v>
      </c>
    </row>
    <row r="15" spans="2:20">
      <c r="C15" s="164"/>
      <c r="D15" s="164"/>
      <c r="E15" s="203"/>
      <c r="F15" s="203"/>
      <c r="G15" s="164"/>
      <c r="H15" s="164"/>
      <c r="I15" s="164"/>
      <c r="J15" s="162"/>
      <c r="K15" s="164"/>
      <c r="L15" s="164"/>
      <c r="M15" s="164"/>
      <c r="N15" s="164"/>
      <c r="O15" s="162"/>
      <c r="P15" s="162"/>
      <c r="Q15" s="164"/>
      <c r="S15" s="162"/>
      <c r="T15" s="164">
        <f t="shared" si="4"/>
        <v>0</v>
      </c>
    </row>
    <row r="16" spans="2:20">
      <c r="B16" s="150" t="s">
        <v>12</v>
      </c>
      <c r="C16" s="164">
        <f>'Bill Units'!L8</f>
        <v>59</v>
      </c>
      <c r="D16" s="164">
        <f>'Bill Units'!M8</f>
        <v>0</v>
      </c>
      <c r="E16" s="162">
        <f>'Rate Input'!L8</f>
        <v>21</v>
      </c>
      <c r="F16" s="162">
        <f>'Rate Input'!M8</f>
        <v>0</v>
      </c>
      <c r="G16" s="164">
        <f t="shared" si="0"/>
        <v>1239</v>
      </c>
      <c r="H16" s="164"/>
      <c r="I16" s="164">
        <f>VLOOKUP($B$7,'Monthly # of Customers'!A:R,18,FALSE)*SUM(C16:D16)</f>
        <v>13</v>
      </c>
      <c r="J16" s="164"/>
      <c r="K16" s="164">
        <f t="shared" si="1"/>
        <v>72</v>
      </c>
      <c r="L16" s="164"/>
      <c r="M16" s="164"/>
      <c r="N16" s="164">
        <f t="shared" ref="N16" si="5">H16*F16</f>
        <v>0</v>
      </c>
      <c r="O16" s="162">
        <f>I16*E16</f>
        <v>273</v>
      </c>
      <c r="P16" s="162">
        <f t="shared" si="2"/>
        <v>0</v>
      </c>
      <c r="Q16" s="164">
        <f t="shared" si="3"/>
        <v>1512</v>
      </c>
      <c r="S16" s="162">
        <f>'Proposed Rates'!B11</f>
        <v>23</v>
      </c>
      <c r="T16" s="164">
        <f t="shared" si="4"/>
        <v>1656</v>
      </c>
    </row>
    <row r="17" spans="2:20">
      <c r="C17" s="164"/>
      <c r="D17" s="164"/>
      <c r="E17" s="203"/>
      <c r="F17" s="203"/>
      <c r="G17" s="164"/>
      <c r="H17" s="162"/>
      <c r="I17" s="164"/>
      <c r="J17" s="164"/>
      <c r="K17" s="164"/>
      <c r="L17" s="164"/>
      <c r="M17" s="164"/>
      <c r="N17" s="164"/>
      <c r="O17" s="162"/>
      <c r="P17" s="162"/>
      <c r="Q17" s="164"/>
      <c r="S17" s="162"/>
      <c r="T17" s="164">
        <f t="shared" si="4"/>
        <v>0</v>
      </c>
    </row>
    <row r="18" spans="2:20" hidden="1">
      <c r="C18" s="164"/>
      <c r="D18" s="164"/>
      <c r="E18" s="162"/>
      <c r="F18" s="162"/>
      <c r="G18" s="164"/>
      <c r="H18" s="164"/>
      <c r="I18" s="164"/>
      <c r="J18" s="164"/>
      <c r="K18" s="164"/>
      <c r="L18" s="164"/>
      <c r="M18" s="164"/>
      <c r="N18" s="164"/>
      <c r="O18" s="162"/>
      <c r="P18" s="162"/>
      <c r="Q18" s="164"/>
      <c r="T18" s="164">
        <f t="shared" si="4"/>
        <v>0</v>
      </c>
    </row>
    <row r="19" spans="2:20" hidden="1">
      <c r="C19" s="164"/>
      <c r="D19" s="164"/>
      <c r="E19" s="162"/>
      <c r="F19" s="162"/>
      <c r="G19" s="164"/>
      <c r="H19" s="164"/>
      <c r="I19" s="164"/>
      <c r="J19" s="164"/>
      <c r="K19" s="164"/>
      <c r="L19" s="164"/>
      <c r="M19" s="164"/>
      <c r="N19" s="164"/>
      <c r="O19" s="162"/>
      <c r="P19" s="162"/>
      <c r="Q19" s="164"/>
      <c r="S19" s="162"/>
      <c r="T19" s="164">
        <f t="shared" si="4"/>
        <v>0</v>
      </c>
    </row>
    <row r="20" spans="2:20" hidden="1">
      <c r="C20" s="164"/>
      <c r="D20" s="164"/>
      <c r="E20" s="162"/>
      <c r="F20" s="162"/>
      <c r="G20" s="164"/>
      <c r="H20" s="164"/>
      <c r="I20" s="164"/>
      <c r="J20" s="164"/>
      <c r="K20" s="164"/>
      <c r="L20" s="164"/>
      <c r="M20" s="164"/>
      <c r="N20" s="164"/>
      <c r="O20" s="162"/>
      <c r="P20" s="162"/>
      <c r="Q20" s="164"/>
      <c r="S20" s="162"/>
      <c r="T20" s="164">
        <f t="shared" si="4"/>
        <v>0</v>
      </c>
    </row>
    <row r="21" spans="2:20" hidden="1">
      <c r="C21" s="164"/>
      <c r="D21" s="164"/>
      <c r="E21" s="164"/>
      <c r="F21" s="164"/>
      <c r="G21" s="164"/>
      <c r="H21" s="164"/>
      <c r="I21" s="164"/>
      <c r="J21" s="164"/>
      <c r="K21" s="164"/>
      <c r="L21" s="164"/>
      <c r="M21" s="164"/>
      <c r="N21" s="164"/>
      <c r="O21" s="162"/>
      <c r="P21" s="162"/>
      <c r="Q21" s="164"/>
      <c r="T21" s="164">
        <f t="shared" si="4"/>
        <v>0</v>
      </c>
    </row>
    <row r="22" spans="2:20" hidden="1">
      <c r="C22" s="164"/>
      <c r="D22" s="164"/>
      <c r="E22" s="164"/>
      <c r="F22" s="164"/>
      <c r="G22" s="164"/>
      <c r="H22" s="164"/>
      <c r="I22" s="164"/>
      <c r="J22" s="164"/>
      <c r="K22" s="164"/>
      <c r="L22" s="164"/>
      <c r="M22" s="164"/>
      <c r="N22" s="164"/>
      <c r="O22" s="162"/>
      <c r="P22" s="162"/>
      <c r="Q22" s="164"/>
      <c r="T22" s="164">
        <f t="shared" si="4"/>
        <v>0</v>
      </c>
    </row>
    <row r="23" spans="2:20" hidden="1">
      <c r="C23" s="164"/>
      <c r="D23" s="164"/>
      <c r="E23" s="164"/>
      <c r="F23" s="164"/>
      <c r="G23" s="164"/>
      <c r="H23" s="164"/>
      <c r="I23" s="164"/>
      <c r="J23" s="164"/>
      <c r="K23" s="164"/>
      <c r="L23" s="164"/>
      <c r="M23" s="164"/>
      <c r="N23" s="164"/>
      <c r="O23" s="162"/>
      <c r="P23" s="162"/>
      <c r="Q23" s="164"/>
      <c r="T23" s="164">
        <f t="shared" si="4"/>
        <v>0</v>
      </c>
    </row>
    <row r="24" spans="2:20" hidden="1">
      <c r="C24" s="164"/>
      <c r="D24" s="164"/>
      <c r="E24" s="164"/>
      <c r="F24" s="164"/>
      <c r="G24" s="164"/>
      <c r="H24" s="164"/>
      <c r="I24" s="164"/>
      <c r="J24" s="164"/>
      <c r="K24" s="164"/>
      <c r="L24" s="164"/>
      <c r="M24" s="164"/>
      <c r="N24" s="164"/>
      <c r="O24" s="162"/>
      <c r="P24" s="162"/>
      <c r="Q24" s="164"/>
      <c r="T24" s="164">
        <f t="shared" si="4"/>
        <v>0</v>
      </c>
    </row>
    <row r="25" spans="2:20" hidden="1">
      <c r="C25" s="164"/>
      <c r="D25" s="164"/>
      <c r="E25" s="164"/>
      <c r="F25" s="164"/>
      <c r="G25" s="164"/>
      <c r="H25" s="164"/>
      <c r="I25" s="164"/>
      <c r="J25" s="164"/>
      <c r="K25" s="164"/>
      <c r="L25" s="164"/>
      <c r="M25" s="164"/>
      <c r="N25" s="164"/>
      <c r="O25" s="162"/>
      <c r="P25" s="162"/>
      <c r="Q25" s="164"/>
      <c r="T25" s="164">
        <f t="shared" si="4"/>
        <v>0</v>
      </c>
    </row>
    <row r="26" spans="2:20" hidden="1">
      <c r="C26" s="164"/>
      <c r="D26" s="164"/>
      <c r="E26" s="164"/>
      <c r="F26" s="164"/>
      <c r="G26" s="164"/>
      <c r="H26" s="164"/>
      <c r="I26" s="164"/>
      <c r="J26" s="164"/>
      <c r="K26" s="164"/>
      <c r="L26" s="164"/>
      <c r="M26" s="164"/>
      <c r="N26" s="164"/>
      <c r="O26" s="162"/>
      <c r="P26" s="162"/>
      <c r="Q26" s="164"/>
      <c r="T26" s="164">
        <f t="shared" si="4"/>
        <v>0</v>
      </c>
    </row>
    <row r="27" spans="2:20" hidden="1">
      <c r="C27" s="164"/>
      <c r="D27" s="164"/>
      <c r="E27" s="164"/>
      <c r="F27" s="164"/>
      <c r="G27" s="164"/>
      <c r="H27" s="164"/>
      <c r="I27" s="164"/>
      <c r="J27" s="164"/>
      <c r="K27" s="164"/>
      <c r="L27" s="164"/>
      <c r="M27" s="164"/>
      <c r="N27" s="164"/>
      <c r="O27" s="162"/>
      <c r="P27" s="162"/>
      <c r="Q27" s="164"/>
      <c r="T27" s="164">
        <f t="shared" si="4"/>
        <v>0</v>
      </c>
    </row>
    <row r="28" spans="2:20" hidden="1">
      <c r="C28" s="164"/>
      <c r="D28" s="164"/>
      <c r="E28" s="164"/>
      <c r="F28" s="164"/>
      <c r="G28" s="164"/>
      <c r="H28" s="164"/>
      <c r="I28" s="164"/>
      <c r="J28" s="164"/>
      <c r="K28" s="164"/>
      <c r="L28" s="164"/>
      <c r="M28" s="164"/>
      <c r="N28" s="164"/>
      <c r="O28" s="162"/>
      <c r="P28" s="162"/>
      <c r="Q28" s="164"/>
      <c r="T28" s="164">
        <f t="shared" si="4"/>
        <v>0</v>
      </c>
    </row>
    <row r="29" spans="2:20" hidden="1">
      <c r="C29" s="164"/>
      <c r="D29" s="164"/>
      <c r="E29" s="164"/>
      <c r="F29" s="164"/>
      <c r="G29" s="164"/>
      <c r="H29" s="164"/>
      <c r="I29" s="164"/>
      <c r="J29" s="164"/>
      <c r="K29" s="164"/>
      <c r="L29" s="164"/>
      <c r="M29" s="164"/>
      <c r="N29" s="164"/>
      <c r="Q29" s="164"/>
      <c r="T29" s="164">
        <f t="shared" si="4"/>
        <v>0</v>
      </c>
    </row>
    <row r="30" spans="2:20">
      <c r="B30" s="169" t="s">
        <v>486</v>
      </c>
      <c r="C30" s="170"/>
      <c r="D30" s="170"/>
      <c r="E30" s="170"/>
      <c r="F30" s="170"/>
      <c r="G30" s="531">
        <f>'B&amp;A Surcharges'!U15</f>
        <v>53.372008890612562</v>
      </c>
      <c r="L30" s="170"/>
      <c r="M30" s="170"/>
      <c r="N30" s="170"/>
      <c r="O30" s="170"/>
      <c r="P30" s="170"/>
      <c r="Q30" s="164">
        <f>VLOOKUP(B7,'B&amp;A Surcharges'!A:U,21,FALSE)</f>
        <v>53.372008890612562</v>
      </c>
      <c r="T30" s="164">
        <f>Q30</f>
        <v>53.372008890612562</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3188.9799999999996</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17.700000000000003</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-41.18</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96.595976774193531</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769.1099999999999</v>
      </c>
      <c r="H42" s="164"/>
      <c r="I42" s="164"/>
      <c r="J42" s="164"/>
      <c r="K42" s="164"/>
      <c r="L42" s="164">
        <f>VLOOKUP(B7,'Envir FGD adj'!A:F,6,FALSE)</f>
        <v>-495.64121820363653</v>
      </c>
      <c r="M42" s="164"/>
      <c r="N42" s="164"/>
      <c r="Q42" s="164">
        <f t="shared" ref="Q42" si="6">L42+M42+N42+O42</f>
        <v>-495.64121820363653</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549.41137677419351</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771.42</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0</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-1244.0899999999999</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16737.518022438999</v>
      </c>
      <c r="L53" s="168">
        <f t="shared" si="7"/>
        <v>-495.64121820363653</v>
      </c>
      <c r="M53" s="168">
        <f t="shared" si="7"/>
        <v>0</v>
      </c>
      <c r="N53" s="168">
        <f t="shared" si="7"/>
        <v>852.57287722612227</v>
      </c>
      <c r="O53" s="539">
        <f t="shared" si="7"/>
        <v>2771.0268233898305</v>
      </c>
      <c r="P53" s="539">
        <f t="shared" si="7"/>
        <v>0</v>
      </c>
      <c r="Q53" s="168">
        <f t="shared" si="7"/>
        <v>15757.52915130293</v>
      </c>
      <c r="T53" s="168">
        <f>SUM(T13:T50)</f>
        <v>19208.841553735198</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6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T57"/>
  <sheetViews>
    <sheetView zoomScale="115" zoomScaleNormal="115" workbookViewId="0">
      <pane xSplit="2" ySplit="12" topLeftCell="C14"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71093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199</v>
      </c>
    </row>
    <row r="7" spans="2:20">
      <c r="B7" s="150" t="s">
        <v>202</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200</v>
      </c>
      <c r="C13" s="164">
        <f>'Bill Units'!L18</f>
        <v>615706</v>
      </c>
      <c r="D13" s="164">
        <f>'Bill Units'!M18</f>
        <v>0</v>
      </c>
      <c r="E13" s="203">
        <f>'Rate Input'!L17</f>
        <v>0.20846000000000001</v>
      </c>
      <c r="F13" s="203">
        <f>'Rate Input'!M17</f>
        <v>0</v>
      </c>
      <c r="G13" s="164">
        <f>(C13*E13)+(D13*F13)</f>
        <v>128350.07276000001</v>
      </c>
      <c r="H13" s="164">
        <f>VLOOKUP($B$7,WNLA!A:B,2,FALSE)*(SUM(C13:D13)/SUM(C13:D15))</f>
        <v>0</v>
      </c>
      <c r="I13" s="162">
        <f>VLOOKUP($B$7,'Monthly # of Customers'!A:R,18,FALSE)*SUM(C13:D13)</f>
        <v>2576.1757322175731</v>
      </c>
      <c r="J13" s="162"/>
      <c r="K13" s="164">
        <f>C13+D13+H13+I13+J13</f>
        <v>618282.17573221761</v>
      </c>
      <c r="L13" s="164"/>
      <c r="M13" s="164"/>
      <c r="N13" s="164">
        <f>H13*F13</f>
        <v>0</v>
      </c>
      <c r="O13" s="162">
        <f>I13*E13</f>
        <v>537.02959313807526</v>
      </c>
      <c r="P13" s="162">
        <f>J13*F13</f>
        <v>0</v>
      </c>
      <c r="Q13" s="164">
        <f>G13+L13+M13+N13+O13+P13</f>
        <v>128887.10235313809</v>
      </c>
      <c r="S13" s="203">
        <f>'Proposed Rates'!C16</f>
        <v>0.19545000000000001</v>
      </c>
      <c r="T13" s="164">
        <f>S13*K13</f>
        <v>120843.25124686194</v>
      </c>
    </row>
    <row r="14" spans="2:20">
      <c r="B14" s="538" t="s">
        <v>201</v>
      </c>
      <c r="C14" s="164">
        <f>'Bill Units'!L19</f>
        <v>737161</v>
      </c>
      <c r="D14" s="164">
        <f>'Bill Units'!M19</f>
        <v>0</v>
      </c>
      <c r="E14" s="203">
        <f>'Rate Input'!L18</f>
        <v>0.18171999999999999</v>
      </c>
      <c r="F14" s="203">
        <f>'Rate Input'!M18</f>
        <v>0</v>
      </c>
      <c r="G14" s="164">
        <f t="shared" ref="G14:G15" si="0">(C14*E14)+(D14*F14)</f>
        <v>133956.89692</v>
      </c>
      <c r="H14" s="164">
        <f>VLOOKUP($B$7,WNLA!A:B,2,FALSE)*(SUM(C14:D14)/SUM(C13:D15))</f>
        <v>0</v>
      </c>
      <c r="I14" s="164">
        <f>VLOOKUP($B$7,'Monthly # of Customers'!A:R,18,FALSE)*SUM(C14:D14)</f>
        <v>3084.3556485355648</v>
      </c>
      <c r="J14" s="164"/>
      <c r="K14" s="164">
        <f t="shared" ref="K14:K15" si="1">C14+D14+H14+I14+J14</f>
        <v>740245.35564853554</v>
      </c>
      <c r="L14" s="164"/>
      <c r="M14" s="164"/>
      <c r="N14" s="164">
        <f t="shared" ref="N14:N15" si="2">H14*F14</f>
        <v>0</v>
      </c>
      <c r="O14" s="162">
        <f>I14*E14</f>
        <v>560.48910845188277</v>
      </c>
      <c r="P14" s="162">
        <f t="shared" ref="P14:P15" si="3">J14*F14</f>
        <v>0</v>
      </c>
      <c r="Q14" s="164">
        <f t="shared" ref="Q14:Q15" si="4">G14+L14+M14+N14+O14+P14</f>
        <v>134517.38602845187</v>
      </c>
      <c r="S14" s="203">
        <f>'Proposed Rates'!C17</f>
        <v>0.13783999999999999</v>
      </c>
      <c r="T14" s="164">
        <f t="shared" ref="T14:T29" si="5">S14*K14</f>
        <v>102035.41982259414</v>
      </c>
    </row>
    <row r="15" spans="2:20">
      <c r="B15" s="538" t="s">
        <v>79</v>
      </c>
      <c r="C15" s="164">
        <f>'Bill Units'!L20</f>
        <v>6609135</v>
      </c>
      <c r="D15" s="164">
        <f>'Bill Units'!M20</f>
        <v>0</v>
      </c>
      <c r="E15" s="203">
        <f>'Rate Input'!L19</f>
        <v>0.11279</v>
      </c>
      <c r="F15" s="203">
        <f>'Rate Input'!M19</f>
        <v>0</v>
      </c>
      <c r="G15" s="164">
        <f t="shared" si="0"/>
        <v>745444.33664999995</v>
      </c>
      <c r="H15" s="164">
        <f>VLOOKUP($B$7,WNLA!A:B,2,FALSE)*(SUM(C15:D15)/SUM(C13:D15))</f>
        <v>0</v>
      </c>
      <c r="I15" s="164">
        <f>VLOOKUP($B$7,'Monthly # of Customers'!A:R,18,FALSE)*SUM(C15:D15)</f>
        <v>27653.284518828448</v>
      </c>
      <c r="J15" s="162"/>
      <c r="K15" s="164">
        <f t="shared" si="1"/>
        <v>6636788.2845188286</v>
      </c>
      <c r="L15" s="164"/>
      <c r="M15" s="164"/>
      <c r="N15" s="164">
        <f t="shared" si="2"/>
        <v>0</v>
      </c>
      <c r="O15" s="162">
        <f>I15*E15</f>
        <v>3119.0139608786608</v>
      </c>
      <c r="P15" s="162">
        <f t="shared" si="3"/>
        <v>0</v>
      </c>
      <c r="Q15" s="164">
        <f t="shared" si="4"/>
        <v>748563.35061087867</v>
      </c>
      <c r="S15" s="203">
        <f>'Proposed Rates'!C18</f>
        <v>0.12349</v>
      </c>
      <c r="T15" s="164">
        <f t="shared" si="5"/>
        <v>819576.98525523022</v>
      </c>
    </row>
    <row r="16" spans="2:20">
      <c r="B16" s="538"/>
      <c r="C16" s="164"/>
      <c r="D16" s="164"/>
      <c r="E16" s="203"/>
      <c r="F16" s="203"/>
      <c r="G16" s="164"/>
      <c r="H16" s="164"/>
      <c r="I16" s="164"/>
      <c r="J16" s="164"/>
      <c r="K16" s="164"/>
      <c r="L16" s="164"/>
      <c r="M16" s="164"/>
      <c r="N16" s="164"/>
      <c r="O16" s="162"/>
      <c r="P16" s="162"/>
      <c r="Q16" s="164"/>
      <c r="S16" s="162"/>
      <c r="T16" s="164">
        <f t="shared" si="5"/>
        <v>0</v>
      </c>
    </row>
    <row r="17" spans="2:20">
      <c r="B17" s="150" t="s">
        <v>12</v>
      </c>
      <c r="C17" s="164">
        <f>'Bill Units'!L22</f>
        <v>5975</v>
      </c>
      <c r="D17" s="164">
        <f>'Bill Units'!M22</f>
        <v>0</v>
      </c>
      <c r="E17" s="162">
        <f>'Rate Input'!L21</f>
        <v>25</v>
      </c>
      <c r="F17" s="162">
        <f>'Rate Input'!M21</f>
        <v>0</v>
      </c>
      <c r="G17" s="164">
        <f>(C17*E17)+(D17*F17)</f>
        <v>149375</v>
      </c>
      <c r="H17" s="164"/>
      <c r="I17" s="164">
        <f>VLOOKUP($B$7,'Monthly # of Customers'!A:R,18,FALSE)*SUM(C17:D17)</f>
        <v>24.999999999999996</v>
      </c>
      <c r="J17" s="164"/>
      <c r="K17" s="164">
        <f>C17+D17+H17+I17+J17</f>
        <v>6000</v>
      </c>
      <c r="L17" s="164"/>
      <c r="M17" s="164"/>
      <c r="N17" s="164">
        <f>H17*F17</f>
        <v>0</v>
      </c>
      <c r="O17" s="162">
        <f>I17*E17</f>
        <v>624.99999999999989</v>
      </c>
      <c r="P17" s="162">
        <f>J17*F17</f>
        <v>0</v>
      </c>
      <c r="Q17" s="164">
        <f>G17+L17+M17+N17+O17+P17</f>
        <v>150000</v>
      </c>
      <c r="S17" s="162">
        <f>'Proposed Rates'!B15</f>
        <v>28</v>
      </c>
      <c r="T17" s="164">
        <f t="shared" si="5"/>
        <v>168000</v>
      </c>
    </row>
    <row r="18" spans="2:20">
      <c r="S18" s="162"/>
      <c r="T18" s="164">
        <f t="shared" si="5"/>
        <v>0</v>
      </c>
    </row>
    <row r="19" spans="2:20" hidden="1">
      <c r="C19" s="164"/>
      <c r="D19" s="164"/>
      <c r="E19" s="162"/>
      <c r="F19" s="162"/>
      <c r="G19" s="164"/>
      <c r="H19" s="164"/>
      <c r="I19" s="164"/>
      <c r="J19" s="164"/>
      <c r="K19" s="164"/>
      <c r="L19" s="164"/>
      <c r="M19" s="164"/>
      <c r="N19" s="164"/>
      <c r="O19" s="162"/>
      <c r="P19" s="162"/>
      <c r="Q19" s="164"/>
      <c r="S19" s="162"/>
      <c r="T19" s="164">
        <f t="shared" si="5"/>
        <v>0</v>
      </c>
    </row>
    <row r="20" spans="2:20" hidden="1">
      <c r="C20" s="164"/>
      <c r="D20" s="164"/>
      <c r="E20" s="162"/>
      <c r="F20" s="162"/>
      <c r="G20" s="164"/>
      <c r="H20" s="164"/>
      <c r="I20" s="164"/>
      <c r="J20" s="164"/>
      <c r="K20" s="164"/>
      <c r="L20" s="164"/>
      <c r="M20" s="164"/>
      <c r="N20" s="164"/>
      <c r="O20" s="162"/>
      <c r="P20" s="162"/>
      <c r="Q20" s="164"/>
      <c r="S20" s="162"/>
      <c r="T20" s="164">
        <f t="shared" si="5"/>
        <v>0</v>
      </c>
    </row>
    <row r="21" spans="2:20" hidden="1">
      <c r="C21" s="164"/>
      <c r="D21" s="164"/>
      <c r="E21" s="164"/>
      <c r="F21" s="164"/>
      <c r="G21" s="164"/>
      <c r="H21" s="164"/>
      <c r="I21" s="164"/>
      <c r="J21" s="164"/>
      <c r="K21" s="164"/>
      <c r="L21" s="164"/>
      <c r="M21" s="164"/>
      <c r="N21" s="164"/>
      <c r="O21" s="162"/>
      <c r="P21" s="162"/>
      <c r="Q21" s="164"/>
      <c r="T21" s="164">
        <f t="shared" si="5"/>
        <v>0</v>
      </c>
    </row>
    <row r="22" spans="2:20" hidden="1">
      <c r="C22" s="164"/>
      <c r="D22" s="164"/>
      <c r="E22" s="164"/>
      <c r="F22" s="164"/>
      <c r="G22" s="164"/>
      <c r="H22" s="164"/>
      <c r="I22" s="164"/>
      <c r="J22" s="164"/>
      <c r="K22" s="164"/>
      <c r="L22" s="164"/>
      <c r="M22" s="164"/>
      <c r="N22" s="164"/>
      <c r="O22" s="162"/>
      <c r="P22" s="162"/>
      <c r="Q22" s="164"/>
      <c r="T22" s="164">
        <f t="shared" si="5"/>
        <v>0</v>
      </c>
    </row>
    <row r="23" spans="2:20" hidden="1">
      <c r="C23" s="164"/>
      <c r="D23" s="164"/>
      <c r="E23" s="164"/>
      <c r="F23" s="164"/>
      <c r="G23" s="164"/>
      <c r="H23" s="164"/>
      <c r="I23" s="164"/>
      <c r="J23" s="164"/>
      <c r="K23" s="164"/>
      <c r="L23" s="164"/>
      <c r="M23" s="164"/>
      <c r="N23" s="164"/>
      <c r="O23" s="162"/>
      <c r="P23" s="162"/>
      <c r="Q23" s="164"/>
      <c r="T23" s="164">
        <f t="shared" si="5"/>
        <v>0</v>
      </c>
    </row>
    <row r="24" spans="2:20" hidden="1">
      <c r="C24" s="164"/>
      <c r="D24" s="164"/>
      <c r="E24" s="164"/>
      <c r="F24" s="164"/>
      <c r="G24" s="164"/>
      <c r="H24" s="164"/>
      <c r="I24" s="164"/>
      <c r="J24" s="164"/>
      <c r="K24" s="164"/>
      <c r="L24" s="164"/>
      <c r="M24" s="164"/>
      <c r="N24" s="164"/>
      <c r="O24" s="162"/>
      <c r="P24" s="162"/>
      <c r="Q24" s="164"/>
      <c r="T24" s="164">
        <f t="shared" si="5"/>
        <v>0</v>
      </c>
    </row>
    <row r="25" spans="2:20" hidden="1">
      <c r="C25" s="164"/>
      <c r="D25" s="164"/>
      <c r="E25" s="164"/>
      <c r="F25" s="164"/>
      <c r="G25" s="164"/>
      <c r="H25" s="164"/>
      <c r="I25" s="164"/>
      <c r="J25" s="164"/>
      <c r="K25" s="164"/>
      <c r="L25" s="164"/>
      <c r="M25" s="164"/>
      <c r="N25" s="164"/>
      <c r="O25" s="162"/>
      <c r="P25" s="162"/>
      <c r="Q25" s="164"/>
      <c r="T25" s="164">
        <f t="shared" si="5"/>
        <v>0</v>
      </c>
    </row>
    <row r="26" spans="2:20" hidden="1">
      <c r="C26" s="164"/>
      <c r="D26" s="164"/>
      <c r="E26" s="164"/>
      <c r="F26" s="164"/>
      <c r="G26" s="164"/>
      <c r="H26" s="164"/>
      <c r="I26" s="164"/>
      <c r="J26" s="164"/>
      <c r="K26" s="164"/>
      <c r="L26" s="164"/>
      <c r="M26" s="164"/>
      <c r="N26" s="164"/>
      <c r="O26" s="162"/>
      <c r="P26" s="162"/>
      <c r="Q26" s="164"/>
      <c r="T26" s="164">
        <f t="shared" si="5"/>
        <v>0</v>
      </c>
    </row>
    <row r="27" spans="2:20" hidden="1">
      <c r="C27" s="164"/>
      <c r="D27" s="164"/>
      <c r="E27" s="164"/>
      <c r="F27" s="164"/>
      <c r="G27" s="164"/>
      <c r="H27" s="164"/>
      <c r="I27" s="164"/>
      <c r="J27" s="164"/>
      <c r="K27" s="164"/>
      <c r="L27" s="164"/>
      <c r="M27" s="164"/>
      <c r="N27" s="164"/>
      <c r="O27" s="162"/>
      <c r="P27" s="162"/>
      <c r="Q27" s="164"/>
      <c r="T27" s="164">
        <f t="shared" si="5"/>
        <v>0</v>
      </c>
    </row>
    <row r="28" spans="2:20" hidden="1">
      <c r="C28" s="164"/>
      <c r="D28" s="164"/>
      <c r="E28" s="164"/>
      <c r="F28" s="164"/>
      <c r="G28" s="164"/>
      <c r="H28" s="164"/>
      <c r="I28" s="164"/>
      <c r="J28" s="164"/>
      <c r="K28" s="164"/>
      <c r="L28" s="164"/>
      <c r="M28" s="164"/>
      <c r="N28" s="164"/>
      <c r="O28" s="162"/>
      <c r="P28" s="162"/>
      <c r="Q28" s="164"/>
      <c r="T28" s="164">
        <f t="shared" si="5"/>
        <v>0</v>
      </c>
    </row>
    <row r="29" spans="2:20" hidden="1">
      <c r="C29" s="164"/>
      <c r="D29" s="164"/>
      <c r="E29" s="164"/>
      <c r="F29" s="164"/>
      <c r="G29" s="164"/>
      <c r="H29" s="164"/>
      <c r="I29" s="164"/>
      <c r="J29" s="164"/>
      <c r="K29" s="164"/>
      <c r="L29" s="164"/>
      <c r="M29" s="164"/>
      <c r="N29" s="164"/>
      <c r="Q29" s="164"/>
      <c r="T29" s="164">
        <f t="shared" si="5"/>
        <v>0</v>
      </c>
    </row>
    <row r="30" spans="2:20">
      <c r="B30" s="169" t="s">
        <v>486</v>
      </c>
      <c r="C30" s="170"/>
      <c r="D30" s="170"/>
      <c r="E30" s="170"/>
      <c r="F30" s="170"/>
      <c r="G30" s="531">
        <f>'B&amp;A Surcharges'!U19</f>
        <v>-3026.0611055097816</v>
      </c>
      <c r="L30" s="170"/>
      <c r="M30" s="170"/>
      <c r="N30" s="170"/>
      <c r="O30" s="170"/>
      <c r="P30" s="170"/>
      <c r="Q30" s="164">
        <f>VLOOKUP(B7,'B&amp;A Surcharges'!A:U,21,FALSE)</f>
        <v>-3026.0611055097816</v>
      </c>
      <c r="T30" s="164">
        <f>Q30</f>
        <v>-3026.0611055097816</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206192.06999999998</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-2078.4</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9521.1311264516116</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75056.05</v>
      </c>
      <c r="H42" s="164"/>
      <c r="I42" s="164"/>
      <c r="J42" s="164"/>
      <c r="K42" s="164"/>
      <c r="L42" s="164">
        <f>VLOOKUP(B7,'Envir FGD adj'!A:F,6,FALSE)</f>
        <v>-48368.727562446278</v>
      </c>
      <c r="M42" s="164"/>
      <c r="N42" s="164"/>
      <c r="Q42" s="164">
        <f t="shared" ref="Q42" si="6">L42+M42+N42+O42</f>
        <v>-48368.727562446278</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35815.637925161289</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77296.040000000008</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5975</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-53417.359999999993</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1508460.4142761033</v>
      </c>
      <c r="L53" s="168">
        <f t="shared" si="7"/>
        <v>-48368.727562446278</v>
      </c>
      <c r="M53" s="168">
        <f t="shared" si="7"/>
        <v>0</v>
      </c>
      <c r="N53" s="168">
        <f t="shared" si="7"/>
        <v>0</v>
      </c>
      <c r="O53" s="539">
        <f t="shared" si="7"/>
        <v>4841.5326624686186</v>
      </c>
      <c r="P53" s="539">
        <f t="shared" si="7"/>
        <v>0</v>
      </c>
      <c r="Q53" s="168">
        <f t="shared" si="7"/>
        <v>1110573.0503245124</v>
      </c>
      <c r="T53" s="168">
        <f>SUM(T13:T50)</f>
        <v>1207429.5952191765</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EC6E-7F74-4344-BF75-0FE6F8E0848C}">
  <sheetPr>
    <pageSetUpPr fitToPage="1"/>
  </sheetPr>
  <dimension ref="A1:M35"/>
  <sheetViews>
    <sheetView zoomScale="140" zoomScaleNormal="140" workbookViewId="0">
      <selection activeCell="O6" sqref="O6"/>
    </sheetView>
  </sheetViews>
  <sheetFormatPr defaultColWidth="9.140625" defaultRowHeight="12.75" outlineLevelCol="1"/>
  <cols>
    <col min="1" max="1" width="1.7109375" style="278" customWidth="1"/>
    <col min="2" max="2" width="33.7109375" style="278" customWidth="1"/>
    <col min="3" max="3" width="14.28515625" style="278" customWidth="1" outlineLevel="1"/>
    <col min="4" max="4" width="13.42578125" style="278" customWidth="1" outlineLevel="1"/>
    <col min="5" max="5" width="8.7109375" style="278" bestFit="1" customWidth="1"/>
    <col min="6" max="6" width="9.7109375" style="278" customWidth="1" outlineLevel="1"/>
    <col min="7" max="7" width="11.42578125" style="278" customWidth="1" outlineLevel="1"/>
    <col min="8" max="9" width="9.140625" style="278" customWidth="1" outlineLevel="1"/>
    <col min="10" max="10" width="12.7109375" style="278" bestFit="1" customWidth="1"/>
    <col min="11" max="11" width="9.140625" style="278"/>
    <col min="12" max="12" width="9.5703125" style="278" bestFit="1" customWidth="1"/>
    <col min="13" max="16384" width="9.140625" style="278"/>
  </cols>
  <sheetData>
    <row r="1" spans="1:13" ht="13.5" thickBot="1">
      <c r="B1" s="568"/>
      <c r="C1" s="568"/>
      <c r="D1" s="568"/>
      <c r="E1" s="568"/>
      <c r="F1" s="568"/>
      <c r="G1" s="568"/>
      <c r="H1" s="568"/>
      <c r="I1" s="322"/>
      <c r="L1" s="314"/>
      <c r="M1" s="314"/>
    </row>
    <row r="2" spans="1:13" ht="12.75" customHeight="1">
      <c r="B2" s="569" t="s">
        <v>855</v>
      </c>
      <c r="C2" s="376" t="s">
        <v>102</v>
      </c>
      <c r="D2" s="376" t="s">
        <v>102</v>
      </c>
      <c r="E2" s="379" t="s">
        <v>113</v>
      </c>
      <c r="F2" s="380"/>
      <c r="G2" s="380" t="s">
        <v>113</v>
      </c>
      <c r="H2" s="381" t="s">
        <v>886</v>
      </c>
      <c r="I2" s="381" t="s">
        <v>170</v>
      </c>
      <c r="J2" s="380" t="s">
        <v>879</v>
      </c>
      <c r="K2" s="380" t="s">
        <v>879</v>
      </c>
      <c r="L2" s="380" t="s">
        <v>101</v>
      </c>
      <c r="M2" s="382" t="s">
        <v>101</v>
      </c>
    </row>
    <row r="3" spans="1:13">
      <c r="B3" s="570"/>
      <c r="C3" s="377" t="s">
        <v>123</v>
      </c>
      <c r="D3" s="377" t="s">
        <v>123</v>
      </c>
      <c r="E3" s="383" t="s">
        <v>877</v>
      </c>
      <c r="F3" s="384" t="s">
        <v>17</v>
      </c>
      <c r="G3" s="384" t="s">
        <v>134</v>
      </c>
      <c r="H3" s="385" t="s">
        <v>113</v>
      </c>
      <c r="I3" s="385" t="s">
        <v>113</v>
      </c>
      <c r="J3" s="384" t="s">
        <v>880</v>
      </c>
      <c r="K3" s="384" t="s">
        <v>77</v>
      </c>
      <c r="L3" s="384" t="s">
        <v>881</v>
      </c>
      <c r="M3" s="386" t="s">
        <v>882</v>
      </c>
    </row>
    <row r="4" spans="1:13">
      <c r="B4" s="571"/>
      <c r="C4" s="378" t="s">
        <v>69</v>
      </c>
      <c r="D4" s="378" t="s">
        <v>883</v>
      </c>
      <c r="E4" s="387" t="s">
        <v>878</v>
      </c>
      <c r="F4" s="388" t="s">
        <v>884</v>
      </c>
      <c r="G4" s="388" t="s">
        <v>885</v>
      </c>
      <c r="H4" s="389" t="s">
        <v>887</v>
      </c>
      <c r="I4" s="389" t="s">
        <v>6</v>
      </c>
      <c r="J4" s="388" t="s">
        <v>173</v>
      </c>
      <c r="K4" s="388" t="s">
        <v>173</v>
      </c>
      <c r="L4" s="388" t="s">
        <v>173</v>
      </c>
      <c r="M4" s="390" t="s">
        <v>173</v>
      </c>
    </row>
    <row r="5" spans="1:13" ht="13.5" thickBot="1">
      <c r="B5" s="368" t="s">
        <v>856</v>
      </c>
      <c r="C5" s="365"/>
      <c r="D5" s="365"/>
      <c r="E5" s="366"/>
      <c r="F5" s="365"/>
      <c r="G5" s="366"/>
      <c r="H5" s="367"/>
      <c r="I5" s="367"/>
      <c r="J5" s="366"/>
      <c r="K5" s="366"/>
      <c r="L5" s="366"/>
      <c r="M5" s="369"/>
    </row>
    <row r="6" spans="1:13">
      <c r="A6" s="320"/>
      <c r="B6" s="286" t="s">
        <v>856</v>
      </c>
      <c r="C6" s="315">
        <f>'Fuel Summary'!K11</f>
        <v>1945556316.9380388</v>
      </c>
      <c r="D6" s="315">
        <f>'Monthly # of Customers'!P18/12</f>
        <v>131610</v>
      </c>
      <c r="E6" s="315">
        <f>C6/D6</f>
        <v>14782.739282258482</v>
      </c>
      <c r="F6" s="316"/>
      <c r="G6" s="317"/>
      <c r="H6" s="313">
        <f>'Revenue Summary'!B10/D6/12</f>
        <v>190.65290705091061</v>
      </c>
      <c r="I6" s="313">
        <f>'Revenue Summary'!AA10/D6/12</f>
        <v>225.4778975019548</v>
      </c>
      <c r="J6" s="403">
        <f>'Revenue Summary'!Z10</f>
        <v>54999803.919143111</v>
      </c>
      <c r="K6" s="375">
        <f>J6/(H6*D6*12)</f>
        <v>0.18266173324986212</v>
      </c>
      <c r="L6" s="403">
        <f>I6-H6</f>
        <v>34.824990451044187</v>
      </c>
      <c r="M6" s="370">
        <f>L6/H6</f>
        <v>0.1826617332498621</v>
      </c>
    </row>
    <row r="7" spans="1:13">
      <c r="B7" s="326" t="s">
        <v>857</v>
      </c>
      <c r="C7" s="315">
        <f>'Fuel Summary'!K13</f>
        <v>2875876.8475030772</v>
      </c>
      <c r="D7" s="315">
        <f>'Monthly # of Customers'!P24/12</f>
        <v>144</v>
      </c>
      <c r="E7" s="315">
        <f>C7/D7</f>
        <v>19971.366996549146</v>
      </c>
      <c r="F7" s="316"/>
      <c r="G7" s="317"/>
      <c r="H7" s="313">
        <f>'Revenue Summary'!B11/D7/12</f>
        <v>252.29913244841191</v>
      </c>
      <c r="I7" s="313">
        <f>'Revenue Summary'!AA11/D7/12</f>
        <v>295.68035272889978</v>
      </c>
      <c r="J7" s="403">
        <f>'Revenue Summary'!Z11</f>
        <v>74962.748644682986</v>
      </c>
      <c r="K7" s="375">
        <f>J7/(H7*D7*12)</f>
        <v>0.17194359671196285</v>
      </c>
      <c r="L7" s="403">
        <f>I7-H7</f>
        <v>43.381220280487867</v>
      </c>
      <c r="M7" s="370">
        <f>L7/H7</f>
        <v>0.17194359671196296</v>
      </c>
    </row>
    <row r="8" spans="1:13">
      <c r="B8" s="326" t="s">
        <v>858</v>
      </c>
      <c r="C8" s="315">
        <f>'Fuel Summary'!K15</f>
        <v>141574.05875883187</v>
      </c>
      <c r="D8" s="315">
        <f>'Monthly # of Customers'!P27/12</f>
        <v>6</v>
      </c>
      <c r="E8" s="315">
        <f>C8/D8</f>
        <v>23595.676459805312</v>
      </c>
      <c r="F8" s="316"/>
      <c r="G8" s="317"/>
      <c r="H8" s="313">
        <f>'Revenue Summary'!B12/D8/12</f>
        <v>232.46552808943053</v>
      </c>
      <c r="I8" s="313">
        <f>'Revenue Summary'!AA12/D8/12</f>
        <v>280.50042256765647</v>
      </c>
      <c r="J8" s="403">
        <f>'Revenue Summary'!Z12</f>
        <v>3458.5124024322677</v>
      </c>
      <c r="K8" s="375">
        <f>J8/(H8*D8*12)</f>
        <v>0.2066323332883433</v>
      </c>
      <c r="L8" s="403">
        <f>I8-H8</f>
        <v>48.034894478225937</v>
      </c>
      <c r="M8" s="370">
        <f>L8/H8</f>
        <v>0.20663233328834327</v>
      </c>
    </row>
    <row r="9" spans="1:13">
      <c r="B9" s="326" t="s">
        <v>859</v>
      </c>
      <c r="C9" s="363" t="s">
        <v>571</v>
      </c>
      <c r="D9" s="363" t="s">
        <v>571</v>
      </c>
      <c r="E9" s="363" t="s">
        <v>571</v>
      </c>
      <c r="F9" s="363" t="s">
        <v>571</v>
      </c>
      <c r="G9" s="363" t="s">
        <v>571</v>
      </c>
      <c r="H9" s="363" t="s">
        <v>571</v>
      </c>
      <c r="I9" s="363" t="s">
        <v>571</v>
      </c>
      <c r="J9" s="364" t="s">
        <v>571</v>
      </c>
      <c r="K9" s="364" t="s">
        <v>571</v>
      </c>
      <c r="L9" s="363" t="s">
        <v>571</v>
      </c>
      <c r="M9" s="371" t="s">
        <v>571</v>
      </c>
    </row>
    <row r="10" spans="1:13">
      <c r="B10" s="326" t="s">
        <v>860</v>
      </c>
      <c r="C10" s="363" t="s">
        <v>571</v>
      </c>
      <c r="D10" s="363" t="s">
        <v>571</v>
      </c>
      <c r="E10" s="363" t="s">
        <v>571</v>
      </c>
      <c r="F10" s="363" t="s">
        <v>571</v>
      </c>
      <c r="G10" s="363" t="s">
        <v>571</v>
      </c>
      <c r="H10" s="363" t="s">
        <v>571</v>
      </c>
      <c r="I10" s="363" t="s">
        <v>571</v>
      </c>
      <c r="J10" s="364" t="s">
        <v>571</v>
      </c>
      <c r="K10" s="364" t="s">
        <v>571</v>
      </c>
      <c r="L10" s="363" t="s">
        <v>571</v>
      </c>
      <c r="M10" s="371" t="s">
        <v>571</v>
      </c>
    </row>
    <row r="11" spans="1:13">
      <c r="B11" s="368" t="s">
        <v>861</v>
      </c>
      <c r="C11" s="365"/>
      <c r="D11" s="365"/>
      <c r="E11" s="365"/>
      <c r="F11" s="365"/>
      <c r="G11" s="366"/>
      <c r="H11" s="367"/>
      <c r="I11" s="367"/>
      <c r="J11" s="366"/>
      <c r="K11" s="366"/>
      <c r="L11" s="366"/>
      <c r="M11" s="369"/>
    </row>
    <row r="12" spans="1:13">
      <c r="A12" s="320"/>
      <c r="B12" s="290" t="s">
        <v>861</v>
      </c>
      <c r="C12" s="315">
        <f>SUM('Fuel Summary'!K21,'Fuel Summary'!K25,'Fuel Summary'!K33)</f>
        <v>599869293.04150212</v>
      </c>
      <c r="D12" s="315">
        <f>('Monthly # of Customers'!P36+'Monthly # of Customers'!P57+'Monthly # of Customers'!P60)/12</f>
        <v>29202</v>
      </c>
      <c r="E12" s="315">
        <f t="shared" ref="E12:E26" si="0">C12/D12</f>
        <v>20542.061949233001</v>
      </c>
      <c r="F12" s="316">
        <f>SUM('kW Demands'!B18,'kW Demands'!B22,'kW Demands'!B30)</f>
        <v>1176446.7165680053</v>
      </c>
      <c r="G12" s="318">
        <f>F12/D12</f>
        <v>40.286511765221739</v>
      </c>
      <c r="H12" s="313">
        <f>SUM('Revenue Summary'!B16,'Revenue Summary'!B22,'Revenue Summary'!B23)/D12/12</f>
        <v>297.71310567803636</v>
      </c>
      <c r="I12" s="313">
        <f>SUM('Revenue Summary'!AA16,'Revenue Summary'!AA22,'Revenue Summary'!AA23)/D12/12</f>
        <v>335.79994508117545</v>
      </c>
      <c r="J12" s="403">
        <f>'Revenue Summary'!Z16+'Revenue Summary'!Z22+'Revenue Summary'!Z23</f>
        <v>13346542.611005621</v>
      </c>
      <c r="K12" s="375">
        <f t="shared" ref="K12:K20" si="1">J12/(H12*D12*12)</f>
        <v>0.12793134960047195</v>
      </c>
      <c r="L12" s="403">
        <f t="shared" ref="L12:L20" si="2">I12-H12</f>
        <v>38.086839403139095</v>
      </c>
      <c r="M12" s="370">
        <f t="shared" ref="M12:M20" si="3">L12/H12</f>
        <v>0.12793134960047187</v>
      </c>
    </row>
    <row r="13" spans="1:13">
      <c r="B13" s="290" t="s">
        <v>870</v>
      </c>
      <c r="C13" s="315">
        <f>'Fuel Summary'!K23</f>
        <v>1415369.1901477831</v>
      </c>
      <c r="D13" s="315">
        <f>'Monthly # of Customers'!P46/12</f>
        <v>86</v>
      </c>
      <c r="E13" s="315">
        <f t="shared" si="0"/>
        <v>16457.781280788175</v>
      </c>
      <c r="F13" s="316"/>
      <c r="G13" s="318"/>
      <c r="H13" s="313">
        <f>'Revenue Summary'!B19/D13/12</f>
        <v>223.86990706658403</v>
      </c>
      <c r="I13" s="313">
        <f>'Revenue Summary'!AA19/D13/12</f>
        <v>267.83491539926314</v>
      </c>
      <c r="J13" s="403">
        <f>'Revenue Summary'!Z19</f>
        <v>45371.888599324797</v>
      </c>
      <c r="K13" s="375">
        <f t="shared" si="1"/>
        <v>0.19638641436342252</v>
      </c>
      <c r="L13" s="403">
        <f t="shared" si="2"/>
        <v>43.965008332679105</v>
      </c>
      <c r="M13" s="370">
        <f t="shared" si="3"/>
        <v>0.19638641436342272</v>
      </c>
    </row>
    <row r="14" spans="1:13">
      <c r="B14" s="290" t="s">
        <v>871</v>
      </c>
      <c r="C14" s="315">
        <f>'Fuel Summary'!K27</f>
        <v>1798725.5977885965</v>
      </c>
      <c r="D14" s="315">
        <f>'Monthly # of Customers'!P50/12</f>
        <v>65</v>
      </c>
      <c r="E14" s="315">
        <f t="shared" si="0"/>
        <v>27672.701504439945</v>
      </c>
      <c r="F14" s="316"/>
      <c r="G14" s="318"/>
      <c r="H14" s="313">
        <f>'Revenue Summary'!B20/D14/12</f>
        <v>349.98795005785956</v>
      </c>
      <c r="I14" s="313">
        <f>'Revenue Summary'!AA20/D14/12</f>
        <v>396.51512972177153</v>
      </c>
      <c r="J14" s="403">
        <f>'Revenue Summary'!Z20</f>
        <v>36291.200137851381</v>
      </c>
      <c r="K14" s="375">
        <f t="shared" si="1"/>
        <v>0.13293937593057192</v>
      </c>
      <c r="L14" s="403">
        <f t="shared" si="2"/>
        <v>46.527179663911966</v>
      </c>
      <c r="M14" s="370">
        <f t="shared" si="3"/>
        <v>0.13293937593057176</v>
      </c>
    </row>
    <row r="15" spans="1:13">
      <c r="A15" s="88"/>
      <c r="B15" s="394" t="s">
        <v>889</v>
      </c>
      <c r="C15" s="395">
        <f>'Fuel Summary'!K19</f>
        <v>3136289.2240065546</v>
      </c>
      <c r="D15" s="395">
        <f>'Monthly # of Customers'!P40/12</f>
        <v>936</v>
      </c>
      <c r="E15" s="395">
        <f t="shared" si="0"/>
        <v>3350.736350434353</v>
      </c>
      <c r="F15" s="396"/>
      <c r="G15" s="397"/>
      <c r="H15" s="398">
        <f>'Revenue Summary'!B17/D15/12</f>
        <v>66.129221549573501</v>
      </c>
      <c r="I15" s="398">
        <f>'Revenue Summary'!AA17/D15/12</f>
        <v>72.083244073845648</v>
      </c>
      <c r="J15" s="403">
        <f>'Revenue Summary'!Z17</f>
        <v>66875.580992624629</v>
      </c>
      <c r="K15" s="375">
        <f t="shared" si="1"/>
        <v>9.0036180447228262E-2</v>
      </c>
      <c r="L15" s="403">
        <f t="shared" si="2"/>
        <v>5.9540225242721476</v>
      </c>
      <c r="M15" s="399">
        <f t="shared" si="3"/>
        <v>9.0036180447228442E-2</v>
      </c>
    </row>
    <row r="16" spans="1:13">
      <c r="B16" s="290" t="s">
        <v>872</v>
      </c>
      <c r="C16" s="315">
        <f>'Fuel Summary'!K29</f>
        <v>7995315.8158995816</v>
      </c>
      <c r="D16" s="315">
        <f>'Monthly # of Customers'!P43/12</f>
        <v>500</v>
      </c>
      <c r="E16" s="315">
        <f t="shared" si="0"/>
        <v>15990.631631799164</v>
      </c>
      <c r="F16" s="316"/>
      <c r="G16" s="318"/>
      <c r="H16" s="313">
        <f>'Revenue Summary'!B18/D16/12</f>
        <v>251.41006904601718</v>
      </c>
      <c r="I16" s="313">
        <f>'Revenue Summary'!AA18/D16/12</f>
        <v>267.5528265284612</v>
      </c>
      <c r="J16" s="403">
        <f>'Revenue Summary'!Z18</f>
        <v>96856.54489466385</v>
      </c>
      <c r="K16" s="375">
        <f t="shared" si="1"/>
        <v>6.4208874146123654E-2</v>
      </c>
      <c r="L16" s="403">
        <f t="shared" si="2"/>
        <v>16.142757482444011</v>
      </c>
      <c r="M16" s="370">
        <f t="shared" si="3"/>
        <v>6.4208874146123793E-2</v>
      </c>
    </row>
    <row r="17" spans="1:13">
      <c r="B17" s="290" t="s">
        <v>873</v>
      </c>
      <c r="C17" s="315">
        <f>'Fuel Summary'!K31</f>
        <v>8519715.6602870822</v>
      </c>
      <c r="D17" s="315">
        <f>'Monthly # of Customers'!P53/12</f>
        <v>142</v>
      </c>
      <c r="E17" s="315">
        <f t="shared" si="0"/>
        <v>59997.99760765551</v>
      </c>
      <c r="F17" s="316"/>
      <c r="G17" s="318"/>
      <c r="H17" s="313">
        <f>'Revenue Summary'!B21/D17/12</f>
        <v>760.38180333485059</v>
      </c>
      <c r="I17" s="313">
        <f>'Revenue Summary'!AA21/D17/12</f>
        <v>857.5606600771622</v>
      </c>
      <c r="J17" s="403">
        <f>'Revenue Summary'!Z21</f>
        <v>165592.77188889927</v>
      </c>
      <c r="K17" s="375">
        <f t="shared" si="1"/>
        <v>0.12780271215869293</v>
      </c>
      <c r="L17" s="403">
        <f t="shared" si="2"/>
        <v>97.178856742311609</v>
      </c>
      <c r="M17" s="370">
        <f t="shared" si="3"/>
        <v>0.12780271215869271</v>
      </c>
    </row>
    <row r="18" spans="1:13">
      <c r="A18" s="320"/>
      <c r="B18" s="290" t="s">
        <v>874</v>
      </c>
      <c r="C18" s="315">
        <f>SUM('Fuel Summary'!K35,'Fuel Summary'!K37,'Fuel Summary'!K39,'Fuel Summary'!K41,'Fuel Summary'!K49,'Fuel Summary'!K51)</f>
        <v>492157922.41618127</v>
      </c>
      <c r="D18" s="315">
        <f>('Monthly # of Customers'!P66+'Monthly # of Customers'!P79+'Monthly # of Customers'!P82+'Monthly # of Customers'!P85+'Monthly # of Customers'!P95)/12</f>
        <v>579</v>
      </c>
      <c r="E18" s="315">
        <f t="shared" si="0"/>
        <v>850013.68292950129</v>
      </c>
      <c r="F18" s="316">
        <f>SUM('kW Demands'!B32,'kW Demands'!B34,'kW Demands'!B36,'kW Demands'!B38,'kW Demands'!B46,'kW Demands'!B48)</f>
        <v>1535362.7973406713</v>
      </c>
      <c r="G18" s="318">
        <f>F18/D18</f>
        <v>2651.7492182049591</v>
      </c>
      <c r="H18" s="313">
        <f>SUM('Revenue Summary'!B26,'Revenue Summary'!B30,'Revenue Summary'!B31,'Revenue Summary'!B32,'Revenue Summary'!B37)/D18/12</f>
        <v>10231.818252195446</v>
      </c>
      <c r="I18" s="313">
        <f>SUM('Revenue Summary'!AA26,'Revenue Summary'!AA30,'Revenue Summary'!AA31,'Revenue Summary'!AA32,'Revenue Summary'!AA37)/D18/12</f>
        <v>11139.783537379342</v>
      </c>
      <c r="J18" s="403">
        <f>'Revenue Summary'!Z26+'Revenue Summary'!Z30+'Revenue Summary'!Z31+'Revenue Summary'!Z32+'Revenue Summary'!Z35+'Revenue Summary'!Z36</f>
        <v>6308542.8014577189</v>
      </c>
      <c r="K18" s="375">
        <f t="shared" si="1"/>
        <v>8.8739387546204196E-2</v>
      </c>
      <c r="L18" s="403">
        <f t="shared" si="2"/>
        <v>907.96528518389641</v>
      </c>
      <c r="M18" s="370">
        <f t="shared" si="3"/>
        <v>8.8739387546204113E-2</v>
      </c>
    </row>
    <row r="19" spans="1:13">
      <c r="B19" s="290" t="s">
        <v>876</v>
      </c>
      <c r="C19" s="315">
        <f>'Fuel Summary'!K43</f>
        <v>1746972</v>
      </c>
      <c r="D19" s="315">
        <f>'Monthly # of Customers'!P69/12</f>
        <v>7</v>
      </c>
      <c r="E19" s="315">
        <f>C19/D19</f>
        <v>249567.42857142858</v>
      </c>
      <c r="F19" s="316"/>
      <c r="G19" s="318"/>
      <c r="H19" s="313">
        <f>'Revenue Summary'!B27/D19/12</f>
        <v>3147.9631499748048</v>
      </c>
      <c r="I19" s="313">
        <f>'Revenue Summary'!AA27/D19/12</f>
        <v>3398.4061349962635</v>
      </c>
      <c r="J19" s="403">
        <f>'Revenue Summary'!Z27</f>
        <v>21037.210741802555</v>
      </c>
      <c r="K19" s="375">
        <f t="shared" si="1"/>
        <v>7.955715270156942E-2</v>
      </c>
      <c r="L19" s="403">
        <f t="shared" si="2"/>
        <v>250.44298502145875</v>
      </c>
      <c r="M19" s="370">
        <f t="shared" si="3"/>
        <v>7.9557152701569336E-2</v>
      </c>
    </row>
    <row r="20" spans="1:13">
      <c r="B20" s="290" t="s">
        <v>875</v>
      </c>
      <c r="C20" s="315">
        <f>'Fuel Summary'!K45+'Fuel Summary'!K47</f>
        <v>8299081.5999999996</v>
      </c>
      <c r="D20" s="315">
        <f>('Monthly # of Customers'!P72+'Monthly # of Customers'!P75)/12</f>
        <v>7</v>
      </c>
      <c r="E20" s="315">
        <f>C20/D20</f>
        <v>1185583.0857142857</v>
      </c>
      <c r="F20" s="316">
        <f>SUM('kW Demands'!B42,'kW Demands'!B44)</f>
        <v>17404</v>
      </c>
      <c r="G20" s="318">
        <f>F20/D20</f>
        <v>2486.2857142857142</v>
      </c>
      <c r="H20" s="313">
        <f>('Revenue Summary'!B28+'Revenue Summary'!B29)/D20/12</f>
        <v>11591.491756705547</v>
      </c>
      <c r="I20" s="313">
        <f>('Revenue Summary'!AA28+'Revenue Summary'!AA29)/D20/12</f>
        <v>12696.95262822398</v>
      </c>
      <c r="J20" s="403">
        <f>'Revenue Summary'!Z28+'Revenue Summary'!Z29</f>
        <v>92858.713207548077</v>
      </c>
      <c r="K20" s="375">
        <f t="shared" si="1"/>
        <v>9.5368300708917206E-2</v>
      </c>
      <c r="L20" s="403">
        <f t="shared" si="2"/>
        <v>1105.4608715184331</v>
      </c>
      <c r="M20" s="370">
        <f t="shared" si="3"/>
        <v>9.5368300708917511E-2</v>
      </c>
    </row>
    <row r="21" spans="1:13">
      <c r="B21" s="368" t="s">
        <v>862</v>
      </c>
      <c r="C21" s="365"/>
      <c r="D21" s="365"/>
      <c r="E21" s="365"/>
      <c r="F21" s="365"/>
      <c r="G21" s="366"/>
      <c r="H21" s="367"/>
      <c r="I21" s="367"/>
      <c r="J21" s="366"/>
      <c r="K21" s="366"/>
      <c r="L21" s="366"/>
      <c r="M21" s="369"/>
    </row>
    <row r="22" spans="1:13">
      <c r="B22" s="290" t="s">
        <v>869</v>
      </c>
      <c r="C22" s="315">
        <f>SUM('Fuel Summary'!K53:K59)</f>
        <v>2187553477.2437477</v>
      </c>
      <c r="D22" s="315">
        <f>('Monthly # of Customers'!P114+'Monthly # of Customers'!P109+'Monthly # of Customers'!P103+'Monthly # of Customers'!P98)/12</f>
        <v>71</v>
      </c>
      <c r="E22" s="315">
        <f t="shared" si="0"/>
        <v>30810612.355545741</v>
      </c>
      <c r="F22" s="316">
        <f>SUM('kW Demands'!B50:B56)</f>
        <v>3596610.7775503676</v>
      </c>
      <c r="G22" s="318">
        <f>F22/D22</f>
        <v>50656.489824653065</v>
      </c>
      <c r="H22" s="313">
        <f>'Revenue Summary'!B43/D22/12</f>
        <v>233070.86287941693</v>
      </c>
      <c r="I22" s="313">
        <f>'Revenue Summary'!AA43/D22/12</f>
        <v>253103.77856637226</v>
      </c>
      <c r="J22" s="403">
        <f>'Revenue Summary'!Z39+'Revenue Summary'!Z40+'Revenue Summary'!Z41+'Revenue Summary'!Z42</f>
        <v>17068044.1652859</v>
      </c>
      <c r="K22" s="375">
        <f>J22/(H22*D22*12)</f>
        <v>8.5952038103191131E-2</v>
      </c>
      <c r="L22" s="403">
        <f>I22-H22</f>
        <v>20032.915686955326</v>
      </c>
      <c r="M22" s="370">
        <f>L22/H22</f>
        <v>8.5952038103191325E-2</v>
      </c>
    </row>
    <row r="23" spans="1:13">
      <c r="B23" s="368" t="s">
        <v>847</v>
      </c>
      <c r="C23" s="365"/>
      <c r="D23" s="365"/>
      <c r="E23" s="365"/>
      <c r="F23" s="365"/>
      <c r="G23" s="366"/>
      <c r="H23" s="367"/>
      <c r="I23" s="367"/>
      <c r="J23" s="366"/>
      <c r="K23" s="366"/>
      <c r="L23" s="366"/>
      <c r="M23" s="369"/>
    </row>
    <row r="24" spans="1:13">
      <c r="B24" s="290" t="s">
        <v>344</v>
      </c>
      <c r="C24" s="315">
        <f>'Fuel Summary'!K63</f>
        <v>1646859.495145631</v>
      </c>
      <c r="D24" s="315">
        <f>'Monthly # of Customers'!P152/12</f>
        <v>8</v>
      </c>
      <c r="E24" s="315">
        <f t="shared" si="0"/>
        <v>205857.43689320388</v>
      </c>
      <c r="F24" s="316"/>
      <c r="G24" s="319"/>
      <c r="H24" s="313">
        <f>'Revenue Summary'!B48/D24/12</f>
        <v>2609.1192450726435</v>
      </c>
      <c r="I24" s="313">
        <f>'Revenue Summary'!AA48/D24/12</f>
        <v>2803.1223555543133</v>
      </c>
      <c r="J24" s="403">
        <f>'Revenue Summary'!Z48</f>
        <v>18624.298606240307</v>
      </c>
      <c r="K24" s="375">
        <f>J24/(H24*D24*12)</f>
        <v>7.4355785327959736E-2</v>
      </c>
      <c r="L24" s="403">
        <f>I24-H24</f>
        <v>194.00311048166986</v>
      </c>
      <c r="M24" s="370">
        <f>L24/H24</f>
        <v>7.4355785327959736E-2</v>
      </c>
    </row>
    <row r="25" spans="1:13">
      <c r="B25" s="290" t="s">
        <v>866</v>
      </c>
      <c r="C25" s="315">
        <f>'Fuel Summary'!K17</f>
        <v>37817168</v>
      </c>
      <c r="D25" s="315">
        <f>'Monthly # of Customers'!P146/12</f>
        <v>54557</v>
      </c>
      <c r="E25" s="315">
        <f t="shared" si="0"/>
        <v>693.16802610114189</v>
      </c>
      <c r="F25" s="316"/>
      <c r="G25" s="318"/>
      <c r="H25" s="313">
        <f>'Revenue Summary'!B45/D25/12</f>
        <v>15.649802505811115</v>
      </c>
      <c r="I25" s="313">
        <f>'Revenue Summary'!AA45/D25/12</f>
        <v>17.966694864853686</v>
      </c>
      <c r="J25" s="403">
        <f>'Revenue Summary'!Z45</f>
        <v>1516832.3571874266</v>
      </c>
      <c r="K25" s="375">
        <f>J25/(H25*D25*12)</f>
        <v>0.14804610845295066</v>
      </c>
      <c r="L25" s="403">
        <f>I25-H25</f>
        <v>2.316892359042571</v>
      </c>
      <c r="M25" s="370">
        <f>L25/H25</f>
        <v>0.14804610845295063</v>
      </c>
    </row>
    <row r="26" spans="1:13">
      <c r="B26" s="290" t="s">
        <v>867</v>
      </c>
      <c r="C26" s="315">
        <f>'Fuel Summary'!K61</f>
        <v>8426444</v>
      </c>
      <c r="D26" s="315">
        <f>'Monthly # of Customers'!P149/12</f>
        <v>12039</v>
      </c>
      <c r="E26" s="315">
        <f t="shared" si="0"/>
        <v>699.92889774898242</v>
      </c>
      <c r="F26" s="316"/>
      <c r="G26" s="318"/>
      <c r="H26" s="313">
        <f>'Revenue Summary'!B46/D26/12</f>
        <v>13.409712700998512</v>
      </c>
      <c r="I26" s="313">
        <f>'Revenue Summary'!AA46/D26/12</f>
        <v>14.919291479996355</v>
      </c>
      <c r="J26" s="403">
        <f>'Revenue Summary'!Z46</f>
        <v>218085.82704426022</v>
      </c>
      <c r="K26" s="375">
        <f>J26/(H26*D26*12)</f>
        <v>0.11257353626117853</v>
      </c>
      <c r="L26" s="403">
        <f>I26-H26</f>
        <v>1.5095787789978434</v>
      </c>
      <c r="M26" s="370">
        <f>L26/H26</f>
        <v>0.11257353626117862</v>
      </c>
    </row>
    <row r="27" spans="1:13">
      <c r="B27" s="290" t="s">
        <v>868</v>
      </c>
      <c r="C27" s="363" t="s">
        <v>571</v>
      </c>
      <c r="D27" s="363" t="s">
        <v>571</v>
      </c>
      <c r="E27" s="363" t="s">
        <v>571</v>
      </c>
      <c r="F27" s="363" t="s">
        <v>571</v>
      </c>
      <c r="G27" s="363" t="s">
        <v>571</v>
      </c>
      <c r="H27" s="363" t="s">
        <v>571</v>
      </c>
      <c r="I27" s="363" t="s">
        <v>571</v>
      </c>
      <c r="J27" s="364" t="s">
        <v>571</v>
      </c>
      <c r="K27" s="364" t="s">
        <v>571</v>
      </c>
      <c r="L27" s="363" t="s">
        <v>571</v>
      </c>
      <c r="M27" s="371" t="s">
        <v>571</v>
      </c>
    </row>
    <row r="28" spans="1:13">
      <c r="B28" s="360" t="s">
        <v>854</v>
      </c>
      <c r="C28" s="363" t="s">
        <v>571</v>
      </c>
      <c r="D28" s="363" t="s">
        <v>571</v>
      </c>
      <c r="E28" s="363" t="s">
        <v>571</v>
      </c>
      <c r="F28" s="363" t="s">
        <v>571</v>
      </c>
      <c r="G28" s="363" t="s">
        <v>571</v>
      </c>
      <c r="H28" s="363" t="s">
        <v>571</v>
      </c>
      <c r="I28" s="363" t="s">
        <v>571</v>
      </c>
      <c r="J28" s="364" t="s">
        <v>571</v>
      </c>
      <c r="K28" s="364" t="s">
        <v>571</v>
      </c>
      <c r="L28" s="363" t="s">
        <v>571</v>
      </c>
      <c r="M28" s="371" t="s">
        <v>571</v>
      </c>
    </row>
    <row r="29" spans="1:13">
      <c r="B29" s="360" t="s">
        <v>254</v>
      </c>
      <c r="C29" s="363" t="s">
        <v>571</v>
      </c>
      <c r="D29" s="363" t="s">
        <v>571</v>
      </c>
      <c r="E29" s="363" t="s">
        <v>571</v>
      </c>
      <c r="F29" s="363" t="s">
        <v>571</v>
      </c>
      <c r="G29" s="363" t="s">
        <v>571</v>
      </c>
      <c r="H29" s="363" t="s">
        <v>571</v>
      </c>
      <c r="I29" s="363" t="s">
        <v>571</v>
      </c>
      <c r="J29" s="364" t="s">
        <v>571</v>
      </c>
      <c r="K29" s="364" t="s">
        <v>571</v>
      </c>
      <c r="L29" s="363" t="s">
        <v>571</v>
      </c>
      <c r="M29" s="371" t="s">
        <v>571</v>
      </c>
    </row>
    <row r="30" spans="1:13">
      <c r="B30" s="360" t="s">
        <v>863</v>
      </c>
      <c r="C30" s="363" t="s">
        <v>571</v>
      </c>
      <c r="D30" s="363" t="s">
        <v>571</v>
      </c>
      <c r="E30" s="363" t="s">
        <v>571</v>
      </c>
      <c r="F30" s="363" t="s">
        <v>571</v>
      </c>
      <c r="G30" s="363" t="s">
        <v>571</v>
      </c>
      <c r="H30" s="363" t="s">
        <v>571</v>
      </c>
      <c r="I30" s="363" t="s">
        <v>571</v>
      </c>
      <c r="J30" s="364" t="s">
        <v>571</v>
      </c>
      <c r="K30" s="364" t="s">
        <v>571</v>
      </c>
      <c r="L30" s="363" t="s">
        <v>571</v>
      </c>
      <c r="M30" s="371" t="s">
        <v>571</v>
      </c>
    </row>
    <row r="31" spans="1:13">
      <c r="B31" s="360" t="s">
        <v>864</v>
      </c>
      <c r="C31" s="363" t="s">
        <v>571</v>
      </c>
      <c r="D31" s="363" t="s">
        <v>571</v>
      </c>
      <c r="E31" s="363" t="s">
        <v>571</v>
      </c>
      <c r="F31" s="363" t="s">
        <v>571</v>
      </c>
      <c r="G31" s="363" t="s">
        <v>571</v>
      </c>
      <c r="H31" s="363" t="s">
        <v>571</v>
      </c>
      <c r="I31" s="363" t="s">
        <v>571</v>
      </c>
      <c r="J31" s="364" t="s">
        <v>571</v>
      </c>
      <c r="K31" s="364" t="s">
        <v>571</v>
      </c>
      <c r="L31" s="363" t="s">
        <v>571</v>
      </c>
      <c r="M31" s="371" t="s">
        <v>571</v>
      </c>
    </row>
    <row r="32" spans="1:13" ht="13.5" thickBot="1">
      <c r="B32" s="292" t="s">
        <v>865</v>
      </c>
      <c r="C32" s="372" t="s">
        <v>571</v>
      </c>
      <c r="D32" s="372" t="s">
        <v>571</v>
      </c>
      <c r="E32" s="372" t="s">
        <v>571</v>
      </c>
      <c r="F32" s="372" t="s">
        <v>571</v>
      </c>
      <c r="G32" s="372" t="s">
        <v>571</v>
      </c>
      <c r="H32" s="372" t="s">
        <v>571</v>
      </c>
      <c r="I32" s="372" t="s">
        <v>571</v>
      </c>
      <c r="J32" s="373" t="s">
        <v>571</v>
      </c>
      <c r="K32" s="373" t="s">
        <v>571</v>
      </c>
      <c r="L32" s="372" t="s">
        <v>571</v>
      </c>
      <c r="M32" s="374" t="s">
        <v>571</v>
      </c>
    </row>
    <row r="33" spans="2:13">
      <c r="B33" s="324"/>
      <c r="C33" s="325"/>
      <c r="D33" s="325"/>
      <c r="E33" s="325"/>
      <c r="F33" s="325"/>
      <c r="G33" s="325"/>
      <c r="H33" s="325"/>
      <c r="I33" s="324"/>
      <c r="J33" s="321"/>
      <c r="K33" s="321"/>
      <c r="L33" s="323"/>
      <c r="M33" s="324"/>
    </row>
    <row r="34" spans="2:13">
      <c r="B34" s="402" t="s">
        <v>17</v>
      </c>
      <c r="C34" s="316">
        <f>SUM(C6:C26)</f>
        <v>5308956401.1290073</v>
      </c>
      <c r="D34" s="316">
        <f>SUM(D6:D24)</f>
        <v>163363</v>
      </c>
      <c r="E34" s="316">
        <f t="shared" ref="E34" si="4">C34/D34</f>
        <v>32497.912018810915</v>
      </c>
      <c r="F34" s="316">
        <f>SUM(F6:F26)</f>
        <v>6325824.2914590444</v>
      </c>
      <c r="G34" s="318"/>
      <c r="H34" s="313">
        <f>'Revenue Summary'!B50/D34/12</f>
        <v>353.6449519489351</v>
      </c>
      <c r="I34" s="313">
        <f>'Revenue Summary'!AA50/D34/12</f>
        <v>401.63612352758724</v>
      </c>
      <c r="J34" s="403">
        <f>SUM(J6:J26)</f>
        <v>94079781.151240095</v>
      </c>
      <c r="K34" s="375">
        <f t="shared" ref="K34" si="5">J34/(H34*D34*12)</f>
        <v>0.13570438744897403</v>
      </c>
      <c r="L34" s="403">
        <f t="shared" ref="L34" si="6">I34-H34</f>
        <v>47.991171578652143</v>
      </c>
      <c r="M34" s="370">
        <f t="shared" ref="M34" si="7">L34/H34</f>
        <v>0.13570438744897417</v>
      </c>
    </row>
    <row r="35" spans="2:13" hidden="1">
      <c r="B35" s="391" t="s">
        <v>593</v>
      </c>
      <c r="C35" s="392">
        <f>C34-'Fuel Summary'!K65</f>
        <v>0</v>
      </c>
      <c r="D35" s="392">
        <f>D34-'Monthly # of Customers'!M155</f>
        <v>0</v>
      </c>
      <c r="E35" s="391"/>
      <c r="F35" s="392">
        <f>F34-'kW Demands'!B62</f>
        <v>0</v>
      </c>
      <c r="G35" s="391"/>
      <c r="H35" s="391"/>
      <c r="I35" s="391"/>
      <c r="J35" s="393">
        <f>J34-'Revenue Summary'!Z50</f>
        <v>0</v>
      </c>
      <c r="K35" s="391"/>
      <c r="L35" s="391"/>
      <c r="M35" s="391"/>
    </row>
  </sheetData>
  <mergeCells count="2">
    <mergeCell ref="B1:H1"/>
    <mergeCell ref="B2:B4"/>
  </mergeCells>
  <pageMargins left="0.7" right="0.7" top="0.75" bottom="0.75" header="0.3" footer="0.3"/>
  <pageSetup scale="9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T61"/>
  <sheetViews>
    <sheetView zoomScale="115" zoomScaleNormal="115" workbookViewId="0">
      <pane xSplit="2" ySplit="12" topLeftCell="I15"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5" style="150" customWidth="1"/>
    <col min="15" max="16" width="15" style="164" customWidth="1"/>
    <col min="17" max="17" width="15" style="150" customWidth="1"/>
    <col min="18" max="18" width="4.28515625" style="150" customWidth="1"/>
    <col min="19" max="20" width="1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497</v>
      </c>
    </row>
    <row r="7" spans="2:20">
      <c r="B7" s="150" t="s">
        <v>366</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331</v>
      </c>
      <c r="C13" s="164">
        <f>'Bill Units'!D19</f>
        <v>350829933.39483905</v>
      </c>
      <c r="D13" s="164">
        <f>'Bill Units'!E19</f>
        <v>0</v>
      </c>
      <c r="E13" s="203">
        <f>'Rate Input'!D18</f>
        <v>0.10907</v>
      </c>
      <c r="F13" s="203">
        <f>'Rate Input'!E18</f>
        <v>0</v>
      </c>
      <c r="G13" s="164">
        <f>(C13*E13)+(D13*F13)</f>
        <v>38265020.835375093</v>
      </c>
      <c r="H13" s="164">
        <f>VLOOKUP($B$7,WNLA!A:B,2,FALSE)*(SUM(C13:D13)/SUM(C13:D14))</f>
        <v>5960766.4046347374</v>
      </c>
      <c r="I13" s="162">
        <f>VLOOKUP($B$7,'Monthly # of Customers'!A:R,18,FALSE)*SUM(C13:D13)</f>
        <v>1008635.3035436176</v>
      </c>
      <c r="J13" s="162"/>
      <c r="K13" s="164">
        <f>C13+D13+H13+I13+J13</f>
        <v>357799335.10301739</v>
      </c>
      <c r="L13" s="164"/>
      <c r="M13" s="164"/>
      <c r="N13" s="164">
        <f>H13*E13</f>
        <v>650140.79175351083</v>
      </c>
      <c r="O13" s="162">
        <f>I13*E13</f>
        <v>110011.85255750237</v>
      </c>
      <c r="P13" s="162">
        <f>J13*F13</f>
        <v>0</v>
      </c>
      <c r="Q13" s="164">
        <f>G13+L13+M13+N13+O13+P13</f>
        <v>39025173.479686104</v>
      </c>
      <c r="S13" s="203">
        <f>'Proposed Rates'!C21</f>
        <v>0.12292</v>
      </c>
      <c r="T13" s="164">
        <f>S13*K13</f>
        <v>43980694.2708629</v>
      </c>
    </row>
    <row r="14" spans="2:20">
      <c r="B14" s="538" t="s">
        <v>332</v>
      </c>
      <c r="C14" s="164">
        <f>'Bill Units'!D20</f>
        <v>229050639.60516092</v>
      </c>
      <c r="D14" s="164">
        <f>'Bill Units'!E20</f>
        <v>0</v>
      </c>
      <c r="E14" s="203">
        <f>'Rate Input'!D19</f>
        <v>0.10201</v>
      </c>
      <c r="F14" s="203">
        <f>'Rate Input'!E19</f>
        <v>0</v>
      </c>
      <c r="G14" s="164">
        <f>(C14*E14)+(D14*F14)</f>
        <v>23365455.746122468</v>
      </c>
      <c r="H14" s="164">
        <f>VLOOKUP($B$7,WNLA!A:B,2,FALSE)*(SUM(C14:D14)/SUM(C13:D14))</f>
        <v>3891678.6384414793</v>
      </c>
      <c r="I14" s="162">
        <f>VLOOKUP($B$7,'Monthly # of Customers'!A:R,18,FALSE)*SUM(C14:D14)</f>
        <v>658520.09596057422</v>
      </c>
      <c r="J14" s="164"/>
      <c r="K14" s="164">
        <f t="shared" ref="K14" si="0">C14+D14+H14+I14+J14</f>
        <v>233600838.33956298</v>
      </c>
      <c r="L14" s="164"/>
      <c r="M14" s="164"/>
      <c r="N14" s="164">
        <f>H14*E14</f>
        <v>396990.13790741534</v>
      </c>
      <c r="O14" s="162">
        <f>I14*E14</f>
        <v>67175.634988938182</v>
      </c>
      <c r="P14" s="162">
        <f t="shared" ref="P14" si="1">J14*F14</f>
        <v>0</v>
      </c>
      <c r="Q14" s="164">
        <f t="shared" ref="Q14" si="2">G14+L14+M14+N14+O14+P14</f>
        <v>23829621.519018821</v>
      </c>
      <c r="S14" s="203">
        <f>'Proposed Rates'!C22</f>
        <v>0.10813</v>
      </c>
      <c r="T14" s="164">
        <f t="shared" ref="T14:T29" si="3">S14*K14</f>
        <v>25259258.649656948</v>
      </c>
    </row>
    <row r="15" spans="2:20">
      <c r="B15" s="538"/>
      <c r="C15" s="164"/>
      <c r="D15" s="164"/>
      <c r="E15" s="203"/>
      <c r="F15" s="203"/>
      <c r="G15" s="164"/>
      <c r="H15" s="164"/>
      <c r="I15" s="164"/>
      <c r="J15" s="162"/>
      <c r="K15" s="164"/>
      <c r="L15" s="164"/>
      <c r="M15" s="164"/>
      <c r="N15" s="164"/>
      <c r="O15" s="162"/>
      <c r="P15" s="162"/>
      <c r="Q15" s="164"/>
      <c r="S15" s="162"/>
      <c r="T15" s="164">
        <f t="shared" si="3"/>
        <v>0</v>
      </c>
    </row>
    <row r="16" spans="2:20">
      <c r="B16" s="150" t="s">
        <v>464</v>
      </c>
      <c r="C16" s="164">
        <f>'Bill Units'!D22</f>
        <v>1149515.7110438729</v>
      </c>
      <c r="D16" s="164">
        <f>'Bill Units'!E22</f>
        <v>0</v>
      </c>
      <c r="E16" s="162">
        <f>'Rate Input'!D21</f>
        <v>6.61</v>
      </c>
      <c r="F16" s="162">
        <f>'Rate Input'!E21</f>
        <v>0</v>
      </c>
      <c r="G16" s="164">
        <f>(C16*E16)+(D16*F16)</f>
        <v>7598298.8499999996</v>
      </c>
      <c r="H16" s="164"/>
      <c r="I16" s="162">
        <f>VLOOKUP($B$7,'Monthly # of Customers'!A:R,18,FALSE)*SUM(C16:D16)</f>
        <v>3304.8551955571256</v>
      </c>
      <c r="J16" s="164"/>
      <c r="K16" s="164">
        <f>C16+D16+H16+I16+J16</f>
        <v>1152820.5662394301</v>
      </c>
      <c r="L16" s="164"/>
      <c r="M16" s="164"/>
      <c r="N16" s="164">
        <f>H16*F16</f>
        <v>0</v>
      </c>
      <c r="O16" s="162">
        <f>I16*E16</f>
        <v>21845.092842632603</v>
      </c>
      <c r="P16" s="162">
        <f>J16*F16</f>
        <v>0</v>
      </c>
      <c r="Q16" s="164">
        <f>G16+L16+M16+N16+O16+P16</f>
        <v>7620143.9428426325</v>
      </c>
      <c r="S16" s="162">
        <f>'Proposed Rates'!D20</f>
        <v>8.82</v>
      </c>
      <c r="T16" s="164">
        <f t="shared" si="3"/>
        <v>10167877.394231774</v>
      </c>
    </row>
    <row r="17" spans="2:20">
      <c r="C17" s="164"/>
      <c r="D17" s="164"/>
      <c r="E17" s="162"/>
      <c r="F17" s="162"/>
      <c r="G17" s="164"/>
      <c r="H17" s="164"/>
      <c r="I17" s="164"/>
      <c r="J17" s="164"/>
      <c r="K17" s="164"/>
      <c r="L17" s="164"/>
      <c r="M17" s="164"/>
      <c r="N17" s="164"/>
      <c r="O17" s="162"/>
      <c r="P17" s="162"/>
      <c r="Q17" s="164"/>
      <c r="S17" s="162"/>
      <c r="T17" s="164">
        <f t="shared" si="3"/>
        <v>0</v>
      </c>
    </row>
    <row r="18" spans="2:20">
      <c r="B18" s="150" t="s">
        <v>12</v>
      </c>
      <c r="C18" s="164">
        <f>'Bill Units'!D24</f>
        <v>348522</v>
      </c>
      <c r="D18" s="164">
        <f>'Bill Units'!E24</f>
        <v>0</v>
      </c>
      <c r="E18" s="162">
        <f>'Rate Input'!D23</f>
        <v>25</v>
      </c>
      <c r="F18" s="162">
        <f>'Rate Input'!E23</f>
        <v>0</v>
      </c>
      <c r="G18" s="164">
        <f>(C18*E18)+(D18*F18)</f>
        <v>8713050</v>
      </c>
      <c r="H18" s="164"/>
      <c r="I18" s="164">
        <f>VLOOKUP($B$7,'Monthly # of Customers'!A:R,18,FALSE)*SUM(C18:D18)</f>
        <v>1001.9999999999999</v>
      </c>
      <c r="J18" s="164"/>
      <c r="K18" s="164">
        <f>C18+D18+H18+I18+J18</f>
        <v>349524</v>
      </c>
      <c r="L18" s="164"/>
      <c r="M18" s="164"/>
      <c r="N18" s="164">
        <f>H18*F18</f>
        <v>0</v>
      </c>
      <c r="O18" s="162">
        <f>I18*E18</f>
        <v>25049.999999999996</v>
      </c>
      <c r="P18" s="162">
        <f>J18*F18</f>
        <v>0</v>
      </c>
      <c r="Q18" s="164">
        <f>G18+L18+M18+N18+O18+P18</f>
        <v>8738100</v>
      </c>
      <c r="S18" s="162">
        <f>'Proposed Rates'!B20</f>
        <v>28</v>
      </c>
      <c r="T18" s="164">
        <f t="shared" si="3"/>
        <v>9786672</v>
      </c>
    </row>
    <row r="19" spans="2:20">
      <c r="C19" s="164"/>
      <c r="D19" s="164"/>
      <c r="E19" s="164"/>
      <c r="F19" s="164"/>
      <c r="G19" s="164"/>
      <c r="H19" s="164"/>
      <c r="I19" s="164"/>
      <c r="J19" s="164"/>
      <c r="K19" s="164"/>
      <c r="L19" s="164"/>
      <c r="M19" s="164"/>
      <c r="N19" s="164"/>
      <c r="O19" s="162"/>
      <c r="P19" s="162"/>
      <c r="Q19" s="164"/>
      <c r="S19" s="162"/>
      <c r="T19" s="164">
        <f t="shared" si="3"/>
        <v>0</v>
      </c>
    </row>
    <row r="20" spans="2:20" hidden="1">
      <c r="S20" s="162"/>
      <c r="T20" s="164">
        <f t="shared" si="3"/>
        <v>0</v>
      </c>
    </row>
    <row r="21" spans="2:20" hidden="1">
      <c r="T21" s="164">
        <f t="shared" si="3"/>
        <v>0</v>
      </c>
    </row>
    <row r="22" spans="2:20" hidden="1">
      <c r="T22" s="164">
        <f t="shared" si="3"/>
        <v>0</v>
      </c>
    </row>
    <row r="23" spans="2:20" hidden="1">
      <c r="C23" s="164"/>
      <c r="D23" s="164"/>
      <c r="E23" s="164"/>
      <c r="F23" s="164"/>
      <c r="G23" s="164"/>
      <c r="H23" s="164"/>
      <c r="I23" s="164"/>
      <c r="J23" s="164"/>
      <c r="K23" s="164"/>
      <c r="L23" s="164"/>
      <c r="M23" s="164"/>
      <c r="N23" s="164"/>
      <c r="O23" s="162"/>
      <c r="P23" s="162"/>
      <c r="Q23" s="164"/>
      <c r="T23" s="164">
        <f t="shared" si="3"/>
        <v>0</v>
      </c>
    </row>
    <row r="24" spans="2:20" hidden="1">
      <c r="C24" s="164"/>
      <c r="D24" s="164"/>
      <c r="E24" s="164"/>
      <c r="F24" s="164"/>
      <c r="G24" s="164"/>
      <c r="H24" s="164"/>
      <c r="I24" s="164"/>
      <c r="J24" s="164"/>
      <c r="K24" s="164"/>
      <c r="L24" s="164"/>
      <c r="M24" s="164"/>
      <c r="N24" s="164"/>
      <c r="O24" s="162"/>
      <c r="P24" s="162"/>
      <c r="Q24" s="164"/>
      <c r="T24" s="164">
        <f t="shared" si="3"/>
        <v>0</v>
      </c>
    </row>
    <row r="25" spans="2:20" hidden="1">
      <c r="C25" s="164"/>
      <c r="D25" s="164"/>
      <c r="E25" s="164"/>
      <c r="F25" s="164"/>
      <c r="G25" s="164"/>
      <c r="H25" s="164"/>
      <c r="I25" s="164"/>
      <c r="J25" s="164"/>
      <c r="K25" s="164"/>
      <c r="L25" s="164"/>
      <c r="M25" s="164"/>
      <c r="N25" s="164"/>
      <c r="O25" s="162"/>
      <c r="P25" s="162"/>
      <c r="Q25" s="164"/>
      <c r="T25" s="164">
        <f t="shared" si="3"/>
        <v>0</v>
      </c>
    </row>
    <row r="26" spans="2:20" hidden="1">
      <c r="C26" s="164"/>
      <c r="D26" s="164"/>
      <c r="E26" s="164"/>
      <c r="F26" s="164"/>
      <c r="G26" s="164"/>
      <c r="H26" s="164"/>
      <c r="I26" s="164"/>
      <c r="J26" s="164"/>
      <c r="K26" s="164"/>
      <c r="L26" s="164"/>
      <c r="M26" s="164"/>
      <c r="N26" s="164"/>
      <c r="O26" s="162"/>
      <c r="P26" s="162"/>
      <c r="Q26" s="164"/>
      <c r="T26" s="164">
        <f t="shared" si="3"/>
        <v>0</v>
      </c>
    </row>
    <row r="27" spans="2:20" hidden="1">
      <c r="C27" s="164"/>
      <c r="D27" s="164"/>
      <c r="E27" s="164"/>
      <c r="F27" s="164"/>
      <c r="G27" s="164"/>
      <c r="H27" s="164"/>
      <c r="I27" s="164"/>
      <c r="J27" s="164"/>
      <c r="K27" s="164"/>
      <c r="L27" s="164"/>
      <c r="M27" s="164"/>
      <c r="N27" s="164"/>
      <c r="O27" s="162"/>
      <c r="P27" s="162"/>
      <c r="Q27" s="164"/>
      <c r="T27" s="164">
        <f t="shared" si="3"/>
        <v>0</v>
      </c>
    </row>
    <row r="28" spans="2:20" hidden="1">
      <c r="C28" s="164"/>
      <c r="D28" s="164"/>
      <c r="E28" s="164"/>
      <c r="F28" s="164"/>
      <c r="G28" s="164"/>
      <c r="H28" s="164"/>
      <c r="I28" s="164"/>
      <c r="J28" s="164"/>
      <c r="K28" s="164"/>
      <c r="L28" s="164"/>
      <c r="M28" s="164"/>
      <c r="N28" s="164"/>
      <c r="O28" s="162"/>
      <c r="P28" s="162"/>
      <c r="Q28" s="164"/>
      <c r="T28" s="164">
        <f t="shared" si="3"/>
        <v>0</v>
      </c>
    </row>
    <row r="29" spans="2:20" hidden="1">
      <c r="C29" s="164"/>
      <c r="D29" s="164"/>
      <c r="E29" s="164"/>
      <c r="F29" s="164"/>
      <c r="G29" s="164"/>
      <c r="H29" s="164"/>
      <c r="I29" s="164"/>
      <c r="J29" s="164"/>
      <c r="K29" s="164"/>
      <c r="L29" s="164"/>
      <c r="M29" s="164"/>
      <c r="N29" s="164"/>
      <c r="Q29" s="164"/>
      <c r="T29" s="164">
        <f t="shared" si="3"/>
        <v>0</v>
      </c>
    </row>
    <row r="30" spans="2:20">
      <c r="B30" s="169" t="s">
        <v>486</v>
      </c>
      <c r="C30" s="170"/>
      <c r="D30" s="170"/>
      <c r="E30" s="170"/>
      <c r="F30" s="170"/>
      <c r="G30" s="531">
        <f>'B&amp;A Surcharges'!U25</f>
        <v>-188371.15311543451</v>
      </c>
      <c r="L30" s="170"/>
      <c r="M30" s="170"/>
      <c r="N30" s="170"/>
      <c r="O30" s="170"/>
      <c r="P30" s="170"/>
      <c r="Q30" s="164">
        <f>VLOOKUP(B7,'B&amp;A Surcharges'!A:U,21,FALSE)</f>
        <v>-188371.15311543451</v>
      </c>
      <c r="T30" s="164">
        <f>Q30</f>
        <v>-188371.15311543451</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15653843.91</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-161790.5</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654672.10458193556</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4956793.0999999996</v>
      </c>
      <c r="H42" s="164"/>
      <c r="I42" s="164"/>
      <c r="J42" s="164"/>
      <c r="K42" s="164"/>
      <c r="L42" s="164">
        <f>VLOOKUP(B7,'Envir FGD adj'!A:F,6,FALSE)</f>
        <v>-3194329.7713817013</v>
      </c>
      <c r="M42" s="164"/>
      <c r="N42" s="164"/>
      <c r="Q42" s="164">
        <f t="shared" ref="Q42" si="4">L42+M42+N42+O42</f>
        <v>-3194329.7713817013</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2550438.3435535482</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5077702.5199999996</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348522</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-3890519.3200000003</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5">SUM(G13:G50)</f>
        <v>102943116.4365176</v>
      </c>
      <c r="L53" s="168">
        <f t="shared" si="5"/>
        <v>-3194329.7713817013</v>
      </c>
      <c r="M53" s="168">
        <f t="shared" si="5"/>
        <v>0</v>
      </c>
      <c r="N53" s="168">
        <f t="shared" si="5"/>
        <v>1047130.9296609261</v>
      </c>
      <c r="O53" s="539">
        <f t="shared" si="5"/>
        <v>224082.58038907318</v>
      </c>
      <c r="P53" s="539">
        <f t="shared" si="5"/>
        <v>0</v>
      </c>
      <c r="Q53" s="168">
        <f t="shared" si="5"/>
        <v>75830338.017050415</v>
      </c>
      <c r="T53" s="168">
        <f>SUM(T13:T50)</f>
        <v>89006131.161636189</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row r="59" spans="2:20">
      <c r="E59" s="164">
        <v>7598298.8499999996</v>
      </c>
    </row>
    <row r="61" spans="2:20">
      <c r="E61" s="164">
        <f>E59/E16</f>
        <v>1149515.7110438729</v>
      </c>
    </row>
  </sheetData>
  <mergeCells count="2">
    <mergeCell ref="H8:J8"/>
    <mergeCell ref="L8:P8"/>
  </mergeCells>
  <pageMargins left="0.25" right="0.25" top="0.75" bottom="0.75" header="0.3" footer="0.3"/>
  <pageSetup paperSize="5" scale="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T57"/>
  <sheetViews>
    <sheetView zoomScale="115" zoomScaleNormal="115"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498</v>
      </c>
    </row>
    <row r="7" spans="2:20">
      <c r="B7" s="150" t="s">
        <v>367</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19</v>
      </c>
      <c r="C13" s="164">
        <f>'Bill Units'!P18</f>
        <v>1392054</v>
      </c>
      <c r="D13" s="164">
        <f>'Bill Units'!Q18</f>
        <v>0</v>
      </c>
      <c r="E13" s="203">
        <f>'Rate Input'!P17</f>
        <v>0.10838</v>
      </c>
      <c r="F13" s="203">
        <f>'Rate Input'!Q17</f>
        <v>0</v>
      </c>
      <c r="G13" s="164">
        <f>(C13*E13)+(D13*F13)</f>
        <v>150870.81252000001</v>
      </c>
      <c r="H13" s="164">
        <f>VLOOKUP($B$7,WNLA!A:B,2,FALSE)*(SUM(C13:D13)/SUM(C13:D13))</f>
        <v>0</v>
      </c>
      <c r="I13" s="162">
        <f>VLOOKUP($B$7,'Monthly # of Customers'!A:R,18,FALSE)*SUM(C13:D13)</f>
        <v>23315.190147783247</v>
      </c>
      <c r="J13" s="162"/>
      <c r="K13" s="164">
        <f>C13+D13+H13+I13+J13</f>
        <v>1415369.1901477831</v>
      </c>
      <c r="L13" s="164"/>
      <c r="M13" s="164"/>
      <c r="N13" s="164">
        <f>H13*F13</f>
        <v>0</v>
      </c>
      <c r="O13" s="162">
        <f>I13*E13</f>
        <v>2526.9003082167483</v>
      </c>
      <c r="P13" s="162">
        <f>J13*F13</f>
        <v>0</v>
      </c>
      <c r="Q13" s="164">
        <f>G13+L13+M13+N13+O13+P13</f>
        <v>153397.71282821675</v>
      </c>
      <c r="S13" s="203">
        <f>'Proposed Rates'!C23</f>
        <v>0.13336000000000001</v>
      </c>
      <c r="T13" s="164">
        <f>S13*K13</f>
        <v>188753.63519810836</v>
      </c>
    </row>
    <row r="14" spans="2:20">
      <c r="B14" s="538"/>
      <c r="C14" s="164"/>
      <c r="D14" s="164"/>
      <c r="E14" s="203"/>
      <c r="F14" s="203"/>
      <c r="G14" s="164"/>
      <c r="H14" s="164"/>
      <c r="I14" s="162"/>
      <c r="J14" s="164"/>
      <c r="K14" s="164"/>
      <c r="L14" s="164"/>
      <c r="M14" s="164"/>
      <c r="N14" s="164"/>
      <c r="O14" s="162"/>
      <c r="P14" s="162"/>
      <c r="Q14" s="164"/>
      <c r="S14" s="203"/>
      <c r="T14" s="164">
        <f t="shared" ref="T14:T29" si="0">S14*K14</f>
        <v>0</v>
      </c>
    </row>
    <row r="15" spans="2:20">
      <c r="B15" s="538" t="s">
        <v>12</v>
      </c>
      <c r="C15" s="164">
        <f>'Bill Units'!P20</f>
        <v>1015</v>
      </c>
      <c r="D15" s="164">
        <f>'Bill Units'!Q20</f>
        <v>0</v>
      </c>
      <c r="E15" s="162">
        <f>'Rate Input'!P19</f>
        <v>25</v>
      </c>
      <c r="F15" s="162">
        <f>'Rate Input'!Q19</f>
        <v>0</v>
      </c>
      <c r="G15" s="164">
        <f t="shared" ref="G15" si="1">(C15*E15)+(D15*F15)</f>
        <v>25375</v>
      </c>
      <c r="H15" s="164"/>
      <c r="I15" s="164">
        <f>VLOOKUP($B$7,'Monthly # of Customers'!A:R,18,FALSE)*SUM(C15:D15)</f>
        <v>17</v>
      </c>
      <c r="J15" s="162"/>
      <c r="K15" s="164">
        <f t="shared" ref="K15" si="2">C15+D15+H15+I15+J15</f>
        <v>1032</v>
      </c>
      <c r="L15" s="164"/>
      <c r="M15" s="164"/>
      <c r="N15" s="164">
        <f t="shared" ref="N15" si="3">H15*F15</f>
        <v>0</v>
      </c>
      <c r="O15" s="162">
        <f>I15*E15</f>
        <v>425</v>
      </c>
      <c r="P15" s="162">
        <f t="shared" ref="P15" si="4">J15*F15</f>
        <v>0</v>
      </c>
      <c r="Q15" s="164">
        <f t="shared" ref="Q15" si="5">G15+L15+M15+N15+O15+P15</f>
        <v>25800</v>
      </c>
      <c r="S15" s="162">
        <f>'Proposed Rates'!B23</f>
        <v>28</v>
      </c>
      <c r="T15" s="164">
        <f t="shared" si="0"/>
        <v>28896</v>
      </c>
    </row>
    <row r="16" spans="2:20">
      <c r="B16" s="538"/>
      <c r="C16" s="164"/>
      <c r="D16" s="164"/>
      <c r="E16" s="164"/>
      <c r="F16" s="164"/>
      <c r="G16" s="164"/>
      <c r="H16" s="164"/>
      <c r="I16" s="164"/>
      <c r="J16" s="164"/>
      <c r="K16" s="164"/>
      <c r="L16" s="164"/>
      <c r="M16" s="164"/>
      <c r="N16" s="164"/>
      <c r="O16" s="162"/>
      <c r="P16" s="162"/>
      <c r="Q16" s="164"/>
      <c r="S16" s="162"/>
      <c r="T16" s="164">
        <f t="shared" si="0"/>
        <v>0</v>
      </c>
    </row>
    <row r="17" spans="2:20" hidden="1">
      <c r="C17" s="164"/>
      <c r="D17" s="164"/>
      <c r="E17" s="203"/>
      <c r="F17" s="203"/>
      <c r="G17" s="164"/>
      <c r="H17" s="162"/>
      <c r="I17" s="164"/>
      <c r="J17" s="164"/>
      <c r="K17" s="164"/>
      <c r="L17" s="164"/>
      <c r="M17" s="164"/>
      <c r="N17" s="164"/>
      <c r="O17" s="162"/>
      <c r="P17" s="162"/>
      <c r="Q17" s="164"/>
      <c r="S17" s="162"/>
      <c r="T17" s="164">
        <f t="shared" si="0"/>
        <v>0</v>
      </c>
    </row>
    <row r="18" spans="2:20" hidden="1">
      <c r="C18" s="164"/>
      <c r="D18" s="164"/>
      <c r="E18" s="162"/>
      <c r="F18" s="162"/>
      <c r="G18" s="164"/>
      <c r="H18" s="164"/>
      <c r="I18" s="164"/>
      <c r="J18" s="164"/>
      <c r="K18" s="164"/>
      <c r="L18" s="164"/>
      <c r="M18" s="164"/>
      <c r="N18" s="164"/>
      <c r="O18" s="162"/>
      <c r="P18" s="162"/>
      <c r="Q18" s="164"/>
      <c r="S18" s="162"/>
      <c r="T18" s="164">
        <f t="shared" si="0"/>
        <v>0</v>
      </c>
    </row>
    <row r="19" spans="2:20" hidden="1">
      <c r="C19" s="164"/>
      <c r="D19" s="164"/>
      <c r="E19" s="162"/>
      <c r="F19" s="162"/>
      <c r="G19" s="164"/>
      <c r="H19" s="164"/>
      <c r="I19" s="164"/>
      <c r="J19" s="164"/>
      <c r="K19" s="164"/>
      <c r="L19" s="164"/>
      <c r="M19" s="164"/>
      <c r="N19" s="164"/>
      <c r="O19" s="162"/>
      <c r="P19" s="162"/>
      <c r="Q19" s="164"/>
      <c r="S19" s="162"/>
      <c r="T19" s="164">
        <f t="shared" si="0"/>
        <v>0</v>
      </c>
    </row>
    <row r="20" spans="2:20" hidden="1">
      <c r="C20" s="164"/>
      <c r="D20" s="164"/>
      <c r="E20" s="162"/>
      <c r="F20" s="162"/>
      <c r="G20" s="164"/>
      <c r="H20" s="164"/>
      <c r="I20" s="164"/>
      <c r="J20" s="164"/>
      <c r="K20" s="164"/>
      <c r="L20" s="164"/>
      <c r="M20" s="164"/>
      <c r="N20" s="164"/>
      <c r="O20" s="162"/>
      <c r="P20" s="162"/>
      <c r="Q20" s="164"/>
      <c r="S20" s="162"/>
      <c r="T20" s="164">
        <f t="shared" si="0"/>
        <v>0</v>
      </c>
    </row>
    <row r="21" spans="2:20" hidden="1">
      <c r="C21" s="164"/>
      <c r="D21" s="164"/>
      <c r="E21" s="164"/>
      <c r="F21" s="164"/>
      <c r="G21" s="164"/>
      <c r="H21" s="164"/>
      <c r="I21" s="164"/>
      <c r="J21" s="164"/>
      <c r="K21" s="164"/>
      <c r="L21" s="164"/>
      <c r="M21" s="164"/>
      <c r="N21" s="164"/>
      <c r="O21" s="162"/>
      <c r="P21" s="162"/>
      <c r="Q21" s="164"/>
      <c r="T21" s="164">
        <f t="shared" si="0"/>
        <v>0</v>
      </c>
    </row>
    <row r="22" spans="2:20" hidden="1">
      <c r="C22" s="164"/>
      <c r="D22" s="164"/>
      <c r="E22" s="164"/>
      <c r="F22" s="164"/>
      <c r="G22" s="164"/>
      <c r="H22" s="164"/>
      <c r="I22" s="164"/>
      <c r="J22" s="164"/>
      <c r="K22" s="164"/>
      <c r="L22" s="164"/>
      <c r="M22" s="164"/>
      <c r="N22" s="164"/>
      <c r="O22" s="162"/>
      <c r="P22" s="162"/>
      <c r="Q22" s="164"/>
      <c r="T22" s="164">
        <f t="shared" si="0"/>
        <v>0</v>
      </c>
    </row>
    <row r="23" spans="2:20" hidden="1">
      <c r="C23" s="164"/>
      <c r="D23" s="164"/>
      <c r="E23" s="164"/>
      <c r="F23" s="164"/>
      <c r="G23" s="164"/>
      <c r="H23" s="164"/>
      <c r="I23" s="164"/>
      <c r="J23" s="164"/>
      <c r="K23" s="164"/>
      <c r="L23" s="164"/>
      <c r="M23" s="164"/>
      <c r="N23" s="164"/>
      <c r="O23" s="162"/>
      <c r="P23" s="162"/>
      <c r="Q23" s="164"/>
      <c r="T23" s="164">
        <f t="shared" si="0"/>
        <v>0</v>
      </c>
    </row>
    <row r="24" spans="2:20" hidden="1">
      <c r="C24" s="164"/>
      <c r="D24" s="164"/>
      <c r="E24" s="164"/>
      <c r="F24" s="164"/>
      <c r="G24" s="164"/>
      <c r="H24" s="164"/>
      <c r="I24" s="164"/>
      <c r="J24" s="164"/>
      <c r="K24" s="164"/>
      <c r="L24" s="164"/>
      <c r="M24" s="164"/>
      <c r="N24" s="164"/>
      <c r="O24" s="162"/>
      <c r="P24" s="162"/>
      <c r="Q24" s="164"/>
      <c r="T24" s="164">
        <f t="shared" si="0"/>
        <v>0</v>
      </c>
    </row>
    <row r="25" spans="2:20" hidden="1">
      <c r="C25" s="164"/>
      <c r="D25" s="164"/>
      <c r="E25" s="164"/>
      <c r="F25" s="164"/>
      <c r="G25" s="164"/>
      <c r="H25" s="164"/>
      <c r="I25" s="164"/>
      <c r="J25" s="164"/>
      <c r="K25" s="164"/>
      <c r="L25" s="164"/>
      <c r="M25" s="164"/>
      <c r="N25" s="164"/>
      <c r="O25" s="162"/>
      <c r="P25" s="162"/>
      <c r="Q25" s="164"/>
      <c r="T25" s="164">
        <f t="shared" si="0"/>
        <v>0</v>
      </c>
    </row>
    <row r="26" spans="2:20" hidden="1">
      <c r="C26" s="164"/>
      <c r="D26" s="164"/>
      <c r="E26" s="164"/>
      <c r="F26" s="164"/>
      <c r="G26" s="164"/>
      <c r="H26" s="164"/>
      <c r="I26" s="164"/>
      <c r="J26" s="164"/>
      <c r="K26" s="164"/>
      <c r="L26" s="164"/>
      <c r="M26" s="164"/>
      <c r="N26" s="164"/>
      <c r="O26" s="162"/>
      <c r="P26" s="162"/>
      <c r="Q26" s="164"/>
      <c r="T26" s="164">
        <f t="shared" si="0"/>
        <v>0</v>
      </c>
    </row>
    <row r="27" spans="2:20" hidden="1">
      <c r="C27" s="164"/>
      <c r="D27" s="164"/>
      <c r="E27" s="164"/>
      <c r="F27" s="164"/>
      <c r="G27" s="164"/>
      <c r="H27" s="164"/>
      <c r="I27" s="164"/>
      <c r="J27" s="164"/>
      <c r="K27" s="164"/>
      <c r="L27" s="164"/>
      <c r="M27" s="164"/>
      <c r="N27" s="164"/>
      <c r="O27" s="162"/>
      <c r="P27" s="162"/>
      <c r="Q27" s="164"/>
      <c r="T27" s="164">
        <f t="shared" si="0"/>
        <v>0</v>
      </c>
    </row>
    <row r="28" spans="2:20" hidden="1">
      <c r="C28" s="164"/>
      <c r="D28" s="164"/>
      <c r="E28" s="164"/>
      <c r="F28" s="164"/>
      <c r="G28" s="164"/>
      <c r="H28" s="164"/>
      <c r="I28" s="164"/>
      <c r="J28" s="164"/>
      <c r="K28" s="164"/>
      <c r="L28" s="164"/>
      <c r="M28" s="164"/>
      <c r="N28" s="164"/>
      <c r="O28" s="162"/>
      <c r="P28" s="162"/>
      <c r="Q28" s="164"/>
      <c r="T28" s="164">
        <f t="shared" si="0"/>
        <v>0</v>
      </c>
    </row>
    <row r="29" spans="2:20" hidden="1">
      <c r="C29" s="164"/>
      <c r="D29" s="164"/>
      <c r="E29" s="164"/>
      <c r="F29" s="164"/>
      <c r="G29" s="164"/>
      <c r="H29" s="164"/>
      <c r="I29" s="164"/>
      <c r="J29" s="164"/>
      <c r="K29" s="164"/>
      <c r="L29" s="164"/>
      <c r="M29" s="164"/>
      <c r="N29" s="164"/>
      <c r="Q29" s="164"/>
      <c r="T29" s="164">
        <f t="shared" si="0"/>
        <v>0</v>
      </c>
    </row>
    <row r="30" spans="2:20">
      <c r="B30" s="169" t="s">
        <v>486</v>
      </c>
      <c r="C30" s="170"/>
      <c r="D30" s="170"/>
      <c r="E30" s="170"/>
      <c r="F30" s="170"/>
      <c r="G30" s="531">
        <f>'B&amp;A Surcharges'!U23</f>
        <v>517.93318561794479</v>
      </c>
      <c r="L30" s="170"/>
      <c r="M30" s="170"/>
      <c r="N30" s="170"/>
      <c r="O30" s="170"/>
      <c r="P30" s="170"/>
      <c r="Q30" s="164">
        <f>VLOOKUP(B7,'B&amp;A Surcharges'!A:U,21,FALSE)</f>
        <v>517.93318561794479</v>
      </c>
      <c r="T30" s="164">
        <f>Q30</f>
        <v>517.93318561794479</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33196.54</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-441.33999999999992</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1537.6695483870965</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10738.039999999999</v>
      </c>
      <c r="H42" s="164"/>
      <c r="I42" s="164"/>
      <c r="J42" s="164"/>
      <c r="K42" s="164"/>
      <c r="L42" s="164">
        <f>VLOOKUP(B7,'Envir FGD adj'!A:F,6,FALSE)</f>
        <v>-6919.9662294332111</v>
      </c>
      <c r="M42" s="164"/>
      <c r="N42" s="164"/>
      <c r="Q42" s="164">
        <f t="shared" ref="Q42" si="6">L42+M42+N42+O42</f>
        <v>-6919.9662294332111</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6158.7688387096778</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11465.939999999999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1015</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-9400.6200000000008</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231033.74409271474</v>
      </c>
      <c r="L53" s="168">
        <f t="shared" si="7"/>
        <v>-6919.9662294332111</v>
      </c>
      <c r="M53" s="168">
        <f t="shared" si="7"/>
        <v>0</v>
      </c>
      <c r="N53" s="168">
        <f t="shared" si="7"/>
        <v>0</v>
      </c>
      <c r="O53" s="539">
        <f t="shared" si="7"/>
        <v>2951.9003082167483</v>
      </c>
      <c r="P53" s="539">
        <f t="shared" si="7"/>
        <v>0</v>
      </c>
      <c r="Q53" s="168">
        <f t="shared" si="7"/>
        <v>172795.67978440147</v>
      </c>
      <c r="T53" s="168">
        <f>SUM(T13:T50)</f>
        <v>218167.56838372629</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T57"/>
  <sheetViews>
    <sheetView zoomScale="120" zoomScaleNormal="120" workbookViewId="0">
      <pane xSplit="2" ySplit="12" topLeftCell="G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f>4389+6987</f>
        <v>11376</v>
      </c>
      <c r="K2" s="151"/>
    </row>
    <row r="3" spans="2:20">
      <c r="B3" s="150" t="str">
        <f>RS!B3</f>
        <v>PER BOOKS</v>
      </c>
      <c r="G3" s="531"/>
      <c r="H3" s="531"/>
      <c r="I3" s="540">
        <v>-1.2658227848101266E-2</v>
      </c>
      <c r="J3" s="531">
        <f>C16*I3</f>
        <v>-193.44303797468353</v>
      </c>
      <c r="K3" s="531"/>
    </row>
    <row r="4" spans="2:20">
      <c r="B4" s="150" t="str">
        <f>RS!B4</f>
        <v>TEST YEAR ENDED MARCH 31, 2023</v>
      </c>
    </row>
    <row r="6" spans="2:20">
      <c r="B6" s="150" t="s">
        <v>340</v>
      </c>
    </row>
    <row r="7" spans="2:20">
      <c r="B7" s="150" t="s">
        <v>365</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331</v>
      </c>
      <c r="C13" s="164">
        <f>'Bill Units'!H19</f>
        <v>2839560.9144601892</v>
      </c>
      <c r="D13" s="164">
        <f>'Bill Units'!I19</f>
        <v>0</v>
      </c>
      <c r="E13" s="203">
        <f>'Rate Input'!H18</f>
        <v>0.10907</v>
      </c>
      <c r="F13" s="203">
        <f>'Rate Input'!I18</f>
        <v>0</v>
      </c>
      <c r="G13" s="164">
        <f>(C13*E13)+(D13*F13)</f>
        <v>309710.90894017281</v>
      </c>
      <c r="H13" s="164">
        <f>VLOOKUP($B$7,WNLA!A:B,2,FALSE)*(SUM(C13:D13)/SUM(C13:D14))</f>
        <v>11344.982259446464</v>
      </c>
      <c r="I13" s="162">
        <f>VLOOKUP($B$7,'Monthly # of Customers'!A:R,18,FALSE)*SUM(C13:D13)</f>
        <v>-35943.809043799862</v>
      </c>
      <c r="J13" s="162"/>
      <c r="K13" s="164">
        <f>C13+D13+H13+I13+J13</f>
        <v>2814962.0876758355</v>
      </c>
      <c r="L13" s="164"/>
      <c r="M13" s="164"/>
      <c r="N13" s="164">
        <f>H13*E13</f>
        <v>1237.3972150378258</v>
      </c>
      <c r="O13" s="162">
        <f>I13*E13</f>
        <v>-3920.3912524072507</v>
      </c>
      <c r="P13" s="162">
        <f>J13*F13</f>
        <v>0</v>
      </c>
      <c r="Q13" s="164">
        <f>G13+L13+M13+N13+O13+P13</f>
        <v>307027.91490280343</v>
      </c>
      <c r="S13" s="203">
        <f>'Proposed Rates'!C28</f>
        <v>0.12292</v>
      </c>
      <c r="T13" s="164">
        <f>S13*K13</f>
        <v>346015.1398171137</v>
      </c>
    </row>
    <row r="14" spans="2:20">
      <c r="B14" s="538" t="s">
        <v>332</v>
      </c>
      <c r="C14" s="164">
        <f>'Bill Units'!H20</f>
        <v>324135.08553981059</v>
      </c>
      <c r="D14" s="164">
        <f>'Bill Units'!I20</f>
        <v>0</v>
      </c>
      <c r="E14" s="203">
        <f>'Rate Input'!H19</f>
        <v>0.10201</v>
      </c>
      <c r="F14" s="203">
        <f>'Rate Input'!I19</f>
        <v>0</v>
      </c>
      <c r="G14" s="164">
        <f t="shared" ref="G14" si="0">(C14*E14)+(D14*F14)</f>
        <v>33065.02007591608</v>
      </c>
      <c r="H14" s="164">
        <f>VLOOKUP($B$7,WNLA!A:B,2,FALSE)*(SUM(C14:D14)/SUM(C13:D14))</f>
        <v>1295.0265572353051</v>
      </c>
      <c r="I14" s="162">
        <f>VLOOKUP($B$7,'Monthly # of Customers'!A:R,18,FALSE)*SUM(C14:D14)</f>
        <v>-4102.9757663267164</v>
      </c>
      <c r="J14" s="164"/>
      <c r="K14" s="164">
        <f t="shared" ref="K14" si="1">C14+D14+H14+I14+J14</f>
        <v>321327.13633071916</v>
      </c>
      <c r="L14" s="164"/>
      <c r="M14" s="164"/>
      <c r="N14" s="164">
        <f>H14*E14</f>
        <v>132.10565910357349</v>
      </c>
      <c r="O14" s="162">
        <f>I14*E14</f>
        <v>-418.54455792298836</v>
      </c>
      <c r="P14" s="162">
        <f t="shared" ref="P14" si="2">J14*F14</f>
        <v>0</v>
      </c>
      <c r="Q14" s="164">
        <f t="shared" ref="Q14" si="3">G14+L14+M14+N14+O14+P14</f>
        <v>32778.581177096668</v>
      </c>
      <c r="S14" s="203">
        <f>'Proposed Rates'!C29</f>
        <v>0.10813</v>
      </c>
      <c r="T14" s="164">
        <f t="shared" ref="T14" si="4">S14*K14</f>
        <v>34745.103251440662</v>
      </c>
    </row>
    <row r="15" spans="2:20">
      <c r="B15" s="538"/>
      <c r="C15" s="164"/>
      <c r="D15" s="164"/>
      <c r="E15" s="203"/>
      <c r="F15" s="203"/>
      <c r="G15" s="164"/>
      <c r="H15" s="164"/>
      <c r="I15" s="164"/>
      <c r="J15" s="162"/>
      <c r="K15" s="164"/>
      <c r="L15" s="164"/>
      <c r="M15" s="164"/>
      <c r="N15" s="164"/>
      <c r="O15" s="162"/>
      <c r="P15" s="162"/>
      <c r="Q15" s="164"/>
      <c r="S15" s="162"/>
      <c r="T15" s="164"/>
    </row>
    <row r="16" spans="2:20">
      <c r="B16" s="150" t="s">
        <v>12</v>
      </c>
      <c r="C16" s="164">
        <f>'Bill Units'!H22</f>
        <v>15282</v>
      </c>
      <c r="D16" s="164">
        <f>'Bill Units'!I22</f>
        <v>0</v>
      </c>
      <c r="E16" s="203">
        <f>'Rate Input'!H21</f>
        <v>15</v>
      </c>
      <c r="F16" s="203">
        <f>'Rate Input'!I21</f>
        <v>0</v>
      </c>
      <c r="G16" s="164">
        <f>(C16*E16)+(D16*F16)</f>
        <v>229230</v>
      </c>
      <c r="H16" s="164"/>
      <c r="I16" s="164">
        <f>VLOOKUP($B$7,'Monthly # of Customers'!A:R,18,FALSE)*SUM(C16:D16)</f>
        <v>-193.44303797468353</v>
      </c>
      <c r="J16" s="164"/>
      <c r="K16" s="164">
        <f>C16+D16+H16+I16+J16</f>
        <v>15088.556962025317</v>
      </c>
      <c r="L16" s="164"/>
      <c r="M16" s="164"/>
      <c r="N16" s="164">
        <f>H16*F16</f>
        <v>0</v>
      </c>
      <c r="O16" s="162">
        <f>I16*E16</f>
        <v>-2901.6455696202529</v>
      </c>
      <c r="P16" s="162">
        <f>J16*F16</f>
        <v>0</v>
      </c>
      <c r="Q16" s="164">
        <f>G16+L16+M16+N16+O16+P16</f>
        <v>226328.35443037975</v>
      </c>
      <c r="S16" s="162">
        <f>'Proposed Rates'!B27</f>
        <v>15</v>
      </c>
      <c r="T16" s="164">
        <f>S16*K16</f>
        <v>226328.35443037975</v>
      </c>
    </row>
    <row r="17" spans="2:20">
      <c r="C17" s="164"/>
      <c r="D17" s="164"/>
      <c r="E17" s="203"/>
      <c r="F17" s="203"/>
      <c r="G17" s="164"/>
      <c r="H17" s="162"/>
      <c r="I17" s="164"/>
      <c r="J17" s="164"/>
      <c r="K17" s="164"/>
      <c r="L17" s="164"/>
      <c r="M17" s="164"/>
      <c r="N17" s="164"/>
      <c r="O17" s="162"/>
      <c r="P17" s="162"/>
      <c r="Q17" s="164"/>
      <c r="S17" s="162"/>
      <c r="T17" s="164"/>
    </row>
    <row r="18" spans="2:20" hidden="1"/>
    <row r="19" spans="2:20" hidden="1">
      <c r="C19" s="164"/>
      <c r="D19" s="164"/>
      <c r="E19" s="162"/>
      <c r="F19" s="162"/>
      <c r="G19" s="164"/>
      <c r="H19" s="164"/>
      <c r="I19" s="164"/>
      <c r="J19" s="164"/>
      <c r="K19" s="164"/>
      <c r="L19" s="164"/>
      <c r="M19" s="164"/>
      <c r="N19" s="164"/>
      <c r="O19" s="162"/>
      <c r="P19" s="162"/>
      <c r="Q19" s="164"/>
      <c r="S19" s="541"/>
      <c r="T19" s="150">
        <f>Q19</f>
        <v>0</v>
      </c>
    </row>
    <row r="20" spans="2:20" hidden="1">
      <c r="C20" s="164"/>
      <c r="D20" s="164"/>
      <c r="E20" s="162"/>
      <c r="F20" s="162"/>
      <c r="G20" s="164"/>
      <c r="H20" s="164"/>
      <c r="I20" s="164"/>
      <c r="J20" s="164"/>
      <c r="K20" s="164"/>
      <c r="L20" s="164"/>
      <c r="M20" s="164"/>
      <c r="N20" s="164"/>
      <c r="O20" s="162"/>
      <c r="P20" s="162"/>
      <c r="Q20" s="164"/>
    </row>
    <row r="21" spans="2:20" hidden="1">
      <c r="C21" s="164"/>
      <c r="D21" s="164"/>
      <c r="E21" s="164"/>
      <c r="F21" s="164"/>
      <c r="G21" s="164"/>
      <c r="H21" s="164"/>
      <c r="I21" s="164"/>
      <c r="J21" s="164"/>
      <c r="K21" s="164"/>
      <c r="L21" s="164"/>
      <c r="M21" s="164"/>
      <c r="N21" s="164"/>
      <c r="O21" s="162"/>
      <c r="P21" s="162"/>
      <c r="Q21" s="164"/>
      <c r="T21" s="164"/>
    </row>
    <row r="22" spans="2:20" hidden="1">
      <c r="C22" s="164"/>
      <c r="D22" s="164"/>
      <c r="E22" s="164"/>
      <c r="F22" s="164"/>
      <c r="G22" s="164"/>
      <c r="H22" s="164"/>
      <c r="I22" s="164"/>
      <c r="J22" s="164"/>
      <c r="K22" s="164"/>
      <c r="L22" s="164"/>
      <c r="M22" s="164"/>
      <c r="N22" s="164"/>
      <c r="O22" s="162"/>
      <c r="P22" s="162"/>
      <c r="Q22" s="164"/>
      <c r="T22" s="164"/>
    </row>
    <row r="23" spans="2:20" hidden="1">
      <c r="C23" s="164"/>
      <c r="D23" s="164"/>
      <c r="E23" s="164"/>
      <c r="F23" s="164"/>
      <c r="G23" s="164"/>
      <c r="H23" s="164"/>
      <c r="I23" s="164"/>
      <c r="J23" s="164"/>
      <c r="K23" s="164"/>
      <c r="L23" s="164"/>
      <c r="M23" s="164"/>
      <c r="N23" s="164"/>
      <c r="O23" s="162"/>
      <c r="P23" s="162"/>
      <c r="Q23" s="164"/>
      <c r="T23" s="164"/>
    </row>
    <row r="24" spans="2:20" hidden="1">
      <c r="C24" s="164"/>
      <c r="D24" s="164"/>
      <c r="E24" s="164"/>
      <c r="F24" s="164"/>
      <c r="G24" s="164"/>
      <c r="H24" s="164"/>
      <c r="I24" s="164"/>
      <c r="J24" s="164"/>
      <c r="K24" s="164"/>
      <c r="L24" s="164"/>
      <c r="M24" s="164"/>
      <c r="N24" s="164"/>
      <c r="O24" s="162"/>
      <c r="P24" s="162"/>
      <c r="Q24" s="164"/>
      <c r="T24" s="164"/>
    </row>
    <row r="25" spans="2:20" hidden="1">
      <c r="C25" s="164"/>
      <c r="D25" s="164"/>
      <c r="E25" s="164"/>
      <c r="F25" s="164"/>
      <c r="G25" s="164"/>
      <c r="H25" s="164"/>
      <c r="I25" s="164"/>
      <c r="J25" s="164"/>
      <c r="K25" s="164"/>
      <c r="L25" s="164"/>
      <c r="M25" s="164"/>
      <c r="N25" s="164"/>
      <c r="O25" s="162"/>
      <c r="P25" s="162"/>
      <c r="Q25" s="164"/>
      <c r="T25" s="164"/>
    </row>
    <row r="26" spans="2:20" hidden="1">
      <c r="C26" s="164"/>
      <c r="D26" s="164"/>
      <c r="E26" s="164"/>
      <c r="F26" s="164"/>
      <c r="G26" s="164"/>
      <c r="H26" s="164"/>
      <c r="I26" s="164"/>
      <c r="J26" s="164"/>
      <c r="K26" s="164"/>
      <c r="L26" s="164"/>
      <c r="M26" s="164"/>
      <c r="N26" s="164"/>
      <c r="O26" s="162"/>
      <c r="P26" s="162"/>
      <c r="Q26" s="164"/>
      <c r="T26" s="164"/>
    </row>
    <row r="27" spans="2:20" hidden="1">
      <c r="C27" s="164"/>
      <c r="D27" s="164"/>
      <c r="E27" s="164"/>
      <c r="F27" s="164"/>
      <c r="G27" s="164"/>
      <c r="H27" s="164"/>
      <c r="I27" s="164"/>
      <c r="J27" s="164"/>
      <c r="K27" s="164"/>
      <c r="L27" s="164"/>
      <c r="M27" s="164"/>
      <c r="N27" s="164"/>
      <c r="O27" s="162"/>
      <c r="P27" s="162"/>
      <c r="Q27" s="164"/>
      <c r="T27" s="164"/>
    </row>
    <row r="28" spans="2:20" hidden="1">
      <c r="C28" s="164"/>
      <c r="D28" s="164"/>
      <c r="E28" s="164"/>
      <c r="F28" s="164"/>
      <c r="G28" s="164"/>
      <c r="H28" s="164"/>
      <c r="I28" s="164"/>
      <c r="J28" s="164"/>
      <c r="K28" s="164"/>
      <c r="L28" s="164"/>
      <c r="M28" s="164"/>
      <c r="N28" s="164"/>
      <c r="O28" s="162"/>
      <c r="P28" s="162"/>
      <c r="Q28" s="164"/>
      <c r="T28" s="164"/>
    </row>
    <row r="29" spans="2:20" hidden="1">
      <c r="C29" s="164"/>
      <c r="D29" s="164"/>
      <c r="E29" s="164"/>
      <c r="F29" s="164"/>
      <c r="G29" s="164"/>
      <c r="H29" s="164"/>
      <c r="I29" s="164"/>
      <c r="J29" s="164"/>
      <c r="K29" s="164"/>
      <c r="L29" s="164"/>
      <c r="M29" s="164"/>
      <c r="N29" s="164"/>
      <c r="Q29" s="164"/>
      <c r="T29" s="164"/>
    </row>
    <row r="30" spans="2:20">
      <c r="B30" s="169" t="s">
        <v>486</v>
      </c>
      <c r="C30" s="170"/>
      <c r="D30" s="170"/>
      <c r="E30" s="170"/>
      <c r="F30" s="170"/>
      <c r="G30" s="531">
        <f>'B&amp;A Surcharges'!U21</f>
        <v>690.47182226908956</v>
      </c>
      <c r="L30" s="170"/>
      <c r="M30" s="170"/>
      <c r="N30" s="170"/>
      <c r="O30" s="170"/>
      <c r="P30" s="170"/>
      <c r="Q30" s="164">
        <f>VLOOKUP(B7,'B&amp;A Surcharges'!A:U,21,FALSE)</f>
        <v>690.47182226908956</v>
      </c>
      <c r="T30" s="164">
        <f>Q30</f>
        <v>690.47182226908956</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82755.320000000007</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-967.64</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3534.6275858064514</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40224.14</v>
      </c>
      <c r="H42" s="164"/>
      <c r="I42" s="164"/>
      <c r="J42" s="164"/>
      <c r="K42" s="164"/>
      <c r="L42" s="164">
        <f>VLOOKUP(B7,'Envir FGD adj'!A:F,6,FALSE)</f>
        <v>-25921.83400397034</v>
      </c>
      <c r="M42" s="164"/>
      <c r="N42" s="164"/>
      <c r="Q42" s="164">
        <f t="shared" ref="Q42" si="5">L42+M42+N42+O42</f>
        <v>-25921.83400397034</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13977.348020645162</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40433.909999999989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11376</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-21266.69</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SUM(G13:G50)</f>
        <v>742763.41644480964</v>
      </c>
      <c r="L53" s="168">
        <f t="shared" ref="L53:Q53" si="6">SUM(L13:L50)</f>
        <v>-25921.83400397034</v>
      </c>
      <c r="M53" s="168">
        <f t="shared" si="6"/>
        <v>0</v>
      </c>
      <c r="N53" s="168">
        <f t="shared" si="6"/>
        <v>1369.5028741413994</v>
      </c>
      <c r="O53" s="539">
        <f t="shared" si="6"/>
        <v>-7240.5813799504922</v>
      </c>
      <c r="P53" s="539">
        <f t="shared" si="6"/>
        <v>0</v>
      </c>
      <c r="Q53" s="168">
        <f t="shared" si="6"/>
        <v>540903.48832857865</v>
      </c>
      <c r="T53" s="168">
        <f>SUM(T13:T50)</f>
        <v>607779.06932120328</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T57"/>
  <sheetViews>
    <sheetView zoomScale="130" zoomScaleNormal="13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499</v>
      </c>
    </row>
    <row r="7" spans="2:20">
      <c r="B7" s="150" t="s">
        <v>369</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Units'!D27</f>
        <v>658676</v>
      </c>
      <c r="D13" s="164">
        <f>'Bill Units'!E27</f>
        <v>0</v>
      </c>
      <c r="E13" s="203">
        <f>'Rate Input'!D26</f>
        <v>0.15908</v>
      </c>
      <c r="F13" s="203">
        <f>'Rate Input'!E26</f>
        <v>0</v>
      </c>
      <c r="G13" s="164">
        <f>(C13*E13)+(D13*F13)</f>
        <v>104782.17808</v>
      </c>
      <c r="H13" s="164">
        <f>VLOOKUP($B$7,WNLA!A:B,2,FALSE)*(SUM(C13:D13)/SUM(C13:D14))</f>
        <v>68996.747193344767</v>
      </c>
      <c r="I13" s="162">
        <f>VLOOKUP($B$7,'Monthly # of Customers'!A:R,18,FALSE)*SUM(C13:D13)</f>
        <v>-21247.612903225807</v>
      </c>
      <c r="J13" s="162"/>
      <c r="K13" s="164">
        <f>C13+D13+H13+I13+J13</f>
        <v>706425.13429011893</v>
      </c>
      <c r="L13" s="164"/>
      <c r="M13" s="164"/>
      <c r="N13" s="164">
        <f>H13*E13</f>
        <v>10976.002543517285</v>
      </c>
      <c r="O13" s="162">
        <f>I13*E13</f>
        <v>-3380.0702606451614</v>
      </c>
      <c r="P13" s="162">
        <f>J13*F13</f>
        <v>0</v>
      </c>
      <c r="Q13" s="164">
        <f>G13+L13+M13+N13+O13+P13</f>
        <v>112378.11036287212</v>
      </c>
      <c r="S13" s="203">
        <f>'Proposed Rates'!C31</f>
        <v>0.18567</v>
      </c>
      <c r="T13" s="164">
        <f>S13*K13</f>
        <v>131161.95468364639</v>
      </c>
    </row>
    <row r="14" spans="2:20">
      <c r="B14" s="538" t="s">
        <v>23</v>
      </c>
      <c r="C14" s="164">
        <f>'Bill Units'!D28</f>
        <v>1018469</v>
      </c>
      <c r="D14" s="164">
        <f>'Bill Units'!E28</f>
        <v>0</v>
      </c>
      <c r="E14" s="203">
        <f>'Rate Input'!D27</f>
        <v>7.9149999999999998E-2</v>
      </c>
      <c r="F14" s="203">
        <f>'Rate Input'!E27</f>
        <v>0</v>
      </c>
      <c r="G14" s="164">
        <f t="shared" ref="G14" si="0">(C14*E14)+(D14*F14)</f>
        <v>80611.821349999998</v>
      </c>
      <c r="H14" s="164">
        <f>VLOOKUP($B$7,WNLA!A:B,2,FALSE)*(SUM(C14:D14)/SUM(C13:D14))</f>
        <v>106685.30220815493</v>
      </c>
      <c r="I14" s="162">
        <f>VLOOKUP($B$7,'Monthly # of Customers'!A:R,18,FALSE)*SUM(C14:D14)</f>
        <v>-32853.838709677417</v>
      </c>
      <c r="J14" s="164"/>
      <c r="K14" s="164">
        <f t="shared" ref="K14" si="1">C14+D14+H14+I14+J14</f>
        <v>1092300.4634984776</v>
      </c>
      <c r="L14" s="164"/>
      <c r="M14" s="164"/>
      <c r="N14" s="164">
        <f>H14*E14</f>
        <v>8444.141669775463</v>
      </c>
      <c r="O14" s="162">
        <f>I14*E14</f>
        <v>-2600.3813338709674</v>
      </c>
      <c r="P14" s="162">
        <f t="shared" ref="P14" si="2">J14*F14</f>
        <v>0</v>
      </c>
      <c r="Q14" s="164">
        <f t="shared" ref="Q14" si="3">G14+L14+M14+N14+O14+P14</f>
        <v>86455.581685904486</v>
      </c>
      <c r="S14" s="203">
        <f>'Proposed Rates'!C32</f>
        <v>8.5580000000000003E-2</v>
      </c>
      <c r="T14" s="164">
        <f t="shared" ref="T14:T29" si="4">S14*K14</f>
        <v>93479.073666199722</v>
      </c>
    </row>
    <row r="15" spans="2:20">
      <c r="B15" s="538"/>
      <c r="C15" s="164"/>
      <c r="D15" s="164"/>
      <c r="E15" s="203"/>
      <c r="F15" s="203"/>
      <c r="G15" s="164"/>
      <c r="H15" s="164"/>
      <c r="I15" s="164"/>
      <c r="J15" s="162"/>
      <c r="K15" s="164"/>
      <c r="L15" s="164"/>
      <c r="M15" s="164"/>
      <c r="N15" s="164"/>
      <c r="O15" s="162"/>
      <c r="P15" s="162"/>
      <c r="Q15" s="164"/>
      <c r="S15" s="162"/>
      <c r="T15" s="164">
        <f t="shared" si="4"/>
        <v>0</v>
      </c>
    </row>
    <row r="16" spans="2:20">
      <c r="B16" s="150" t="s">
        <v>12</v>
      </c>
      <c r="C16" s="164">
        <f>'Bill Units'!D30</f>
        <v>806</v>
      </c>
      <c r="D16" s="164">
        <f>'Bill Units'!E30</f>
        <v>0</v>
      </c>
      <c r="E16" s="203">
        <f>'Rate Input'!D29</f>
        <v>25</v>
      </c>
      <c r="F16" s="203">
        <f>'Rate Input'!E29</f>
        <v>0</v>
      </c>
      <c r="G16" s="164">
        <f>(C16*E16)+(D16*F16)</f>
        <v>20150</v>
      </c>
      <c r="H16" s="164"/>
      <c r="I16" s="164">
        <f>VLOOKUP($B$7,'Monthly # of Customers'!A:R,18,FALSE)*SUM(C16:D16)</f>
        <v>-26</v>
      </c>
      <c r="J16" s="164"/>
      <c r="K16" s="164">
        <f>C16+D16+H16+I16+J16</f>
        <v>780</v>
      </c>
      <c r="L16" s="164"/>
      <c r="M16" s="164"/>
      <c r="N16" s="164">
        <f>H16*F16</f>
        <v>0</v>
      </c>
      <c r="O16" s="162">
        <f>I16*E16</f>
        <v>-650</v>
      </c>
      <c r="P16" s="162">
        <f>J16*F16</f>
        <v>0</v>
      </c>
      <c r="Q16" s="164">
        <f>G16+L16+M16+N16+O16+P16</f>
        <v>19500</v>
      </c>
      <c r="S16" s="162">
        <f>'Proposed Rates'!B30</f>
        <v>28</v>
      </c>
      <c r="T16" s="164">
        <f t="shared" si="4"/>
        <v>21840</v>
      </c>
    </row>
    <row r="17" spans="2:20">
      <c r="C17" s="164"/>
      <c r="D17" s="164"/>
      <c r="E17" s="203"/>
      <c r="F17" s="203"/>
      <c r="G17" s="164"/>
      <c r="H17" s="162"/>
      <c r="I17" s="164"/>
      <c r="J17" s="164"/>
      <c r="K17" s="164"/>
      <c r="L17" s="164"/>
      <c r="M17" s="164"/>
      <c r="N17" s="164"/>
      <c r="O17" s="162"/>
      <c r="P17" s="162"/>
      <c r="Q17" s="164"/>
      <c r="S17" s="162"/>
      <c r="T17" s="164">
        <f t="shared" si="4"/>
        <v>0</v>
      </c>
    </row>
    <row r="18" spans="2:20" hidden="1">
      <c r="S18" s="162"/>
      <c r="T18" s="164">
        <f t="shared" si="4"/>
        <v>0</v>
      </c>
    </row>
    <row r="19" spans="2:20" hidden="1">
      <c r="C19" s="164"/>
      <c r="D19" s="164"/>
      <c r="E19" s="162"/>
      <c r="F19" s="162"/>
      <c r="G19" s="164"/>
      <c r="H19" s="164"/>
      <c r="I19" s="164"/>
      <c r="J19" s="164"/>
      <c r="K19" s="164"/>
      <c r="L19" s="164"/>
      <c r="M19" s="164"/>
      <c r="N19" s="164"/>
      <c r="O19" s="162"/>
      <c r="P19" s="162"/>
      <c r="Q19" s="164"/>
      <c r="S19" s="162"/>
      <c r="T19" s="164">
        <f t="shared" si="4"/>
        <v>0</v>
      </c>
    </row>
    <row r="20" spans="2:20" hidden="1">
      <c r="C20" s="164"/>
      <c r="D20" s="164"/>
      <c r="E20" s="162"/>
      <c r="F20" s="162"/>
      <c r="G20" s="164"/>
      <c r="H20" s="164"/>
      <c r="I20" s="164"/>
      <c r="J20" s="164"/>
      <c r="K20" s="164"/>
      <c r="L20" s="164"/>
      <c r="M20" s="164"/>
      <c r="N20" s="164"/>
      <c r="O20" s="162"/>
      <c r="P20" s="162"/>
      <c r="Q20" s="164"/>
      <c r="S20" s="162"/>
      <c r="T20" s="164">
        <f t="shared" si="4"/>
        <v>0</v>
      </c>
    </row>
    <row r="21" spans="2:20" hidden="1">
      <c r="C21" s="164"/>
      <c r="D21" s="164"/>
      <c r="E21" s="164"/>
      <c r="F21" s="164"/>
      <c r="G21" s="164"/>
      <c r="H21" s="164"/>
      <c r="I21" s="164"/>
      <c r="J21" s="164"/>
      <c r="K21" s="164"/>
      <c r="L21" s="164"/>
      <c r="M21" s="164"/>
      <c r="N21" s="164"/>
      <c r="O21" s="162"/>
      <c r="P21" s="162"/>
      <c r="Q21" s="164"/>
      <c r="T21" s="164">
        <f t="shared" si="4"/>
        <v>0</v>
      </c>
    </row>
    <row r="22" spans="2:20" hidden="1">
      <c r="C22" s="164"/>
      <c r="D22" s="164"/>
      <c r="E22" s="164"/>
      <c r="F22" s="164"/>
      <c r="G22" s="164"/>
      <c r="H22" s="164"/>
      <c r="I22" s="164"/>
      <c r="J22" s="164"/>
      <c r="K22" s="164"/>
      <c r="L22" s="164"/>
      <c r="M22" s="164"/>
      <c r="N22" s="164"/>
      <c r="O22" s="162"/>
      <c r="P22" s="162"/>
      <c r="Q22" s="164"/>
      <c r="T22" s="164">
        <f t="shared" si="4"/>
        <v>0</v>
      </c>
    </row>
    <row r="23" spans="2:20" hidden="1">
      <c r="C23" s="164"/>
      <c r="D23" s="164"/>
      <c r="E23" s="164"/>
      <c r="F23" s="164"/>
      <c r="G23" s="164"/>
      <c r="H23" s="164"/>
      <c r="I23" s="164"/>
      <c r="J23" s="164"/>
      <c r="K23" s="164"/>
      <c r="L23" s="164"/>
      <c r="M23" s="164"/>
      <c r="N23" s="164"/>
      <c r="O23" s="162"/>
      <c r="P23" s="162"/>
      <c r="Q23" s="164"/>
      <c r="T23" s="164">
        <f t="shared" si="4"/>
        <v>0</v>
      </c>
    </row>
    <row r="24" spans="2:20" hidden="1">
      <c r="C24" s="164"/>
      <c r="D24" s="164"/>
      <c r="E24" s="164"/>
      <c r="F24" s="164"/>
      <c r="G24" s="164"/>
      <c r="H24" s="164"/>
      <c r="I24" s="164"/>
      <c r="J24" s="164"/>
      <c r="K24" s="164"/>
      <c r="L24" s="164"/>
      <c r="M24" s="164"/>
      <c r="N24" s="164"/>
      <c r="O24" s="162"/>
      <c r="P24" s="162"/>
      <c r="Q24" s="164"/>
      <c r="T24" s="164">
        <f t="shared" si="4"/>
        <v>0</v>
      </c>
    </row>
    <row r="25" spans="2:20" hidden="1">
      <c r="C25" s="164"/>
      <c r="D25" s="164"/>
      <c r="E25" s="164"/>
      <c r="F25" s="164"/>
      <c r="G25" s="164"/>
      <c r="H25" s="164"/>
      <c r="I25" s="164"/>
      <c r="J25" s="164"/>
      <c r="K25" s="164"/>
      <c r="L25" s="164"/>
      <c r="M25" s="164"/>
      <c r="N25" s="164"/>
      <c r="O25" s="162"/>
      <c r="P25" s="162"/>
      <c r="Q25" s="164"/>
      <c r="T25" s="164">
        <f t="shared" si="4"/>
        <v>0</v>
      </c>
    </row>
    <row r="26" spans="2:20" hidden="1">
      <c r="C26" s="164"/>
      <c r="D26" s="164"/>
      <c r="E26" s="164"/>
      <c r="F26" s="164"/>
      <c r="G26" s="164"/>
      <c r="H26" s="164"/>
      <c r="I26" s="164"/>
      <c r="J26" s="164"/>
      <c r="K26" s="164"/>
      <c r="L26" s="164"/>
      <c r="M26" s="164"/>
      <c r="N26" s="164"/>
      <c r="O26" s="162"/>
      <c r="P26" s="162"/>
      <c r="Q26" s="164"/>
      <c r="T26" s="164">
        <f t="shared" si="4"/>
        <v>0</v>
      </c>
    </row>
    <row r="27" spans="2:20" hidden="1">
      <c r="C27" s="164"/>
      <c r="D27" s="164"/>
      <c r="E27" s="164"/>
      <c r="F27" s="164"/>
      <c r="G27" s="164"/>
      <c r="H27" s="164"/>
      <c r="I27" s="164"/>
      <c r="J27" s="164"/>
      <c r="K27" s="164"/>
      <c r="L27" s="164"/>
      <c r="M27" s="164"/>
      <c r="N27" s="164"/>
      <c r="O27" s="162"/>
      <c r="P27" s="162"/>
      <c r="Q27" s="164"/>
      <c r="T27" s="164">
        <f t="shared" si="4"/>
        <v>0</v>
      </c>
    </row>
    <row r="28" spans="2:20" hidden="1">
      <c r="C28" s="164"/>
      <c r="D28" s="164"/>
      <c r="E28" s="164"/>
      <c r="F28" s="164"/>
      <c r="G28" s="164"/>
      <c r="H28" s="164"/>
      <c r="I28" s="164"/>
      <c r="J28" s="164"/>
      <c r="K28" s="164"/>
      <c r="L28" s="164"/>
      <c r="M28" s="164"/>
      <c r="N28" s="164"/>
      <c r="O28" s="162"/>
      <c r="P28" s="162"/>
      <c r="Q28" s="164"/>
      <c r="T28" s="164">
        <f t="shared" si="4"/>
        <v>0</v>
      </c>
    </row>
    <row r="29" spans="2:20" hidden="1">
      <c r="C29" s="164"/>
      <c r="D29" s="164"/>
      <c r="E29" s="164"/>
      <c r="F29" s="164"/>
      <c r="G29" s="164"/>
      <c r="H29" s="164"/>
      <c r="I29" s="164"/>
      <c r="J29" s="164"/>
      <c r="K29" s="164"/>
      <c r="L29" s="164"/>
      <c r="M29" s="164"/>
      <c r="N29" s="164"/>
      <c r="Q29" s="164"/>
      <c r="T29" s="164">
        <f t="shared" si="4"/>
        <v>0</v>
      </c>
    </row>
    <row r="30" spans="2:20">
      <c r="B30" s="169" t="s">
        <v>486</v>
      </c>
      <c r="C30" s="170"/>
      <c r="D30" s="170"/>
      <c r="E30" s="170"/>
      <c r="F30" s="170"/>
      <c r="G30" s="531">
        <f>'B&amp;A Surcharges'!U27</f>
        <v>-2089.8997590631411</v>
      </c>
      <c r="L30" s="170"/>
      <c r="M30" s="170"/>
      <c r="N30" s="170"/>
      <c r="O30" s="170"/>
      <c r="P30" s="170"/>
      <c r="Q30" s="164">
        <f>VLOOKUP(B7,'B&amp;A Surcharges'!A:U,21,FALSE)</f>
        <v>-2089.8997590631411</v>
      </c>
      <c r="T30" s="164">
        <f>Q30</f>
        <v>-2089.8997590631411</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45953.7</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-519.1099999999999</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1757.0908167741934</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12637.22</v>
      </c>
      <c r="H42" s="164"/>
      <c r="I42" s="164"/>
      <c r="J42" s="164"/>
      <c r="K42" s="164"/>
      <c r="L42" s="164">
        <f>VLOOKUP(B7,'Envir FGD adj'!A:F,6,FALSE)</f>
        <v>-8143.8638367819431</v>
      </c>
      <c r="M42" s="164"/>
      <c r="N42" s="164"/>
      <c r="Q42" s="164">
        <f t="shared" ref="Q42" si="5">L42+M42+N42+O42</f>
        <v>-8143.8638367819431</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7167.5005574193547</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12883.14</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806</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-11149.04</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6">SUM(G13:G50)</f>
        <v>272990.60104513046</v>
      </c>
      <c r="L53" s="168">
        <f t="shared" si="6"/>
        <v>-8143.8638367819431</v>
      </c>
      <c r="M53" s="168">
        <f t="shared" si="6"/>
        <v>0</v>
      </c>
      <c r="N53" s="168">
        <f t="shared" si="6"/>
        <v>19420.144213292748</v>
      </c>
      <c r="O53" s="539">
        <f t="shared" si="6"/>
        <v>-6630.4515945161293</v>
      </c>
      <c r="P53" s="539">
        <f t="shared" si="6"/>
        <v>0</v>
      </c>
      <c r="Q53" s="168">
        <f t="shared" si="6"/>
        <v>208099.92845293152</v>
      </c>
      <c r="T53" s="168">
        <f>SUM(T13:T50)</f>
        <v>244391.12859078296</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2:T57"/>
  <sheetViews>
    <sheetView zoomScale="115" zoomScaleNormal="115" workbookViewId="0">
      <pane xSplit="2" ySplit="12" topLeftCell="G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41</v>
      </c>
    </row>
    <row r="7" spans="2:20">
      <c r="B7" s="150" t="s">
        <v>370</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Units'!H27</f>
        <v>3283574</v>
      </c>
      <c r="D13" s="164">
        <f>'Bill Units'!I27</f>
        <v>0</v>
      </c>
      <c r="E13" s="203">
        <f>'Rate Input'!H26</f>
        <v>0.15908</v>
      </c>
      <c r="F13" s="203">
        <f>'Rate Input'!I26</f>
        <v>0</v>
      </c>
      <c r="G13" s="164">
        <f>(C13*E13)+(D13*F13)</f>
        <v>522350.95192000002</v>
      </c>
      <c r="H13" s="164">
        <f>VLOOKUP($B$7,WNLA!A:B,2,FALSE)*(SUM(C13:D13)/SUM(C13:D14))</f>
        <v>0</v>
      </c>
      <c r="I13" s="162">
        <f>VLOOKUP($B$7,'Monthly # of Customers'!A:R,18,FALSE)*SUM(C13:D13)</f>
        <v>62843.521531100479</v>
      </c>
      <c r="J13" s="162"/>
      <c r="K13" s="164">
        <f>C13+D13+H13+I13+J13</f>
        <v>3346417.5215311004</v>
      </c>
      <c r="L13" s="164"/>
      <c r="M13" s="164"/>
      <c r="N13" s="164">
        <f>H13*F13</f>
        <v>0</v>
      </c>
      <c r="O13" s="162">
        <f>I13*E13</f>
        <v>9997.147405167465</v>
      </c>
      <c r="P13" s="162">
        <f>J13*F13</f>
        <v>0</v>
      </c>
      <c r="Q13" s="164">
        <f>G13+L13+M13+N13+O13+P13</f>
        <v>532348.09932516748</v>
      </c>
      <c r="S13" s="203">
        <f>'Proposed Rates'!C31</f>
        <v>0.18567</v>
      </c>
      <c r="T13" s="164">
        <f>S13*K13</f>
        <v>621329.34122267936</v>
      </c>
    </row>
    <row r="14" spans="2:20">
      <c r="B14" s="538" t="s">
        <v>23</v>
      </c>
      <c r="C14" s="164">
        <f>'Bill Units'!H28</f>
        <v>5076147</v>
      </c>
      <c r="D14" s="164">
        <f>'Bill Units'!I28</f>
        <v>0</v>
      </c>
      <c r="E14" s="203">
        <f>'Rate Input'!H27</f>
        <v>7.9149999999999998E-2</v>
      </c>
      <c r="F14" s="203">
        <f>'Rate Input'!I27</f>
        <v>0</v>
      </c>
      <c r="G14" s="164">
        <f t="shared" ref="G14" si="0">(C14*E14)+(D14*F14)</f>
        <v>401777.03505000001</v>
      </c>
      <c r="H14" s="164">
        <f>VLOOKUP($B$7,WNLA!A:B,2,FALSE)*(SUM(C14:D14)/SUM(C13:D14))</f>
        <v>0</v>
      </c>
      <c r="I14" s="162">
        <f>VLOOKUP($B$7,'Monthly # of Customers'!A:R,18,FALSE)*SUM(C14:D14)</f>
        <v>97151.138755980865</v>
      </c>
      <c r="J14" s="164"/>
      <c r="K14" s="164">
        <f t="shared" ref="K14" si="1">C14+D14+H14+I14+J14</f>
        <v>5173298.1387559809</v>
      </c>
      <c r="L14" s="164"/>
      <c r="M14" s="164"/>
      <c r="N14" s="164">
        <f t="shared" ref="N14" si="2">H14*F14</f>
        <v>0</v>
      </c>
      <c r="O14" s="162">
        <f>I14*E14</f>
        <v>7689.5126325358851</v>
      </c>
      <c r="P14" s="162">
        <f t="shared" ref="P14" si="3">J14*F14</f>
        <v>0</v>
      </c>
      <c r="Q14" s="164">
        <f t="shared" ref="Q14" si="4">G14+L14+M14+N14+O14+P14</f>
        <v>409466.54768253589</v>
      </c>
      <c r="S14" s="203">
        <f>'Proposed Rates'!C32</f>
        <v>8.5580000000000003E-2</v>
      </c>
      <c r="T14" s="164">
        <f t="shared" ref="T14:T29" si="5">S14*K14</f>
        <v>442730.85471473687</v>
      </c>
    </row>
    <row r="15" spans="2:20">
      <c r="B15" s="538"/>
      <c r="C15" s="164"/>
      <c r="D15" s="164"/>
      <c r="E15" s="203"/>
      <c r="F15" s="203"/>
      <c r="G15" s="164"/>
      <c r="H15" s="164"/>
      <c r="I15" s="164"/>
      <c r="J15" s="162"/>
      <c r="K15" s="164"/>
      <c r="L15" s="164"/>
      <c r="M15" s="164"/>
      <c r="N15" s="164"/>
      <c r="O15" s="162"/>
      <c r="P15" s="162"/>
      <c r="Q15" s="164"/>
      <c r="S15" s="162"/>
      <c r="T15" s="164">
        <f t="shared" si="5"/>
        <v>0</v>
      </c>
    </row>
    <row r="16" spans="2:20">
      <c r="B16" s="150" t="s">
        <v>12</v>
      </c>
      <c r="C16" s="164">
        <f>'Bill Units'!H30</f>
        <v>1672</v>
      </c>
      <c r="D16" s="164">
        <f>'Bill Units'!I30</f>
        <v>0</v>
      </c>
      <c r="E16" s="162">
        <f>'Rate Input'!H29</f>
        <v>25</v>
      </c>
      <c r="F16" s="162">
        <f>'Rate Input'!I29</f>
        <v>0</v>
      </c>
      <c r="G16" s="164">
        <f>(C16*E16)+(D16*F16)</f>
        <v>41800</v>
      </c>
      <c r="H16" s="164"/>
      <c r="I16" s="164">
        <f>VLOOKUP($B$7,'Monthly # of Customers'!A:R,18,FALSE)*SUM(C16:D16)</f>
        <v>32</v>
      </c>
      <c r="J16" s="164"/>
      <c r="K16" s="164">
        <f>C16+D16+H16+I16+J16</f>
        <v>1704</v>
      </c>
      <c r="L16" s="164"/>
      <c r="M16" s="164"/>
      <c r="N16" s="164">
        <f>H16*F16</f>
        <v>0</v>
      </c>
      <c r="O16" s="162">
        <f>I16*E16</f>
        <v>800</v>
      </c>
      <c r="P16" s="162">
        <f>J16*F16</f>
        <v>0</v>
      </c>
      <c r="Q16" s="164">
        <f>G16+L16+M16+N16+O16+P16</f>
        <v>42600</v>
      </c>
      <c r="S16" s="162">
        <f>'Proposed Rates'!B30</f>
        <v>28</v>
      </c>
      <c r="T16" s="164">
        <f t="shared" si="5"/>
        <v>47712</v>
      </c>
    </row>
    <row r="17" spans="2:20">
      <c r="C17" s="164"/>
      <c r="D17" s="164"/>
      <c r="E17" s="203"/>
      <c r="F17" s="203"/>
      <c r="G17" s="164"/>
      <c r="H17" s="162"/>
      <c r="I17" s="164"/>
      <c r="J17" s="164"/>
      <c r="K17" s="164"/>
      <c r="L17" s="164"/>
      <c r="M17" s="164"/>
      <c r="N17" s="164"/>
      <c r="O17" s="162"/>
      <c r="P17" s="162"/>
      <c r="Q17" s="164"/>
      <c r="S17" s="162"/>
      <c r="T17" s="164">
        <f t="shared" si="5"/>
        <v>0</v>
      </c>
    </row>
    <row r="18" spans="2:20" hidden="1">
      <c r="S18" s="162"/>
      <c r="T18" s="164">
        <f t="shared" si="5"/>
        <v>0</v>
      </c>
    </row>
    <row r="19" spans="2:20" hidden="1">
      <c r="C19" s="164"/>
      <c r="D19" s="164"/>
      <c r="E19" s="162"/>
      <c r="F19" s="162"/>
      <c r="G19" s="164"/>
      <c r="H19" s="164"/>
      <c r="I19" s="164"/>
      <c r="J19" s="164"/>
      <c r="K19" s="164"/>
      <c r="L19" s="164"/>
      <c r="M19" s="164"/>
      <c r="N19" s="164"/>
      <c r="O19" s="162"/>
      <c r="P19" s="162"/>
      <c r="Q19" s="164"/>
      <c r="S19" s="162"/>
      <c r="T19" s="164">
        <f t="shared" si="5"/>
        <v>0</v>
      </c>
    </row>
    <row r="20" spans="2:20" hidden="1">
      <c r="C20" s="164"/>
      <c r="D20" s="164"/>
      <c r="E20" s="162"/>
      <c r="F20" s="162"/>
      <c r="G20" s="164"/>
      <c r="H20" s="164"/>
      <c r="I20" s="164"/>
      <c r="J20" s="164"/>
      <c r="K20" s="164"/>
      <c r="L20" s="164"/>
      <c r="M20" s="164"/>
      <c r="N20" s="164"/>
      <c r="O20" s="162"/>
      <c r="P20" s="162"/>
      <c r="Q20" s="164"/>
      <c r="S20" s="162"/>
      <c r="T20" s="164">
        <f t="shared" si="5"/>
        <v>0</v>
      </c>
    </row>
    <row r="21" spans="2:20" hidden="1">
      <c r="C21" s="164"/>
      <c r="D21" s="164"/>
      <c r="E21" s="164"/>
      <c r="F21" s="164"/>
      <c r="G21" s="164"/>
      <c r="H21" s="164"/>
      <c r="I21" s="164"/>
      <c r="J21" s="164"/>
      <c r="K21" s="164"/>
      <c r="L21" s="164"/>
      <c r="M21" s="164"/>
      <c r="N21" s="164"/>
      <c r="O21" s="162"/>
      <c r="P21" s="162"/>
      <c r="Q21" s="164"/>
      <c r="T21" s="164">
        <f t="shared" si="5"/>
        <v>0</v>
      </c>
    </row>
    <row r="22" spans="2:20" hidden="1">
      <c r="C22" s="164"/>
      <c r="D22" s="164"/>
      <c r="E22" s="164"/>
      <c r="F22" s="164"/>
      <c r="G22" s="164"/>
      <c r="H22" s="164"/>
      <c r="I22" s="164"/>
      <c r="J22" s="164"/>
      <c r="K22" s="164"/>
      <c r="L22" s="164"/>
      <c r="M22" s="164"/>
      <c r="N22" s="164"/>
      <c r="O22" s="162"/>
      <c r="P22" s="162"/>
      <c r="Q22" s="164"/>
      <c r="T22" s="164">
        <f t="shared" si="5"/>
        <v>0</v>
      </c>
    </row>
    <row r="23" spans="2:20" hidden="1">
      <c r="C23" s="164"/>
      <c r="D23" s="164"/>
      <c r="E23" s="164"/>
      <c r="F23" s="164"/>
      <c r="G23" s="164"/>
      <c r="H23" s="164"/>
      <c r="I23" s="164"/>
      <c r="J23" s="164"/>
      <c r="K23" s="164"/>
      <c r="L23" s="164"/>
      <c r="M23" s="164"/>
      <c r="N23" s="164"/>
      <c r="O23" s="162"/>
      <c r="P23" s="162"/>
      <c r="Q23" s="164"/>
      <c r="T23" s="164">
        <f t="shared" si="5"/>
        <v>0</v>
      </c>
    </row>
    <row r="24" spans="2:20" hidden="1">
      <c r="C24" s="164"/>
      <c r="D24" s="164"/>
      <c r="E24" s="164"/>
      <c r="F24" s="164"/>
      <c r="G24" s="164"/>
      <c r="H24" s="164"/>
      <c r="I24" s="164"/>
      <c r="J24" s="164"/>
      <c r="K24" s="164"/>
      <c r="L24" s="164"/>
      <c r="M24" s="164"/>
      <c r="N24" s="164"/>
      <c r="O24" s="162"/>
      <c r="P24" s="162"/>
      <c r="Q24" s="164"/>
      <c r="T24" s="164">
        <f t="shared" si="5"/>
        <v>0</v>
      </c>
    </row>
    <row r="25" spans="2:20" hidden="1">
      <c r="C25" s="164"/>
      <c r="D25" s="164"/>
      <c r="E25" s="164"/>
      <c r="F25" s="164"/>
      <c r="G25" s="164"/>
      <c r="H25" s="164"/>
      <c r="I25" s="164"/>
      <c r="J25" s="164"/>
      <c r="K25" s="164"/>
      <c r="L25" s="164"/>
      <c r="M25" s="164"/>
      <c r="N25" s="164"/>
      <c r="O25" s="162"/>
      <c r="P25" s="162"/>
      <c r="Q25" s="164"/>
      <c r="T25" s="164">
        <f t="shared" si="5"/>
        <v>0</v>
      </c>
    </row>
    <row r="26" spans="2:20" hidden="1">
      <c r="C26" s="164"/>
      <c r="D26" s="164"/>
      <c r="E26" s="164"/>
      <c r="F26" s="164"/>
      <c r="G26" s="164"/>
      <c r="H26" s="164"/>
      <c r="I26" s="164"/>
      <c r="J26" s="164"/>
      <c r="K26" s="164"/>
      <c r="L26" s="164"/>
      <c r="M26" s="164"/>
      <c r="N26" s="164"/>
      <c r="O26" s="162"/>
      <c r="P26" s="162"/>
      <c r="Q26" s="164"/>
      <c r="T26" s="164">
        <f t="shared" si="5"/>
        <v>0</v>
      </c>
    </row>
    <row r="27" spans="2:20" hidden="1">
      <c r="C27" s="164"/>
      <c r="D27" s="164"/>
      <c r="E27" s="164"/>
      <c r="F27" s="164"/>
      <c r="G27" s="164"/>
      <c r="H27" s="164"/>
      <c r="I27" s="164"/>
      <c r="J27" s="164"/>
      <c r="K27" s="164"/>
      <c r="L27" s="164"/>
      <c r="M27" s="164"/>
      <c r="N27" s="164"/>
      <c r="O27" s="162"/>
      <c r="P27" s="162"/>
      <c r="Q27" s="164"/>
      <c r="T27" s="164">
        <f t="shared" si="5"/>
        <v>0</v>
      </c>
    </row>
    <row r="28" spans="2:20" hidden="1">
      <c r="C28" s="164"/>
      <c r="D28" s="164"/>
      <c r="E28" s="164"/>
      <c r="F28" s="164"/>
      <c r="G28" s="164"/>
      <c r="H28" s="164"/>
      <c r="I28" s="164"/>
      <c r="J28" s="164"/>
      <c r="K28" s="164"/>
      <c r="L28" s="164"/>
      <c r="M28" s="164"/>
      <c r="N28" s="164"/>
      <c r="O28" s="162"/>
      <c r="P28" s="162"/>
      <c r="Q28" s="164"/>
      <c r="T28" s="164">
        <f t="shared" si="5"/>
        <v>0</v>
      </c>
    </row>
    <row r="29" spans="2:20" hidden="1">
      <c r="C29" s="164"/>
      <c r="D29" s="164"/>
      <c r="E29" s="164"/>
      <c r="F29" s="164"/>
      <c r="G29" s="164"/>
      <c r="H29" s="164"/>
      <c r="I29" s="164"/>
      <c r="J29" s="164"/>
      <c r="K29" s="164"/>
      <c r="L29" s="164"/>
      <c r="M29" s="164"/>
      <c r="N29" s="164"/>
      <c r="Q29" s="164"/>
      <c r="T29" s="164">
        <f t="shared" si="5"/>
        <v>0</v>
      </c>
    </row>
    <row r="30" spans="2:20">
      <c r="B30" s="169" t="s">
        <v>486</v>
      </c>
      <c r="C30" s="170"/>
      <c r="D30" s="170"/>
      <c r="E30" s="170"/>
      <c r="F30" s="170"/>
      <c r="G30" s="531">
        <f>'B&amp;A Surcharges'!U29</f>
        <v>-3222.8939970918891</v>
      </c>
      <c r="L30" s="170"/>
      <c r="M30" s="170"/>
      <c r="N30" s="170"/>
      <c r="O30" s="170"/>
      <c r="P30" s="170"/>
      <c r="Q30" s="164">
        <f>VLOOKUP(B7,'B&amp;A Surcharges'!A:U,21,FALSE)</f>
        <v>-3222.8939970918891</v>
      </c>
      <c r="T30" s="164">
        <f>Q30</f>
        <v>-3222.8939970918891</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223919.77</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-2415.2700000000004</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9428.3266787096763</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59331.409999999996</v>
      </c>
      <c r="H42" s="164"/>
      <c r="I42" s="164"/>
      <c r="J42" s="164"/>
      <c r="K42" s="164"/>
      <c r="L42" s="164">
        <f>VLOOKUP(B7,'Envir FGD adj'!A:F,6,FALSE)</f>
        <v>-38235.222959185841</v>
      </c>
      <c r="M42" s="164"/>
      <c r="N42" s="164"/>
      <c r="Q42" s="164">
        <f t="shared" ref="Q42" si="6">L42+M42+N42+O42</f>
        <v>-38235.222959185841</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36839.913230967744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60220.76999999999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1672</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-56011.420000000006</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1295690.5928825852</v>
      </c>
      <c r="L53" s="168">
        <f t="shared" si="7"/>
        <v>-38235.222959185841</v>
      </c>
      <c r="M53" s="168">
        <f t="shared" si="7"/>
        <v>0</v>
      </c>
      <c r="N53" s="168">
        <f t="shared" si="7"/>
        <v>0</v>
      </c>
      <c r="O53" s="539">
        <f t="shared" si="7"/>
        <v>18486.66003770335</v>
      </c>
      <c r="P53" s="539">
        <f t="shared" si="7"/>
        <v>0</v>
      </c>
      <c r="Q53" s="168">
        <f t="shared" si="7"/>
        <v>942956.53005142557</v>
      </c>
      <c r="T53" s="168">
        <f>SUM(T13:T50)</f>
        <v>1108549.3019403245</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T57"/>
  <sheetViews>
    <sheetView zoomScale="110" zoomScaleNormal="11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500</v>
      </c>
    </row>
    <row r="7" spans="2:20">
      <c r="B7" s="150" t="s">
        <v>368</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331</v>
      </c>
      <c r="C13" s="164">
        <f>'Bill Units'!L28</f>
        <v>2561999.7448328501</v>
      </c>
      <c r="D13" s="164">
        <f>'Bill Units'!M28</f>
        <v>0</v>
      </c>
      <c r="E13" s="203">
        <f>'Rate Input'!L27</f>
        <v>9.5740000000000006E-2</v>
      </c>
      <c r="F13" s="203">
        <f>'Rate Input'!M27</f>
        <v>0</v>
      </c>
      <c r="G13" s="164">
        <f>(C13*E13)+(D13*F13)</f>
        <v>245285.85557029708</v>
      </c>
      <c r="H13" s="164">
        <f>VLOOKUP($B$7,WNLA!A:B,2,FALSE)*(SUM(C13:D13)/SUM(C13:D14))</f>
        <v>18415.424620209436</v>
      </c>
      <c r="I13" s="162">
        <f>VLOOKUP($B$7,'Monthly # of Customers'!A:R,18,FALSE)*SUM(C13:D13)</f>
        <v>-74844.936365903486</v>
      </c>
      <c r="J13" s="162"/>
      <c r="K13" s="164">
        <f>C13+D13+H13+I13+J13</f>
        <v>2505570.233087156</v>
      </c>
      <c r="L13" s="164"/>
      <c r="M13" s="164"/>
      <c r="N13" s="164">
        <f>H13*E13</f>
        <v>1763.0927531388515</v>
      </c>
      <c r="O13" s="162">
        <f>I13*E13</f>
        <v>-7165.6542076716005</v>
      </c>
      <c r="P13" s="162">
        <f>J13*F13</f>
        <v>0</v>
      </c>
      <c r="Q13" s="164">
        <f>G13+L13+M13+N13+O13+P13</f>
        <v>239883.29411576432</v>
      </c>
      <c r="S13" s="203">
        <f>'Proposed Rates'!C34</f>
        <v>0.1079</v>
      </c>
      <c r="T13" s="164">
        <f>S13*K13</f>
        <v>270351.0281501041</v>
      </c>
    </row>
    <row r="14" spans="2:20">
      <c r="B14" s="538" t="s">
        <v>332</v>
      </c>
      <c r="C14" s="164">
        <f>'Bill Units'!L29</f>
        <v>5674335.2551671499</v>
      </c>
      <c r="D14" s="164">
        <f>'Bill Units'!M29</f>
        <v>0</v>
      </c>
      <c r="E14" s="203">
        <f>'Rate Input'!L28</f>
        <v>8.9929999999999996E-2</v>
      </c>
      <c r="F14" s="203">
        <f>'Rate Input'!M28</f>
        <v>0</v>
      </c>
      <c r="G14" s="164">
        <f t="shared" ref="G14" si="0">(C14*E14)+(D14*F14)</f>
        <v>510292.96949718177</v>
      </c>
      <c r="H14" s="164">
        <f>VLOOKUP($B$7,WNLA!A:B,2,FALSE)*(SUM(C14:D14)/SUM(C13:D14))</f>
        <v>40786.613414805397</v>
      </c>
      <c r="I14" s="162">
        <f>VLOOKUP($B$7,'Monthly # of Customers'!A:R,18,FALSE)*SUM(C14:D14)</f>
        <v>-165767.09734196169</v>
      </c>
      <c r="J14" s="164"/>
      <c r="K14" s="164">
        <f t="shared" ref="K14" si="1">C14+D14+H14+I14+J14</f>
        <v>5549354.7712399941</v>
      </c>
      <c r="L14" s="164"/>
      <c r="M14" s="164"/>
      <c r="N14" s="164">
        <f>H14*E14</f>
        <v>3667.9401443934494</v>
      </c>
      <c r="O14" s="162">
        <f>I14*E14</f>
        <v>-14907.435063962614</v>
      </c>
      <c r="P14" s="162">
        <f t="shared" ref="P14" si="2">J14*F14</f>
        <v>0</v>
      </c>
      <c r="Q14" s="164">
        <f t="shared" ref="Q14" si="3">G14+L14+M14+N14+O14+P14</f>
        <v>499053.47457761265</v>
      </c>
      <c r="S14" s="203">
        <f>'Proposed Rates'!C35</f>
        <v>9.5329999999999998E-2</v>
      </c>
      <c r="T14" s="164">
        <f t="shared" ref="T14:T29" si="4">S14*K14</f>
        <v>529019.99034230865</v>
      </c>
    </row>
    <row r="15" spans="2:20">
      <c r="B15" s="538"/>
      <c r="C15" s="164"/>
      <c r="D15" s="164"/>
      <c r="E15" s="203"/>
      <c r="F15" s="203"/>
      <c r="G15" s="164"/>
      <c r="H15" s="164"/>
      <c r="I15" s="164"/>
      <c r="J15" s="162"/>
      <c r="K15" s="164"/>
      <c r="L15" s="164"/>
      <c r="M15" s="164"/>
      <c r="N15" s="164"/>
      <c r="O15" s="162"/>
      <c r="P15" s="162"/>
      <c r="Q15" s="164"/>
      <c r="S15" s="162"/>
      <c r="T15" s="164">
        <f t="shared" si="4"/>
        <v>0</v>
      </c>
    </row>
    <row r="16" spans="2:20">
      <c r="B16" s="150" t="s">
        <v>464</v>
      </c>
      <c r="C16" s="164">
        <f>'Bill Units'!L31</f>
        <v>23707.778702163061</v>
      </c>
      <c r="D16" s="164">
        <f>'Bill Units'!M31</f>
        <v>0</v>
      </c>
      <c r="E16" s="162">
        <f>'Rate Input'!L30</f>
        <v>6.01</v>
      </c>
      <c r="F16" s="162">
        <f>'Rate Input'!M30</f>
        <v>0</v>
      </c>
      <c r="G16" s="164">
        <f>(C16*E16)+(D16*F16)</f>
        <v>142483.75</v>
      </c>
      <c r="H16" s="164"/>
      <c r="I16" s="164">
        <f>VLOOKUP($B$7,'Monthly # of Customers'!A:R,18,FALSE)*SUM(C16:D16)</f>
        <v>-692.58679354633659</v>
      </c>
      <c r="J16" s="164"/>
      <c r="K16" s="164">
        <f>C16+D16+H16+I16+J16</f>
        <v>23015.191908616725</v>
      </c>
      <c r="L16" s="164"/>
      <c r="M16" s="164"/>
      <c r="N16" s="164">
        <f>H16*F16</f>
        <v>0</v>
      </c>
      <c r="O16" s="162">
        <f>I16*E16</f>
        <v>-4162.446629213483</v>
      </c>
      <c r="P16" s="162">
        <f>J16*F16</f>
        <v>0</v>
      </c>
      <c r="Q16" s="164">
        <f>G16+L16+M16+N16+O16+P16</f>
        <v>138321.30337078651</v>
      </c>
      <c r="S16" s="162">
        <f>'Proposed Rates'!D33</f>
        <v>8.0299999999999994</v>
      </c>
      <c r="T16" s="164">
        <f t="shared" si="4"/>
        <v>184811.99102619229</v>
      </c>
    </row>
    <row r="17" spans="2:20">
      <c r="C17" s="164"/>
      <c r="D17" s="164"/>
      <c r="E17" s="162"/>
      <c r="F17" s="162"/>
      <c r="G17" s="164"/>
      <c r="H17" s="164"/>
      <c r="I17" s="164"/>
      <c r="J17" s="164"/>
      <c r="K17" s="164"/>
      <c r="L17" s="164"/>
      <c r="M17" s="164"/>
      <c r="N17" s="164"/>
      <c r="O17" s="162"/>
      <c r="P17" s="162"/>
      <c r="Q17" s="164"/>
      <c r="S17" s="162"/>
      <c r="T17" s="164">
        <f t="shared" si="4"/>
        <v>0</v>
      </c>
    </row>
    <row r="18" spans="2:20">
      <c r="B18" s="150" t="s">
        <v>12</v>
      </c>
      <c r="C18" s="164">
        <f>'Bill Units'!L33</f>
        <v>890</v>
      </c>
      <c r="D18" s="164">
        <f>'Bill Units'!M33</f>
        <v>0</v>
      </c>
      <c r="E18" s="162">
        <f>'Rate Input'!L32</f>
        <v>100</v>
      </c>
      <c r="F18" s="162">
        <f>'Rate Input'!M32</f>
        <v>0</v>
      </c>
      <c r="G18" s="164">
        <f>(C18*E18)+(D18*F18)</f>
        <v>89000</v>
      </c>
      <c r="H18" s="164"/>
      <c r="I18" s="164">
        <f>VLOOKUP($B$7,'Monthly # of Customers'!A:R,18,FALSE)*SUM(C18:D18)</f>
        <v>-26</v>
      </c>
      <c r="J18" s="164"/>
      <c r="K18" s="164">
        <f>C18+D18+H18+I18+J18</f>
        <v>864</v>
      </c>
      <c r="L18" s="164"/>
      <c r="M18" s="164"/>
      <c r="N18" s="164">
        <f>H18*F18</f>
        <v>0</v>
      </c>
      <c r="O18" s="162">
        <f>I18*E18</f>
        <v>-2600</v>
      </c>
      <c r="P18" s="162">
        <f>J18*F18</f>
        <v>0</v>
      </c>
      <c r="Q18" s="164">
        <f>G18+L18+M18+N18+O18+P18</f>
        <v>86400</v>
      </c>
      <c r="S18" s="162">
        <f>'Proposed Rates'!B33</f>
        <v>120</v>
      </c>
      <c r="T18" s="164">
        <f t="shared" si="4"/>
        <v>103680</v>
      </c>
    </row>
    <row r="19" spans="2:20">
      <c r="S19" s="162"/>
      <c r="T19" s="164">
        <f t="shared" si="4"/>
        <v>0</v>
      </c>
    </row>
    <row r="20" spans="2:20" hidden="1">
      <c r="S20" s="162"/>
      <c r="T20" s="164">
        <f t="shared" si="4"/>
        <v>0</v>
      </c>
    </row>
    <row r="21" spans="2:20" hidden="1">
      <c r="T21" s="164">
        <f t="shared" si="4"/>
        <v>0</v>
      </c>
    </row>
    <row r="22" spans="2:20" hidden="1">
      <c r="C22" s="164"/>
      <c r="D22" s="164"/>
      <c r="E22" s="164"/>
      <c r="F22" s="164"/>
      <c r="G22" s="164"/>
      <c r="H22" s="164"/>
      <c r="I22" s="164"/>
      <c r="J22" s="164"/>
      <c r="K22" s="164"/>
      <c r="L22" s="164"/>
      <c r="M22" s="164"/>
      <c r="N22" s="164"/>
      <c r="O22" s="162"/>
      <c r="P22" s="162"/>
      <c r="Q22" s="164"/>
      <c r="T22" s="164">
        <f t="shared" si="4"/>
        <v>0</v>
      </c>
    </row>
    <row r="23" spans="2:20" hidden="1">
      <c r="C23" s="164"/>
      <c r="D23" s="164"/>
      <c r="E23" s="164"/>
      <c r="F23" s="164"/>
      <c r="G23" s="164"/>
      <c r="H23" s="164"/>
      <c r="I23" s="164"/>
      <c r="J23" s="164"/>
      <c r="K23" s="164"/>
      <c r="L23" s="164"/>
      <c r="M23" s="164"/>
      <c r="N23" s="164"/>
      <c r="O23" s="162"/>
      <c r="P23" s="162"/>
      <c r="Q23" s="164"/>
      <c r="T23" s="164">
        <f t="shared" si="4"/>
        <v>0</v>
      </c>
    </row>
    <row r="24" spans="2:20" hidden="1">
      <c r="C24" s="164"/>
      <c r="D24" s="164"/>
      <c r="E24" s="164"/>
      <c r="F24" s="164"/>
      <c r="G24" s="164"/>
      <c r="H24" s="164"/>
      <c r="I24" s="164"/>
      <c r="J24" s="164"/>
      <c r="K24" s="164"/>
      <c r="L24" s="164"/>
      <c r="M24" s="164"/>
      <c r="N24" s="164"/>
      <c r="O24" s="162"/>
      <c r="P24" s="162"/>
      <c r="Q24" s="164"/>
      <c r="T24" s="164">
        <f t="shared" si="4"/>
        <v>0</v>
      </c>
    </row>
    <row r="25" spans="2:20" hidden="1">
      <c r="C25" s="164"/>
      <c r="D25" s="164"/>
      <c r="E25" s="164"/>
      <c r="F25" s="164"/>
      <c r="G25" s="164"/>
      <c r="H25" s="164"/>
      <c r="I25" s="164"/>
      <c r="J25" s="164"/>
      <c r="K25" s="164"/>
      <c r="L25" s="164"/>
      <c r="M25" s="164"/>
      <c r="N25" s="164"/>
      <c r="O25" s="162"/>
      <c r="P25" s="162"/>
      <c r="Q25" s="164"/>
      <c r="T25" s="164">
        <f t="shared" si="4"/>
        <v>0</v>
      </c>
    </row>
    <row r="26" spans="2:20" hidden="1">
      <c r="C26" s="164"/>
      <c r="D26" s="164"/>
      <c r="E26" s="164"/>
      <c r="F26" s="164"/>
      <c r="G26" s="164"/>
      <c r="H26" s="164"/>
      <c r="I26" s="164"/>
      <c r="J26" s="164"/>
      <c r="K26" s="164"/>
      <c r="L26" s="164"/>
      <c r="M26" s="164"/>
      <c r="N26" s="164"/>
      <c r="O26" s="162"/>
      <c r="P26" s="162"/>
      <c r="Q26" s="164"/>
      <c r="T26" s="164">
        <f t="shared" si="4"/>
        <v>0</v>
      </c>
    </row>
    <row r="27" spans="2:20" hidden="1">
      <c r="C27" s="164"/>
      <c r="D27" s="164"/>
      <c r="E27" s="164"/>
      <c r="F27" s="164"/>
      <c r="G27" s="164"/>
      <c r="H27" s="164"/>
      <c r="I27" s="164"/>
      <c r="J27" s="164"/>
      <c r="K27" s="164"/>
      <c r="L27" s="164"/>
      <c r="M27" s="164"/>
      <c r="N27" s="164"/>
      <c r="O27" s="162"/>
      <c r="P27" s="162"/>
      <c r="Q27" s="164"/>
      <c r="T27" s="164">
        <f t="shared" si="4"/>
        <v>0</v>
      </c>
    </row>
    <row r="28" spans="2:20" hidden="1">
      <c r="C28" s="164"/>
      <c r="D28" s="164"/>
      <c r="E28" s="164"/>
      <c r="F28" s="164"/>
      <c r="G28" s="164"/>
      <c r="H28" s="164"/>
      <c r="I28" s="164"/>
      <c r="J28" s="164"/>
      <c r="K28" s="164"/>
      <c r="L28" s="164"/>
      <c r="M28" s="164"/>
      <c r="N28" s="164"/>
      <c r="O28" s="162"/>
      <c r="P28" s="162"/>
      <c r="Q28" s="164"/>
      <c r="T28" s="164">
        <f t="shared" si="4"/>
        <v>0</v>
      </c>
    </row>
    <row r="29" spans="2:20" hidden="1">
      <c r="C29" s="164"/>
      <c r="D29" s="164"/>
      <c r="E29" s="164"/>
      <c r="F29" s="164"/>
      <c r="G29" s="164"/>
      <c r="H29" s="164"/>
      <c r="I29" s="164"/>
      <c r="J29" s="164"/>
      <c r="K29" s="164"/>
      <c r="L29" s="164"/>
      <c r="M29" s="164"/>
      <c r="N29" s="164"/>
      <c r="Q29" s="164"/>
      <c r="T29" s="164">
        <f t="shared" si="4"/>
        <v>0</v>
      </c>
    </row>
    <row r="30" spans="2:20">
      <c r="B30" s="169" t="s">
        <v>486</v>
      </c>
      <c r="C30" s="170"/>
      <c r="D30" s="170"/>
      <c r="E30" s="170"/>
      <c r="F30" s="170"/>
      <c r="G30" s="531">
        <f>'B&amp;A Surcharges'!U31</f>
        <v>-10619.515621077491</v>
      </c>
      <c r="L30" s="170"/>
      <c r="M30" s="170"/>
      <c r="N30" s="170"/>
      <c r="O30" s="170"/>
      <c r="P30" s="170"/>
      <c r="Q30" s="164">
        <f>VLOOKUP(B7,'B&amp;A Surcharges'!A:U,21,FALSE)</f>
        <v>-10619.515621077491</v>
      </c>
      <c r="T30" s="164">
        <f>Q30</f>
        <v>-10619.515621077491</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228481.62000000002</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-2613.7999999999997</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9118.5151522580636</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59853.53</v>
      </c>
      <c r="H42" s="164"/>
      <c r="I42" s="164"/>
      <c r="J42" s="164"/>
      <c r="K42" s="164"/>
      <c r="L42" s="164">
        <f>VLOOKUP(B7,'Envir FGD adj'!A:F,6,FALSE)</f>
        <v>-38571.695236036336</v>
      </c>
      <c r="M42" s="164"/>
      <c r="N42" s="164"/>
      <c r="Q42" s="164">
        <f t="shared" ref="Q42" si="5">L42+M42+N42+O42</f>
        <v>-38571.695236036336</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36210.813705806453</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61121.619999999995</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890</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-54778.540000000008</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6">SUM(G13:G50)</f>
        <v>1314726.8183044656</v>
      </c>
      <c r="L53" s="168">
        <f t="shared" si="6"/>
        <v>-38571.695236036336</v>
      </c>
      <c r="M53" s="168">
        <f t="shared" si="6"/>
        <v>0</v>
      </c>
      <c r="N53" s="168">
        <f t="shared" si="6"/>
        <v>5431.0328975323009</v>
      </c>
      <c r="O53" s="539">
        <f t="shared" si="6"/>
        <v>-28835.535900847695</v>
      </c>
      <c r="P53" s="539">
        <f t="shared" si="6"/>
        <v>0</v>
      </c>
      <c r="Q53" s="168">
        <f t="shared" si="6"/>
        <v>914466.86120704969</v>
      </c>
      <c r="T53" s="168">
        <f>SUM(T13:T50)</f>
        <v>1077243.4938975277</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E57" s="542"/>
      <c r="G57" s="160"/>
      <c r="H57" s="160"/>
      <c r="I57" s="160"/>
      <c r="J57" s="160"/>
      <c r="K57" s="160"/>
      <c r="L57" s="160"/>
      <c r="M57" s="160"/>
    </row>
  </sheetData>
  <mergeCells count="2">
    <mergeCell ref="H8:J8"/>
    <mergeCell ref="L8:P8"/>
  </mergeCells>
  <pageMargins left="0.25" right="0.25" top="0.75" bottom="0.75" header="0.3" footer="0.3"/>
  <pageSetup paperSize="5"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T64"/>
  <sheetViews>
    <sheetView zoomScale="120" zoomScaleNormal="120" workbookViewId="0">
      <pane xSplit="2" ySplit="12" topLeftCell="C30"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501</v>
      </c>
    </row>
    <row r="7" spans="2:20">
      <c r="B7" s="150" t="s">
        <v>371</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331</v>
      </c>
      <c r="C13" s="164">
        <f>'Bill Units'!P28</f>
        <v>106807</v>
      </c>
      <c r="D13" s="164">
        <f>'Bill Units'!Q28</f>
        <v>0</v>
      </c>
      <c r="E13" s="203">
        <f>'Rate Input'!P27</f>
        <v>8.6629999999999999E-2</v>
      </c>
      <c r="F13" s="203">
        <f>'Rate Input'!Q27</f>
        <v>0</v>
      </c>
      <c r="G13" s="164">
        <f>(C13*E13)+(D13*F13)</f>
        <v>9252.6904099999992</v>
      </c>
      <c r="H13" s="164">
        <f>VLOOKUP($B$7,WNLA!A:B,2,FALSE)*(SUM(C13:D13)/SUM(C13:D14))</f>
        <v>0</v>
      </c>
      <c r="I13" s="162">
        <f>VLOOKUP($B$7,'Monthly # of Customers'!A:R,18,FALSE)*SUM(C13:D13)</f>
        <v>-2886.6756756756758</v>
      </c>
      <c r="J13" s="162"/>
      <c r="K13" s="164">
        <f>C13+D13+H13+I13+J13</f>
        <v>103920.32432432432</v>
      </c>
      <c r="L13" s="164"/>
      <c r="M13" s="164"/>
      <c r="N13" s="164">
        <f>H13*F13</f>
        <v>0</v>
      </c>
      <c r="O13" s="162">
        <f>I13*E13</f>
        <v>-250.0727137837838</v>
      </c>
      <c r="P13" s="162">
        <f>J13*F13</f>
        <v>0</v>
      </c>
      <c r="Q13" s="164">
        <f>G13+L13+M13+N13+O13+P13</f>
        <v>9002.6176962162153</v>
      </c>
      <c r="S13" s="203">
        <f>'Proposed Rates'!C37</f>
        <v>9.7629999999999995E-2</v>
      </c>
      <c r="T13" s="164">
        <f>S13*K13</f>
        <v>10145.741263783782</v>
      </c>
    </row>
    <row r="14" spans="2:20">
      <c r="B14" s="538" t="s">
        <v>332</v>
      </c>
      <c r="C14" s="164">
        <f>'Bill Units'!P29</f>
        <v>318893</v>
      </c>
      <c r="D14" s="164">
        <f>'Bill Units'!Q29</f>
        <v>0</v>
      </c>
      <c r="E14" s="203">
        <f>'Rate Input'!P28</f>
        <v>8.1409999999999996E-2</v>
      </c>
      <c r="F14" s="203">
        <f>'Rate Input'!Q28</f>
        <v>0</v>
      </c>
      <c r="G14" s="164">
        <f t="shared" ref="G14" si="0">(C14*E14)+(D14*F14)</f>
        <v>25961.079129999998</v>
      </c>
      <c r="H14" s="164">
        <f>VLOOKUP($B$7,WNLA!A:B,2,FALSE)*(SUM(C14:D14)/SUM(C13:D14))</f>
        <v>0</v>
      </c>
      <c r="I14" s="162">
        <f>VLOOKUP($B$7,'Monthly # of Customers'!A:R,18,FALSE)*SUM(C14:D14)</f>
        <v>-8618.72972972973</v>
      </c>
      <c r="J14" s="164"/>
      <c r="K14" s="164">
        <f t="shared" ref="K14" si="1">C14+D14+H14+I14+J14</f>
        <v>310274.2702702703</v>
      </c>
      <c r="L14" s="164"/>
      <c r="M14" s="164"/>
      <c r="N14" s="164">
        <f t="shared" ref="N14" si="2">H14*F14</f>
        <v>0</v>
      </c>
      <c r="O14" s="162">
        <f>I14*E14</f>
        <v>-701.65078729729726</v>
      </c>
      <c r="P14" s="162">
        <f t="shared" ref="P14" si="3">J14*F14</f>
        <v>0</v>
      </c>
      <c r="Q14" s="164">
        <f t="shared" ref="Q14" si="4">G14+L14+M14+N14+O14+P14</f>
        <v>25259.4283427027</v>
      </c>
      <c r="S14" s="203">
        <f>'Proposed Rates'!C38</f>
        <v>8.6290000000000006E-2</v>
      </c>
      <c r="T14" s="164">
        <f t="shared" ref="T14:T29" si="5">S14*K14</f>
        <v>26773.566781621626</v>
      </c>
    </row>
    <row r="15" spans="2:20">
      <c r="B15" s="538"/>
      <c r="C15" s="164"/>
      <c r="D15" s="164"/>
      <c r="E15" s="203"/>
      <c r="F15" s="203"/>
      <c r="G15" s="164"/>
      <c r="H15" s="164"/>
      <c r="I15" s="164"/>
      <c r="J15" s="162"/>
      <c r="K15" s="164"/>
      <c r="L15" s="164"/>
      <c r="M15" s="164"/>
      <c r="N15" s="164"/>
      <c r="O15" s="162"/>
      <c r="P15" s="162"/>
      <c r="Q15" s="164"/>
      <c r="S15" s="162"/>
      <c r="T15" s="164">
        <f t="shared" si="5"/>
        <v>0</v>
      </c>
    </row>
    <row r="16" spans="2:20">
      <c r="B16" s="150" t="s">
        <v>464</v>
      </c>
      <c r="C16" s="164">
        <f>'Bill Units'!P31</f>
        <v>627.92948717948718</v>
      </c>
      <c r="D16" s="164">
        <f>'Bill Units'!Q31</f>
        <v>0</v>
      </c>
      <c r="E16" s="162">
        <f>'Rate Input'!P30</f>
        <v>4.68</v>
      </c>
      <c r="F16" s="162">
        <f>'Rate Input'!Q30</f>
        <v>0</v>
      </c>
      <c r="G16" s="164">
        <f>(C16*E16)+(D16*F16)</f>
        <v>2938.71</v>
      </c>
      <c r="H16" s="164"/>
      <c r="I16" s="164">
        <f>VLOOKUP($B$7,'Monthly # of Customers'!A:R,18,FALSE)*SUM(C16:D16)</f>
        <v>-16.971067221067223</v>
      </c>
      <c r="J16" s="164"/>
      <c r="K16" s="164">
        <f>C16+D16+H16+I16+J16</f>
        <v>610.95841995842</v>
      </c>
      <c r="L16" s="164"/>
      <c r="M16" s="164"/>
      <c r="N16" s="164">
        <f>H16*F16</f>
        <v>0</v>
      </c>
      <c r="O16" s="162">
        <f>I16*E16</f>
        <v>-79.424594594594595</v>
      </c>
      <c r="P16" s="162">
        <f>J16*F16</f>
        <v>0</v>
      </c>
      <c r="Q16" s="164">
        <f>G16+L16+M16+N16+O16+P16</f>
        <v>2859.2854054054055</v>
      </c>
      <c r="S16" s="162">
        <f>'Proposed Rates'!D36</f>
        <v>6.38</v>
      </c>
      <c r="T16" s="164">
        <f t="shared" si="5"/>
        <v>3897.9147193347194</v>
      </c>
    </row>
    <row r="17" spans="2:20">
      <c r="C17" s="164"/>
      <c r="D17" s="164"/>
      <c r="E17" s="162"/>
      <c r="F17" s="162"/>
      <c r="G17" s="164"/>
      <c r="H17" s="164"/>
      <c r="I17" s="164"/>
      <c r="J17" s="164"/>
      <c r="K17" s="164"/>
      <c r="L17" s="164"/>
      <c r="M17" s="164"/>
      <c r="N17" s="164"/>
      <c r="O17" s="162"/>
      <c r="P17" s="162"/>
      <c r="Q17" s="164"/>
      <c r="S17" s="162"/>
      <c r="T17" s="164">
        <f t="shared" si="5"/>
        <v>0</v>
      </c>
    </row>
    <row r="18" spans="2:20">
      <c r="B18" s="150" t="s">
        <v>12</v>
      </c>
      <c r="C18" s="164">
        <f>'Bill Units'!P33</f>
        <v>37</v>
      </c>
      <c r="D18" s="164">
        <f>'Bill Units'!Q33</f>
        <v>0</v>
      </c>
      <c r="E18" s="162">
        <f>'Rate Input'!P32</f>
        <v>400</v>
      </c>
      <c r="F18" s="162">
        <f>'Rate Input'!Q32</f>
        <v>0</v>
      </c>
      <c r="G18" s="164">
        <f>(C18*E18)+(D18*F18)</f>
        <v>14800</v>
      </c>
      <c r="H18" s="164"/>
      <c r="I18" s="164">
        <f>VLOOKUP($B$7,'Monthly # of Customers'!A:R,18,FALSE)*SUM(C18:D18)</f>
        <v>-1</v>
      </c>
      <c r="J18" s="164"/>
      <c r="K18" s="164">
        <f>C18+D18+H18+I18+J18</f>
        <v>36</v>
      </c>
      <c r="L18" s="164"/>
      <c r="M18" s="164"/>
      <c r="N18" s="164">
        <f>H18*F18</f>
        <v>0</v>
      </c>
      <c r="O18" s="162">
        <f>I18*E18</f>
        <v>-400</v>
      </c>
      <c r="P18" s="162">
        <f>J18*F18</f>
        <v>0</v>
      </c>
      <c r="Q18" s="164">
        <f>G18+L18+M18+N18+O18+P18</f>
        <v>14400</v>
      </c>
      <c r="S18" s="162">
        <f>'Proposed Rates'!B36</f>
        <v>460</v>
      </c>
      <c r="T18" s="164">
        <f t="shared" si="5"/>
        <v>16560</v>
      </c>
    </row>
    <row r="19" spans="2:20">
      <c r="C19" s="164"/>
      <c r="D19" s="164"/>
      <c r="E19" s="162"/>
      <c r="F19" s="162"/>
      <c r="G19" s="164"/>
      <c r="H19" s="164"/>
      <c r="I19" s="164"/>
      <c r="J19" s="164"/>
      <c r="K19" s="164"/>
      <c r="L19" s="164"/>
      <c r="M19" s="164"/>
      <c r="N19" s="164"/>
      <c r="O19" s="162"/>
      <c r="P19" s="162"/>
      <c r="Q19" s="164"/>
      <c r="S19" s="162"/>
      <c r="T19" s="164">
        <f t="shared" si="5"/>
        <v>0</v>
      </c>
    </row>
    <row r="20" spans="2:20" hidden="1">
      <c r="S20" s="162"/>
      <c r="T20" s="164">
        <f t="shared" si="5"/>
        <v>0</v>
      </c>
    </row>
    <row r="21" spans="2:20" hidden="1">
      <c r="T21" s="164">
        <f t="shared" si="5"/>
        <v>0</v>
      </c>
    </row>
    <row r="22" spans="2:20" hidden="1">
      <c r="T22" s="164">
        <f t="shared" si="5"/>
        <v>0</v>
      </c>
    </row>
    <row r="23" spans="2:20" hidden="1">
      <c r="C23" s="164"/>
      <c r="D23" s="164"/>
      <c r="E23" s="164"/>
      <c r="F23" s="164"/>
      <c r="G23" s="164"/>
      <c r="H23" s="164"/>
      <c r="I23" s="164"/>
      <c r="J23" s="164"/>
      <c r="K23" s="164"/>
      <c r="L23" s="164"/>
      <c r="M23" s="164"/>
      <c r="N23" s="164"/>
      <c r="O23" s="162"/>
      <c r="P23" s="162"/>
      <c r="Q23" s="164"/>
      <c r="T23" s="164">
        <f t="shared" si="5"/>
        <v>0</v>
      </c>
    </row>
    <row r="24" spans="2:20" hidden="1">
      <c r="C24" s="164"/>
      <c r="D24" s="164"/>
      <c r="E24" s="164"/>
      <c r="F24" s="164"/>
      <c r="G24" s="164"/>
      <c r="H24" s="164"/>
      <c r="I24" s="164"/>
      <c r="J24" s="164"/>
      <c r="K24" s="164"/>
      <c r="L24" s="164"/>
      <c r="M24" s="164"/>
      <c r="N24" s="164"/>
      <c r="O24" s="162"/>
      <c r="P24" s="162"/>
      <c r="Q24" s="164"/>
      <c r="T24" s="164">
        <f t="shared" si="5"/>
        <v>0</v>
      </c>
    </row>
    <row r="25" spans="2:20" hidden="1">
      <c r="C25" s="164"/>
      <c r="D25" s="164"/>
      <c r="E25" s="164"/>
      <c r="F25" s="164"/>
      <c r="G25" s="164"/>
      <c r="H25" s="164"/>
      <c r="I25" s="164"/>
      <c r="J25" s="164"/>
      <c r="K25" s="164"/>
      <c r="L25" s="164"/>
      <c r="M25" s="164"/>
      <c r="N25" s="164"/>
      <c r="O25" s="162"/>
      <c r="P25" s="162"/>
      <c r="Q25" s="164"/>
      <c r="T25" s="164">
        <f t="shared" si="5"/>
        <v>0</v>
      </c>
    </row>
    <row r="26" spans="2:20" hidden="1">
      <c r="C26" s="164"/>
      <c r="D26" s="164"/>
      <c r="E26" s="164"/>
      <c r="F26" s="164"/>
      <c r="G26" s="164"/>
      <c r="H26" s="164"/>
      <c r="I26" s="164"/>
      <c r="J26" s="164"/>
      <c r="K26" s="164"/>
      <c r="L26" s="164"/>
      <c r="M26" s="164"/>
      <c r="N26" s="164"/>
      <c r="O26" s="162"/>
      <c r="P26" s="162"/>
      <c r="Q26" s="164"/>
      <c r="T26" s="164">
        <f t="shared" si="5"/>
        <v>0</v>
      </c>
    </row>
    <row r="27" spans="2:20" hidden="1">
      <c r="C27" s="164"/>
      <c r="D27" s="164"/>
      <c r="E27" s="164"/>
      <c r="F27" s="164"/>
      <c r="G27" s="164"/>
      <c r="H27" s="164"/>
      <c r="I27" s="164"/>
      <c r="J27" s="164"/>
      <c r="K27" s="164"/>
      <c r="L27" s="164"/>
      <c r="M27" s="164"/>
      <c r="N27" s="164"/>
      <c r="O27" s="162"/>
      <c r="P27" s="162"/>
      <c r="Q27" s="164"/>
      <c r="T27" s="164">
        <f t="shared" si="5"/>
        <v>0</v>
      </c>
    </row>
    <row r="28" spans="2:20" hidden="1">
      <c r="C28" s="164"/>
      <c r="D28" s="164"/>
      <c r="E28" s="164"/>
      <c r="F28" s="164"/>
      <c r="G28" s="164"/>
      <c r="H28" s="164"/>
      <c r="I28" s="164"/>
      <c r="J28" s="164"/>
      <c r="K28" s="164"/>
      <c r="L28" s="164"/>
      <c r="M28" s="164"/>
      <c r="N28" s="164"/>
      <c r="O28" s="162"/>
      <c r="P28" s="162"/>
      <c r="Q28" s="164"/>
      <c r="T28" s="164">
        <f t="shared" si="5"/>
        <v>0</v>
      </c>
    </row>
    <row r="29" spans="2:20" hidden="1">
      <c r="C29" s="164"/>
      <c r="D29" s="164"/>
      <c r="E29" s="164"/>
      <c r="F29" s="164"/>
      <c r="G29" s="164"/>
      <c r="H29" s="164"/>
      <c r="I29" s="164"/>
      <c r="J29" s="164"/>
      <c r="K29" s="164"/>
      <c r="L29" s="164"/>
      <c r="M29" s="164"/>
      <c r="N29" s="164"/>
      <c r="Q29" s="164"/>
      <c r="T29" s="164">
        <f t="shared" si="5"/>
        <v>0</v>
      </c>
    </row>
    <row r="30" spans="2:20">
      <c r="B30" s="169" t="s">
        <v>486</v>
      </c>
      <c r="C30" s="170"/>
      <c r="D30" s="170"/>
      <c r="E30" s="170"/>
      <c r="F30" s="170"/>
      <c r="G30" s="531">
        <f>'B&amp;A Surcharges'!U33</f>
        <v>-1412.7062612089535</v>
      </c>
      <c r="L30" s="170"/>
      <c r="M30" s="170"/>
      <c r="N30" s="170"/>
      <c r="O30" s="170"/>
      <c r="P30" s="170"/>
      <c r="Q30" s="164">
        <f>VLOOKUP(B7,'B&amp;A Surcharges'!A:U,21,FALSE)</f>
        <v>-1412.7062612089535</v>
      </c>
      <c r="T30" s="164">
        <f>Q30</f>
        <v>-1412.7062612089535</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10244.879999999999</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-87.580000000000013</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499.35019741935491</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3284.9599999999996</v>
      </c>
      <c r="H42" s="164"/>
      <c r="I42" s="164"/>
      <c r="J42" s="164"/>
      <c r="K42" s="164"/>
      <c r="L42" s="164">
        <f>VLOOKUP(B7,'Envir FGD adj'!A:F,6,FALSE)</f>
        <v>-2116.9424089534891</v>
      </c>
      <c r="M42" s="164"/>
      <c r="N42" s="164"/>
      <c r="Q42" s="164">
        <f t="shared" ref="Q42" si="6">L42+M42+N42+O42</f>
        <v>-2116.9424089534891</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1843.235821935484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3382.79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37</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-2770.32</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67974.08929814586</v>
      </c>
      <c r="L53" s="168">
        <f t="shared" si="7"/>
        <v>-2116.9424089534891</v>
      </c>
      <c r="M53" s="168">
        <f t="shared" si="7"/>
        <v>0</v>
      </c>
      <c r="N53" s="168">
        <f t="shared" si="7"/>
        <v>0</v>
      </c>
      <c r="O53" s="539">
        <f t="shared" si="7"/>
        <v>-1431.1480956756757</v>
      </c>
      <c r="P53" s="539">
        <f t="shared" si="7"/>
        <v>0</v>
      </c>
      <c r="Q53" s="168">
        <f t="shared" si="7"/>
        <v>47991.682774161884</v>
      </c>
      <c r="T53" s="168">
        <f>SUM(T13:T50)</f>
        <v>55964.516503531173</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row r="58" spans="2:20">
      <c r="F58" s="150">
        <v>2938.71</v>
      </c>
    </row>
    <row r="60" spans="2:20">
      <c r="F60" s="542">
        <f>F58/E16</f>
        <v>627.92948717948718</v>
      </c>
    </row>
    <row r="63" spans="2:20">
      <c r="F63" s="150">
        <v>6462.48</v>
      </c>
      <c r="G63" s="542">
        <f>F63/E13</f>
        <v>74598.637885259144</v>
      </c>
    </row>
    <row r="64" spans="2:20">
      <c r="F64" s="150">
        <v>17631.990000000002</v>
      </c>
      <c r="G64" s="542">
        <f>F64/E14</f>
        <v>216582.60655939076</v>
      </c>
    </row>
  </sheetData>
  <mergeCells count="2">
    <mergeCell ref="H8:J8"/>
    <mergeCell ref="L8:P8"/>
  </mergeCells>
  <pageMargins left="0.25" right="0.25" top="0.75" bottom="0.75" header="0.3" footer="0.3"/>
  <pageSetup paperSize="5" scale="6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T57"/>
  <sheetViews>
    <sheetView zoomScale="110" zoomScaleNormal="11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5" style="150" customWidth="1"/>
    <col min="15" max="16" width="15" style="164" customWidth="1"/>
    <col min="17" max="17" width="15" style="150" customWidth="1"/>
    <col min="18" max="18" width="4.28515625" style="150" customWidth="1"/>
    <col min="19" max="20" width="1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78</v>
      </c>
    </row>
    <row r="7" spans="2:20">
      <c r="B7" s="150" t="s">
        <v>372</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Units'!D40</f>
        <v>295325187</v>
      </c>
      <c r="D13" s="164">
        <f>'Bill Units'!E40</f>
        <v>0</v>
      </c>
      <c r="E13" s="203">
        <f>'Rate Input'!D38</f>
        <v>8.4320000000000006E-2</v>
      </c>
      <c r="F13" s="203">
        <f>'Rate Input'!E38</f>
        <v>0</v>
      </c>
      <c r="G13" s="164">
        <f>(C13*E13)+(D13*F13)</f>
        <v>24901819.767840002</v>
      </c>
      <c r="H13" s="164">
        <f>VLOOKUP($B$7,WNLA!A:B,2,FALSE)*(SUM(C13:D13)/SUM(C13:D13))</f>
        <v>4544494.3299699845</v>
      </c>
      <c r="I13" s="162">
        <f>VLOOKUP($B$7,'Monthly # of Customers'!A:R,18,FALSE)*SUM(C13:D13)</f>
        <v>3281390.9666666668</v>
      </c>
      <c r="J13" s="162"/>
      <c r="K13" s="164">
        <f>C13+D13+H13+I13+J13</f>
        <v>303151072.29663664</v>
      </c>
      <c r="L13" s="164"/>
      <c r="M13" s="164"/>
      <c r="N13" s="164">
        <f>H13*E13</f>
        <v>383191.7619030691</v>
      </c>
      <c r="O13" s="162">
        <f>I13*E13</f>
        <v>276686.88630933338</v>
      </c>
      <c r="P13" s="162">
        <f>J13*F13</f>
        <v>0</v>
      </c>
      <c r="Q13" s="164">
        <f>G13+L13+M13+N13+O13+P13</f>
        <v>25561698.416052405</v>
      </c>
      <c r="S13" s="203">
        <f>'Proposed Rates'!C40</f>
        <v>8.796000000000001E-2</v>
      </c>
      <c r="T13" s="164">
        <f>S13*K13</f>
        <v>26665168.319212161</v>
      </c>
    </row>
    <row r="14" spans="2:20">
      <c r="B14" s="538"/>
      <c r="C14" s="164"/>
      <c r="D14" s="164"/>
      <c r="E14" s="203"/>
      <c r="F14" s="203"/>
      <c r="G14" s="164"/>
      <c r="H14" s="164"/>
      <c r="I14" s="162"/>
      <c r="J14" s="164"/>
      <c r="K14" s="164"/>
      <c r="L14" s="164"/>
      <c r="M14" s="164"/>
      <c r="N14" s="164"/>
      <c r="O14" s="162"/>
      <c r="P14" s="162"/>
      <c r="Q14" s="164"/>
      <c r="S14" s="203"/>
      <c r="T14" s="164">
        <f t="shared" ref="T14:T29" si="0">S14*K14</f>
        <v>0</v>
      </c>
    </row>
    <row r="15" spans="2:20">
      <c r="B15" s="538" t="s">
        <v>20</v>
      </c>
      <c r="C15" s="164">
        <f>'Bill Units'!D41</f>
        <v>822045</v>
      </c>
      <c r="D15" s="164">
        <f>'Bill Units'!E41</f>
        <v>0</v>
      </c>
      <c r="E15" s="162">
        <f>'Rate Input'!D39</f>
        <v>8.77</v>
      </c>
      <c r="F15" s="162">
        <f>'Rate Input'!E39</f>
        <v>0</v>
      </c>
      <c r="G15" s="164">
        <f>(C15*E15)+(D15*F15)</f>
        <v>7209334.6499999994</v>
      </c>
      <c r="H15" s="164"/>
      <c r="I15" s="164">
        <f>VLOOKUP($B$7,'Monthly # of Customers'!A:R,18,FALSE)*SUM(C15:D15)</f>
        <v>9133.8333333333339</v>
      </c>
      <c r="J15" s="164"/>
      <c r="K15" s="164">
        <f>C15+D15+H15+I15+J15</f>
        <v>831178.83333333337</v>
      </c>
      <c r="L15" s="164"/>
      <c r="M15" s="164"/>
      <c r="N15" s="164">
        <f>H15*F15</f>
        <v>0</v>
      </c>
      <c r="O15" s="162">
        <f>I15*E15</f>
        <v>80103.718333333338</v>
      </c>
      <c r="P15" s="162">
        <f>J15*F15</f>
        <v>0</v>
      </c>
      <c r="Q15" s="164">
        <f>G15+L15+M15+N15+O15+P15</f>
        <v>7289438.3683333332</v>
      </c>
      <c r="S15" s="162">
        <f>'Proposed Rates'!D40</f>
        <v>10.39</v>
      </c>
      <c r="T15" s="164">
        <f t="shared" si="0"/>
        <v>8635948.078333335</v>
      </c>
    </row>
    <row r="16" spans="2:20">
      <c r="C16" s="164"/>
      <c r="D16" s="164"/>
      <c r="E16" s="162"/>
      <c r="F16" s="162"/>
      <c r="G16" s="164"/>
      <c r="H16" s="162"/>
      <c r="I16" s="164"/>
      <c r="J16" s="164"/>
      <c r="K16" s="164"/>
      <c r="L16" s="164"/>
      <c r="M16" s="164"/>
      <c r="N16" s="164"/>
      <c r="O16" s="162"/>
      <c r="P16" s="162"/>
      <c r="Q16" s="164"/>
      <c r="S16" s="162"/>
      <c r="T16" s="164">
        <f t="shared" si="0"/>
        <v>0</v>
      </c>
    </row>
    <row r="17" spans="2:20">
      <c r="B17" s="150" t="s">
        <v>341</v>
      </c>
      <c r="C17" s="164">
        <f>'Bill Units'!D42</f>
        <v>49583</v>
      </c>
      <c r="D17" s="164">
        <f>'Bill Units'!E42</f>
        <v>0</v>
      </c>
      <c r="E17" s="162">
        <f>'Rate Input'!D40</f>
        <v>3.46</v>
      </c>
      <c r="F17" s="162">
        <f>'Rate Input'!E40</f>
        <v>0</v>
      </c>
      <c r="G17" s="164">
        <f>(C17*E17)+(D17*F17)</f>
        <v>171557.18</v>
      </c>
      <c r="H17" s="164"/>
      <c r="I17" s="164">
        <f>VLOOKUP($B$7,'Monthly # of Customers'!A:R,18,FALSE)*SUM(C17:D17)</f>
        <v>550.92222222222222</v>
      </c>
      <c r="J17" s="164"/>
      <c r="K17" s="164">
        <f>C17+D17+H17+I17+J17</f>
        <v>50133.922222222223</v>
      </c>
      <c r="L17" s="164"/>
      <c r="M17" s="164"/>
      <c r="N17" s="164">
        <f>H17*F17</f>
        <v>0</v>
      </c>
      <c r="O17" s="162">
        <f>I17*E17</f>
        <v>1906.1908888888888</v>
      </c>
      <c r="P17" s="162">
        <f>J17*F17</f>
        <v>0</v>
      </c>
      <c r="Q17" s="164">
        <f>G17+L17+M17+N17+O17+P17</f>
        <v>173463.37088888889</v>
      </c>
      <c r="S17" s="162">
        <f>'Proposed Rates'!E40</f>
        <v>3.46</v>
      </c>
      <c r="T17" s="164">
        <f t="shared" si="0"/>
        <v>173463.37088888889</v>
      </c>
    </row>
    <row r="18" spans="2:20">
      <c r="C18" s="164"/>
      <c r="D18" s="164"/>
      <c r="E18" s="162"/>
      <c r="F18" s="162"/>
      <c r="G18" s="164"/>
      <c r="H18" s="164"/>
      <c r="I18" s="164"/>
      <c r="J18" s="164"/>
      <c r="K18" s="164"/>
      <c r="L18" s="164"/>
      <c r="M18" s="164"/>
      <c r="N18" s="164"/>
      <c r="O18" s="162"/>
      <c r="P18" s="162"/>
      <c r="Q18" s="164"/>
      <c r="S18" s="162"/>
      <c r="T18" s="164">
        <f t="shared" si="0"/>
        <v>0</v>
      </c>
    </row>
    <row r="19" spans="2:20">
      <c r="B19" s="150" t="s">
        <v>12</v>
      </c>
      <c r="C19" s="164">
        <f>'Bill Units'!D43</f>
        <v>4320</v>
      </c>
      <c r="D19" s="164">
        <f>'Bill Units'!E43</f>
        <v>0</v>
      </c>
      <c r="E19" s="162">
        <f>'Rate Input'!D41</f>
        <v>85</v>
      </c>
      <c r="F19" s="162">
        <f>'Rate Input'!E41</f>
        <v>0</v>
      </c>
      <c r="G19" s="164">
        <f>(C19*E19)+(D19*F19)</f>
        <v>367200</v>
      </c>
      <c r="H19" s="164"/>
      <c r="I19" s="164">
        <f>VLOOKUP($B$7,'Monthly # of Customers'!A:R,18,FALSE)*SUM(C19:D19)</f>
        <v>48</v>
      </c>
      <c r="J19" s="164"/>
      <c r="K19" s="164">
        <f>C19+D19+H19+I19+J19</f>
        <v>4368</v>
      </c>
      <c r="L19" s="164"/>
      <c r="M19" s="164"/>
      <c r="N19" s="164">
        <f>H19*F19</f>
        <v>0</v>
      </c>
      <c r="O19" s="162">
        <f>I19*E19</f>
        <v>4080</v>
      </c>
      <c r="P19" s="162">
        <f>J19*F19</f>
        <v>0</v>
      </c>
      <c r="Q19" s="164">
        <f>G19+L19+M19+N19+O19+P19</f>
        <v>371280</v>
      </c>
      <c r="S19" s="162">
        <f>'Proposed Rates'!B40</f>
        <v>97</v>
      </c>
      <c r="T19" s="164">
        <f t="shared" si="0"/>
        <v>423696</v>
      </c>
    </row>
    <row r="20" spans="2:20">
      <c r="S20" s="162"/>
      <c r="T20" s="164">
        <f t="shared" si="0"/>
        <v>0</v>
      </c>
    </row>
    <row r="21" spans="2:20" hidden="1">
      <c r="T21" s="164">
        <f t="shared" si="0"/>
        <v>0</v>
      </c>
    </row>
    <row r="22" spans="2:20" hidden="1">
      <c r="C22" s="164"/>
      <c r="D22" s="164"/>
      <c r="E22" s="164"/>
      <c r="F22" s="164"/>
      <c r="G22" s="164"/>
      <c r="H22" s="164"/>
      <c r="I22" s="164"/>
      <c r="J22" s="164"/>
      <c r="K22" s="164"/>
      <c r="L22" s="164"/>
      <c r="M22" s="164"/>
      <c r="N22" s="164"/>
      <c r="O22" s="162"/>
      <c r="P22" s="162"/>
      <c r="Q22" s="164"/>
      <c r="T22" s="164">
        <f t="shared" si="0"/>
        <v>0</v>
      </c>
    </row>
    <row r="23" spans="2:20" hidden="1">
      <c r="C23" s="164"/>
      <c r="D23" s="164"/>
      <c r="E23" s="164"/>
      <c r="F23" s="164"/>
      <c r="G23" s="164"/>
      <c r="H23" s="164"/>
      <c r="I23" s="164"/>
      <c r="J23" s="164"/>
      <c r="K23" s="164"/>
      <c r="L23" s="164"/>
      <c r="M23" s="164"/>
      <c r="N23" s="164"/>
      <c r="O23" s="162"/>
      <c r="P23" s="162"/>
      <c r="Q23" s="164"/>
      <c r="T23" s="164">
        <f t="shared" si="0"/>
        <v>0</v>
      </c>
    </row>
    <row r="24" spans="2:20" hidden="1">
      <c r="C24" s="164"/>
      <c r="D24" s="164"/>
      <c r="E24" s="164"/>
      <c r="F24" s="164"/>
      <c r="G24" s="164"/>
      <c r="H24" s="164"/>
      <c r="I24" s="164"/>
      <c r="J24" s="164"/>
      <c r="K24" s="164"/>
      <c r="L24" s="164"/>
      <c r="M24" s="164"/>
      <c r="N24" s="164"/>
      <c r="O24" s="162"/>
      <c r="P24" s="162"/>
      <c r="Q24" s="164"/>
      <c r="T24" s="164">
        <f t="shared" si="0"/>
        <v>0</v>
      </c>
    </row>
    <row r="25" spans="2:20" hidden="1">
      <c r="C25" s="164"/>
      <c r="D25" s="164"/>
      <c r="E25" s="164"/>
      <c r="F25" s="164"/>
      <c r="G25" s="164"/>
      <c r="H25" s="164"/>
      <c r="I25" s="164"/>
      <c r="J25" s="164"/>
      <c r="K25" s="164"/>
      <c r="L25" s="164"/>
      <c r="M25" s="164"/>
      <c r="N25" s="164"/>
      <c r="O25" s="162"/>
      <c r="P25" s="162"/>
      <c r="Q25" s="164"/>
      <c r="T25" s="164">
        <f t="shared" si="0"/>
        <v>0</v>
      </c>
    </row>
    <row r="26" spans="2:20" hidden="1">
      <c r="C26" s="164"/>
      <c r="D26" s="164"/>
      <c r="E26" s="164"/>
      <c r="F26" s="164"/>
      <c r="G26" s="164"/>
      <c r="H26" s="164"/>
      <c r="I26" s="164"/>
      <c r="J26" s="164"/>
      <c r="K26" s="164"/>
      <c r="L26" s="164"/>
      <c r="M26" s="164"/>
      <c r="N26" s="164"/>
      <c r="O26" s="162"/>
      <c r="P26" s="162"/>
      <c r="Q26" s="164"/>
      <c r="T26" s="164">
        <f t="shared" si="0"/>
        <v>0</v>
      </c>
    </row>
    <row r="27" spans="2:20" hidden="1">
      <c r="C27" s="164"/>
      <c r="D27" s="164"/>
      <c r="E27" s="164"/>
      <c r="F27" s="164"/>
      <c r="G27" s="164"/>
      <c r="H27" s="164"/>
      <c r="I27" s="164"/>
      <c r="J27" s="164"/>
      <c r="K27" s="164"/>
      <c r="L27" s="164"/>
      <c r="M27" s="164"/>
      <c r="N27" s="164"/>
      <c r="O27" s="162"/>
      <c r="P27" s="162"/>
      <c r="Q27" s="164"/>
      <c r="T27" s="164">
        <f t="shared" si="0"/>
        <v>0</v>
      </c>
    </row>
    <row r="28" spans="2:20" hidden="1">
      <c r="C28" s="164"/>
      <c r="D28" s="164"/>
      <c r="E28" s="164"/>
      <c r="F28" s="164"/>
      <c r="G28" s="164"/>
      <c r="H28" s="164"/>
      <c r="I28" s="164"/>
      <c r="J28" s="164"/>
      <c r="K28" s="164"/>
      <c r="L28" s="164"/>
      <c r="M28" s="164"/>
      <c r="N28" s="164"/>
      <c r="O28" s="162"/>
      <c r="P28" s="162"/>
      <c r="Q28" s="164"/>
      <c r="T28" s="164">
        <f t="shared" si="0"/>
        <v>0</v>
      </c>
    </row>
    <row r="29" spans="2:20" hidden="1">
      <c r="C29" s="164"/>
      <c r="D29" s="164"/>
      <c r="E29" s="164"/>
      <c r="F29" s="164"/>
      <c r="G29" s="164"/>
      <c r="H29" s="164"/>
      <c r="I29" s="164"/>
      <c r="J29" s="164"/>
      <c r="K29" s="164"/>
      <c r="L29" s="164"/>
      <c r="M29" s="164"/>
      <c r="N29" s="164"/>
      <c r="Q29" s="164"/>
      <c r="T29" s="164">
        <f t="shared" si="0"/>
        <v>0</v>
      </c>
    </row>
    <row r="30" spans="2:20">
      <c r="B30" s="169" t="s">
        <v>486</v>
      </c>
      <c r="C30" s="170"/>
      <c r="D30" s="170"/>
      <c r="E30" s="170"/>
      <c r="F30" s="170"/>
      <c r="G30" s="531">
        <f>'B&amp;A Surcharges'!U35</f>
        <v>10842.09461631066</v>
      </c>
      <c r="L30" s="170"/>
      <c r="M30" s="170"/>
      <c r="N30" s="170"/>
      <c r="O30" s="170"/>
      <c r="P30" s="170"/>
      <c r="Q30" s="164">
        <f>VLOOKUP(B7,'B&amp;A Surcharges'!A:U,21,FALSE)</f>
        <v>10842.09461631066</v>
      </c>
      <c r="T30" s="164">
        <f>Q30</f>
        <v>10842.09461631066</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7831711.1599999992</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-81598.740000000005</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344642.06380516122</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1941340.2</v>
      </c>
      <c r="H42" s="164"/>
      <c r="I42" s="164"/>
      <c r="J42" s="164"/>
      <c r="K42" s="164"/>
      <c r="L42" s="164">
        <f>VLOOKUP(B7,'Envir FGD adj'!A:F,6,FALSE)</f>
        <v>-1251067.1057139961</v>
      </c>
      <c r="M42" s="164"/>
      <c r="N42" s="164"/>
      <c r="Q42" s="164">
        <f t="shared" ref="Q42" si="1">L42+M42+N42+O42</f>
        <v>-1251067.1057139961</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1092712.417536129</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1994130.82</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4320</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-1987891.89</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2">SUM(G13:G50)</f>
        <v>43800119.723797604</v>
      </c>
      <c r="L53" s="168">
        <f t="shared" si="2"/>
        <v>-1251067.1057139961</v>
      </c>
      <c r="M53" s="168">
        <f t="shared" si="2"/>
        <v>0</v>
      </c>
      <c r="N53" s="168">
        <f t="shared" si="2"/>
        <v>383191.7619030691</v>
      </c>
      <c r="O53" s="539">
        <f t="shared" si="2"/>
        <v>362776.7955315556</v>
      </c>
      <c r="P53" s="539">
        <f t="shared" si="2"/>
        <v>0</v>
      </c>
      <c r="Q53" s="168">
        <f t="shared" si="2"/>
        <v>32155655.144176938</v>
      </c>
      <c r="T53" s="168">
        <f>SUM(T13:T50)</f>
        <v>35909117.863050692</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2:T57"/>
  <sheetViews>
    <sheetView zoomScale="90" zoomScaleNormal="9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183</v>
      </c>
    </row>
    <row r="7" spans="2:20">
      <c r="B7" s="150" t="s">
        <v>376</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Units'!H40</f>
        <v>729517</v>
      </c>
      <c r="D13" s="164">
        <f>'Bill Units'!I40</f>
        <v>0</v>
      </c>
      <c r="E13" s="203">
        <f>'Rate Input'!H38</f>
        <v>0.14426</v>
      </c>
      <c r="F13" s="203">
        <f>'Rate Input'!I38</f>
        <v>0</v>
      </c>
      <c r="G13" s="164">
        <f>(C13*E13)+(D13*F13)</f>
        <v>105240.12242</v>
      </c>
      <c r="H13" s="164">
        <f>VLOOKUP($B$7,WNLA!A:B,2,FALSE)*(SUM(C13:D13)/SUM(C13:D14))</f>
        <v>0</v>
      </c>
      <c r="I13" s="162">
        <f>VLOOKUP($B$7,'Monthly # of Customers'!A:R,18,FALSE)*SUM(C13:D13)</f>
        <v>0</v>
      </c>
      <c r="J13" s="162"/>
      <c r="K13" s="164">
        <f>C13+D13+H13+I13+J13</f>
        <v>729517</v>
      </c>
      <c r="L13" s="164"/>
      <c r="M13" s="164"/>
      <c r="N13" s="164">
        <f>H13*F13</f>
        <v>0</v>
      </c>
      <c r="O13" s="162">
        <f>I13*E13</f>
        <v>0</v>
      </c>
      <c r="P13" s="162">
        <f>J13*F13</f>
        <v>0</v>
      </c>
      <c r="Q13" s="164">
        <f>G13+L13+M13+N13+O13+P13</f>
        <v>105240.12242</v>
      </c>
      <c r="S13" s="203">
        <f>'Proposed Rates'!C42</f>
        <v>0.14934</v>
      </c>
      <c r="T13" s="164">
        <f>S13*K13</f>
        <v>108946.06878</v>
      </c>
    </row>
    <row r="14" spans="2:20">
      <c r="B14" s="538" t="s">
        <v>23</v>
      </c>
      <c r="C14" s="164">
        <f>'Bill Units'!H41</f>
        <v>1017455</v>
      </c>
      <c r="D14" s="164">
        <f>'Bill Units'!I41</f>
        <v>0</v>
      </c>
      <c r="E14" s="203">
        <f>'Rate Input'!H39</f>
        <v>7.8880000000000006E-2</v>
      </c>
      <c r="F14" s="203">
        <f>'Rate Input'!I39</f>
        <v>0</v>
      </c>
      <c r="G14" s="164">
        <f t="shared" ref="G14" si="0">(C14*E14)+(D14*F14)</f>
        <v>80256.85040000001</v>
      </c>
      <c r="H14" s="164">
        <f>VLOOKUP($B$7,WNLA!A:B,2,FALSE)*(SUM(C14:D14)/SUM(C13:D14))</f>
        <v>0</v>
      </c>
      <c r="I14" s="162">
        <f>VLOOKUP($B$7,'Monthly # of Customers'!A:R,18,FALSE)*SUM(C14:D14)</f>
        <v>0</v>
      </c>
      <c r="J14" s="164"/>
      <c r="K14" s="164">
        <f t="shared" ref="K14" si="1">C14+D14+H14+I14+J14</f>
        <v>1017455</v>
      </c>
      <c r="L14" s="164"/>
      <c r="M14" s="164"/>
      <c r="N14" s="164">
        <f t="shared" ref="N14" si="2">H14*F14</f>
        <v>0</v>
      </c>
      <c r="O14" s="162">
        <f>I14*E14</f>
        <v>0</v>
      </c>
      <c r="P14" s="162">
        <f t="shared" ref="P14" si="3">J14*F14</f>
        <v>0</v>
      </c>
      <c r="Q14" s="164">
        <f t="shared" ref="Q14" si="4">G14+L14+M14+N14+O14+P14</f>
        <v>80256.85040000001</v>
      </c>
      <c r="S14" s="203">
        <f>'Proposed Rates'!C43</f>
        <v>8.695E-2</v>
      </c>
      <c r="T14" s="164">
        <f t="shared" ref="T14:T29" si="5">S14*K14</f>
        <v>88467.712249999997</v>
      </c>
    </row>
    <row r="15" spans="2:20">
      <c r="B15" s="538"/>
      <c r="C15" s="164"/>
      <c r="D15" s="164"/>
      <c r="E15" s="203"/>
      <c r="F15" s="203"/>
      <c r="G15" s="164"/>
      <c r="H15" s="164"/>
      <c r="I15" s="164"/>
      <c r="J15" s="162"/>
      <c r="K15" s="164"/>
      <c r="L15" s="164"/>
      <c r="M15" s="164"/>
      <c r="N15" s="164"/>
      <c r="O15" s="162"/>
      <c r="P15" s="162"/>
      <c r="Q15" s="164"/>
      <c r="S15" s="162"/>
      <c r="T15" s="164">
        <f t="shared" si="5"/>
        <v>0</v>
      </c>
    </row>
    <row r="16" spans="2:20">
      <c r="B16" s="150" t="s">
        <v>12</v>
      </c>
      <c r="C16" s="164">
        <f>'Bill Units'!H43</f>
        <v>84</v>
      </c>
      <c r="D16" s="164">
        <f>'Bill Units'!I43</f>
        <v>0</v>
      </c>
      <c r="E16" s="162">
        <f>'Rate Input'!H41</f>
        <v>85</v>
      </c>
      <c r="F16" s="162">
        <f>'Rate Input'!I41</f>
        <v>0</v>
      </c>
      <c r="G16" s="164">
        <f>(C16*E16)+(D16*F16)</f>
        <v>7140</v>
      </c>
      <c r="H16" s="164"/>
      <c r="I16" s="164">
        <f>VLOOKUP($B$7,'Monthly # of Customers'!A:R,18,FALSE)*SUM(C16:D16)</f>
        <v>0</v>
      </c>
      <c r="J16" s="164"/>
      <c r="K16" s="164">
        <f>C16+D16+H16+I16+J16</f>
        <v>84</v>
      </c>
      <c r="L16" s="164"/>
      <c r="M16" s="164"/>
      <c r="N16" s="164">
        <f>H16*F16</f>
        <v>0</v>
      </c>
      <c r="O16" s="162">
        <f>I16*E16</f>
        <v>0</v>
      </c>
      <c r="P16" s="162">
        <f>J16*F16</f>
        <v>0</v>
      </c>
      <c r="Q16" s="164">
        <f>G16+L16+M16+N16+O16+P16</f>
        <v>7140</v>
      </c>
      <c r="S16" s="162">
        <f>'Proposed Rates'!B41</f>
        <v>97</v>
      </c>
      <c r="T16" s="164">
        <f t="shared" si="5"/>
        <v>8148</v>
      </c>
    </row>
    <row r="17" spans="2:20">
      <c r="C17" s="164"/>
      <c r="D17" s="164"/>
      <c r="E17" s="203"/>
      <c r="F17" s="203"/>
      <c r="G17" s="164"/>
      <c r="H17" s="162"/>
      <c r="I17" s="164"/>
      <c r="J17" s="164"/>
      <c r="K17" s="164"/>
      <c r="L17" s="164"/>
      <c r="M17" s="164"/>
      <c r="N17" s="164"/>
      <c r="O17" s="162"/>
      <c r="P17" s="162"/>
      <c r="Q17" s="164"/>
      <c r="S17" s="162"/>
      <c r="T17" s="164">
        <f t="shared" si="5"/>
        <v>0</v>
      </c>
    </row>
    <row r="18" spans="2:20" hidden="1">
      <c r="C18" s="164"/>
      <c r="D18" s="164"/>
      <c r="E18" s="162"/>
      <c r="F18" s="162"/>
      <c r="G18" s="164"/>
      <c r="H18" s="164"/>
      <c r="I18" s="164"/>
      <c r="J18" s="164"/>
      <c r="K18" s="164"/>
      <c r="L18" s="164"/>
      <c r="M18" s="164"/>
      <c r="N18" s="164"/>
      <c r="O18" s="162"/>
      <c r="P18" s="162"/>
      <c r="Q18" s="164"/>
      <c r="S18" s="162"/>
      <c r="T18" s="164">
        <f t="shared" si="5"/>
        <v>0</v>
      </c>
    </row>
    <row r="19" spans="2:20" hidden="1">
      <c r="S19" s="162"/>
      <c r="T19" s="164">
        <f t="shared" si="5"/>
        <v>0</v>
      </c>
    </row>
    <row r="20" spans="2:20" hidden="1">
      <c r="C20" s="164"/>
      <c r="D20" s="164"/>
      <c r="E20" s="162"/>
      <c r="F20" s="162"/>
      <c r="G20" s="164"/>
      <c r="H20" s="164"/>
      <c r="I20" s="164"/>
      <c r="J20" s="164"/>
      <c r="K20" s="164"/>
      <c r="L20" s="164"/>
      <c r="M20" s="164"/>
      <c r="N20" s="164"/>
      <c r="O20" s="162"/>
      <c r="P20" s="162"/>
      <c r="Q20" s="164"/>
      <c r="S20" s="162"/>
      <c r="T20" s="164">
        <f t="shared" si="5"/>
        <v>0</v>
      </c>
    </row>
    <row r="21" spans="2:20" hidden="1">
      <c r="C21" s="164"/>
      <c r="D21" s="164"/>
      <c r="E21" s="164"/>
      <c r="F21" s="164"/>
      <c r="G21" s="164"/>
      <c r="H21" s="164"/>
      <c r="I21" s="164"/>
      <c r="J21" s="164"/>
      <c r="K21" s="164"/>
      <c r="L21" s="164"/>
      <c r="M21" s="164"/>
      <c r="N21" s="164"/>
      <c r="O21" s="162"/>
      <c r="P21" s="162"/>
      <c r="Q21" s="164"/>
      <c r="T21" s="164">
        <f t="shared" si="5"/>
        <v>0</v>
      </c>
    </row>
    <row r="22" spans="2:20" hidden="1">
      <c r="C22" s="164"/>
      <c r="D22" s="164"/>
      <c r="E22" s="164"/>
      <c r="F22" s="164"/>
      <c r="G22" s="164"/>
      <c r="H22" s="164"/>
      <c r="I22" s="164"/>
      <c r="J22" s="164"/>
      <c r="K22" s="164"/>
      <c r="L22" s="164"/>
      <c r="M22" s="164"/>
      <c r="N22" s="164"/>
      <c r="O22" s="162"/>
      <c r="P22" s="162"/>
      <c r="Q22" s="164"/>
      <c r="T22" s="164">
        <f t="shared" si="5"/>
        <v>0</v>
      </c>
    </row>
    <row r="23" spans="2:20" hidden="1">
      <c r="C23" s="164"/>
      <c r="D23" s="164"/>
      <c r="E23" s="164"/>
      <c r="F23" s="164"/>
      <c r="G23" s="164"/>
      <c r="H23" s="164"/>
      <c r="I23" s="164"/>
      <c r="J23" s="164"/>
      <c r="K23" s="164"/>
      <c r="L23" s="164"/>
      <c r="M23" s="164"/>
      <c r="N23" s="164"/>
      <c r="O23" s="162"/>
      <c r="P23" s="162"/>
      <c r="Q23" s="164"/>
      <c r="T23" s="164">
        <f t="shared" si="5"/>
        <v>0</v>
      </c>
    </row>
    <row r="24" spans="2:20" hidden="1">
      <c r="C24" s="164"/>
      <c r="D24" s="164"/>
      <c r="E24" s="164"/>
      <c r="F24" s="164"/>
      <c r="G24" s="164"/>
      <c r="H24" s="164"/>
      <c r="I24" s="164"/>
      <c r="J24" s="164"/>
      <c r="K24" s="164"/>
      <c r="L24" s="164"/>
      <c r="M24" s="164"/>
      <c r="N24" s="164"/>
      <c r="O24" s="162"/>
      <c r="P24" s="162"/>
      <c r="Q24" s="164"/>
      <c r="T24" s="164">
        <f t="shared" si="5"/>
        <v>0</v>
      </c>
    </row>
    <row r="25" spans="2:20" hidden="1">
      <c r="C25" s="164"/>
      <c r="D25" s="164"/>
      <c r="E25" s="164"/>
      <c r="F25" s="164"/>
      <c r="G25" s="164"/>
      <c r="H25" s="164"/>
      <c r="I25" s="164"/>
      <c r="J25" s="164"/>
      <c r="K25" s="164"/>
      <c r="L25" s="164"/>
      <c r="M25" s="164"/>
      <c r="N25" s="164"/>
      <c r="O25" s="162"/>
      <c r="P25" s="162"/>
      <c r="Q25" s="164"/>
      <c r="T25" s="164">
        <f t="shared" si="5"/>
        <v>0</v>
      </c>
    </row>
    <row r="26" spans="2:20" hidden="1">
      <c r="C26" s="164"/>
      <c r="D26" s="164"/>
      <c r="E26" s="164"/>
      <c r="F26" s="164"/>
      <c r="G26" s="164"/>
      <c r="H26" s="164"/>
      <c r="I26" s="164"/>
      <c r="J26" s="164"/>
      <c r="K26" s="164"/>
      <c r="L26" s="164"/>
      <c r="M26" s="164"/>
      <c r="N26" s="164"/>
      <c r="O26" s="162"/>
      <c r="P26" s="162"/>
      <c r="Q26" s="164"/>
      <c r="T26" s="164">
        <f t="shared" si="5"/>
        <v>0</v>
      </c>
    </row>
    <row r="27" spans="2:20" hidden="1">
      <c r="C27" s="164"/>
      <c r="D27" s="164"/>
      <c r="E27" s="164"/>
      <c r="F27" s="164"/>
      <c r="G27" s="164"/>
      <c r="H27" s="164"/>
      <c r="I27" s="164"/>
      <c r="J27" s="164"/>
      <c r="K27" s="164"/>
      <c r="L27" s="164"/>
      <c r="M27" s="164"/>
      <c r="N27" s="164"/>
      <c r="O27" s="162"/>
      <c r="P27" s="162"/>
      <c r="Q27" s="164"/>
      <c r="T27" s="164">
        <f t="shared" si="5"/>
        <v>0</v>
      </c>
    </row>
    <row r="28" spans="2:20" hidden="1">
      <c r="C28" s="164"/>
      <c r="D28" s="164"/>
      <c r="E28" s="164"/>
      <c r="F28" s="164"/>
      <c r="G28" s="164"/>
      <c r="H28" s="164"/>
      <c r="I28" s="164"/>
      <c r="J28" s="164"/>
      <c r="K28" s="164"/>
      <c r="L28" s="164"/>
      <c r="M28" s="164"/>
      <c r="N28" s="164"/>
      <c r="O28" s="162"/>
      <c r="P28" s="162"/>
      <c r="Q28" s="164"/>
      <c r="T28" s="164">
        <f t="shared" si="5"/>
        <v>0</v>
      </c>
    </row>
    <row r="29" spans="2:20" hidden="1">
      <c r="C29" s="164"/>
      <c r="D29" s="164"/>
      <c r="E29" s="164"/>
      <c r="F29" s="164"/>
      <c r="G29" s="164"/>
      <c r="H29" s="164"/>
      <c r="I29" s="164"/>
      <c r="J29" s="164"/>
      <c r="K29" s="164"/>
      <c r="L29" s="164"/>
      <c r="M29" s="164"/>
      <c r="N29" s="164"/>
      <c r="Q29" s="164"/>
      <c r="T29" s="164">
        <f t="shared" si="5"/>
        <v>0</v>
      </c>
    </row>
    <row r="30" spans="2:20">
      <c r="B30" s="169" t="s">
        <v>486</v>
      </c>
      <c r="C30" s="170"/>
      <c r="D30" s="170"/>
      <c r="E30" s="170"/>
      <c r="F30" s="170"/>
      <c r="G30" s="531">
        <f>'B&amp;A Surcharges'!U37</f>
        <v>-530.81467372933082</v>
      </c>
      <c r="L30" s="170"/>
      <c r="M30" s="170"/>
      <c r="N30" s="170"/>
      <c r="O30" s="170"/>
      <c r="P30" s="170"/>
      <c r="Q30" s="164">
        <f>VLOOKUP(B7,'B&amp;A Surcharges'!A:U,21,FALSE)</f>
        <v>-530.81467372933082</v>
      </c>
      <c r="T30" s="164">
        <f>Q30</f>
        <v>-530.81467372933082</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50209.88</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-562.78000000000009</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2267.393545806452</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12588.4</v>
      </c>
      <c r="H42" s="164"/>
      <c r="I42" s="164"/>
      <c r="J42" s="164"/>
      <c r="K42" s="164"/>
      <c r="L42" s="164">
        <f>VLOOKUP(B7,'Envir FGD adj'!A:F,6,FALSE)</f>
        <v>-8112.4025318025488</v>
      </c>
      <c r="M42" s="164"/>
      <c r="N42" s="164"/>
      <c r="Q42" s="164">
        <f t="shared" ref="Q42" si="6">L42+M42+N42+O42</f>
        <v>-8112.4025318025488</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7607.8929058064514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11839.430000000002</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84</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-11711.470000000001</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264428.90459788358</v>
      </c>
      <c r="L53" s="168">
        <f t="shared" si="7"/>
        <v>-8112.4025318025488</v>
      </c>
      <c r="M53" s="168">
        <f t="shared" si="7"/>
        <v>0</v>
      </c>
      <c r="N53" s="168">
        <f t="shared" si="7"/>
        <v>0</v>
      </c>
      <c r="O53" s="539">
        <f t="shared" si="7"/>
        <v>0</v>
      </c>
      <c r="P53" s="539">
        <f t="shared" si="7"/>
        <v>0</v>
      </c>
      <c r="Q53" s="168">
        <f t="shared" si="7"/>
        <v>183993.75561446816</v>
      </c>
      <c r="T53" s="168">
        <f>SUM(T13:T50)</f>
        <v>205030.96635627068</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6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T57"/>
  <sheetViews>
    <sheetView zoomScale="90" zoomScaleNormal="9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42</v>
      </c>
    </row>
    <row r="7" spans="2:20">
      <c r="B7" s="150" t="s">
        <v>373</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Units'!D47</f>
        <v>81672728</v>
      </c>
      <c r="D13" s="164">
        <f>'Bill Units'!E47</f>
        <v>0</v>
      </c>
      <c r="E13" s="203">
        <f>'Rate Input'!D45</f>
        <v>7.356E-2</v>
      </c>
      <c r="F13" s="203">
        <f>'Rate Input'!E45</f>
        <v>0</v>
      </c>
      <c r="G13" s="164">
        <f>(C13*E13)+(D13*F13)</f>
        <v>6007845.8716799999</v>
      </c>
      <c r="H13" s="164">
        <f>VLOOKUP($B$7,WNLA!A:B,2,FALSE)*(SUM(C13:D13)/SUM(C13:D13))</f>
        <v>1470179.2285329853</v>
      </c>
      <c r="I13" s="162">
        <f>VLOOKUP($B$7,'Monthly # of Customers'!A:R,18,FALSE)*SUM(C13:D13)</f>
        <v>2753013.3033707864</v>
      </c>
      <c r="J13" s="162"/>
      <c r="K13" s="164">
        <f>C13+D13+H13+I13+J13</f>
        <v>85895920.531903774</v>
      </c>
      <c r="L13" s="164"/>
      <c r="M13" s="164"/>
      <c r="N13" s="164">
        <f>H13*E13</f>
        <v>108146.38405088639</v>
      </c>
      <c r="O13" s="162">
        <f>I13*E13</f>
        <v>202511.65859595506</v>
      </c>
      <c r="P13" s="162">
        <f>J13*F13</f>
        <v>0</v>
      </c>
      <c r="Q13" s="164">
        <f>G13+L13+M13+N13+O13+P13</f>
        <v>6318503.914326841</v>
      </c>
      <c r="S13" s="203">
        <f>'Proposed Rates'!C44</f>
        <v>7.8670000000000004E-2</v>
      </c>
      <c r="T13" s="164">
        <f>S13*K13</f>
        <v>6757432.0682448698</v>
      </c>
    </row>
    <row r="14" spans="2:20">
      <c r="B14" s="538"/>
      <c r="C14" s="164"/>
      <c r="D14" s="164"/>
      <c r="E14" s="203"/>
      <c r="F14" s="203"/>
      <c r="G14" s="164"/>
      <c r="H14" s="164"/>
      <c r="I14" s="162"/>
      <c r="J14" s="164"/>
      <c r="K14" s="164"/>
      <c r="L14" s="164"/>
      <c r="M14" s="164"/>
      <c r="N14" s="164"/>
      <c r="O14" s="162"/>
      <c r="P14" s="162"/>
      <c r="Q14" s="164"/>
      <c r="S14" s="203"/>
      <c r="T14" s="164">
        <f t="shared" ref="T14:T29" si="0">S14*K14</f>
        <v>0</v>
      </c>
    </row>
    <row r="15" spans="2:20">
      <c r="B15" s="538" t="s">
        <v>20</v>
      </c>
      <c r="C15" s="164">
        <f>'Bill Units'!D48</f>
        <v>318633</v>
      </c>
      <c r="D15" s="164">
        <f>'Bill Units'!E48</f>
        <v>0</v>
      </c>
      <c r="E15" s="203">
        <f>'Rate Input'!D46</f>
        <v>7.9</v>
      </c>
      <c r="F15" s="203">
        <f>'Rate Input'!E46</f>
        <v>0</v>
      </c>
      <c r="G15" s="164">
        <f t="shared" ref="G15:G17" si="1">(C15*E15)+(D15*F15)</f>
        <v>2517200.7000000002</v>
      </c>
      <c r="H15" s="164"/>
      <c r="I15" s="164">
        <f>VLOOKUP($B$7,'Monthly # of Customers'!A:R,18,FALSE)*SUM(C15:D15)</f>
        <v>10740.438202247191</v>
      </c>
      <c r="J15" s="162"/>
      <c r="K15" s="164">
        <f t="shared" ref="K15:K17" si="2">C15+D15+H15+I15+J15</f>
        <v>329373.4382022472</v>
      </c>
      <c r="L15" s="164"/>
      <c r="M15" s="164"/>
      <c r="N15" s="164">
        <f t="shared" ref="N15:N17" si="3">H15*F15</f>
        <v>0</v>
      </c>
      <c r="O15" s="162">
        <f>I15*E15</f>
        <v>84849.461797752811</v>
      </c>
      <c r="P15" s="162">
        <f t="shared" ref="P15:P17" si="4">J15*F15</f>
        <v>0</v>
      </c>
      <c r="Q15" s="164">
        <f t="shared" ref="Q15:Q17" si="5">G15+L15+M15+N15+O15+P15</f>
        <v>2602050.1617977531</v>
      </c>
      <c r="S15" s="162">
        <f>'Proposed Rates'!D44</f>
        <v>8.9499999999999993</v>
      </c>
      <c r="T15" s="164">
        <f t="shared" si="0"/>
        <v>2947892.2719101124</v>
      </c>
    </row>
    <row r="16" spans="2:20">
      <c r="B16" s="538"/>
      <c r="C16" s="164"/>
      <c r="D16" s="164"/>
      <c r="E16" s="203"/>
      <c r="F16" s="203"/>
      <c r="G16" s="164"/>
      <c r="H16" s="164"/>
      <c r="I16" s="164"/>
      <c r="J16" s="164"/>
      <c r="K16" s="164"/>
      <c r="L16" s="164"/>
      <c r="M16" s="164"/>
      <c r="N16" s="164"/>
      <c r="O16" s="162"/>
      <c r="P16" s="162"/>
      <c r="Q16" s="164"/>
      <c r="S16" s="162"/>
      <c r="T16" s="164">
        <f t="shared" si="0"/>
        <v>0</v>
      </c>
    </row>
    <row r="17" spans="2:20">
      <c r="B17" s="150" t="s">
        <v>341</v>
      </c>
      <c r="C17" s="164">
        <f>'Bill Units'!D49</f>
        <v>75094</v>
      </c>
      <c r="D17" s="164">
        <f>'Bill Units'!E49</f>
        <v>0</v>
      </c>
      <c r="E17" s="203">
        <f>'Rate Input'!D47</f>
        <v>3.46</v>
      </c>
      <c r="F17" s="203">
        <f>'Rate Input'!E47</f>
        <v>0</v>
      </c>
      <c r="G17" s="164">
        <f t="shared" si="1"/>
        <v>259825.24</v>
      </c>
      <c r="H17" s="162"/>
      <c r="I17" s="164">
        <f>VLOOKUP($B$7,'Monthly # of Customers'!A:R,18,FALSE)*SUM(C17:D17)</f>
        <v>2531.2584269662921</v>
      </c>
      <c r="J17" s="164"/>
      <c r="K17" s="164">
        <f t="shared" si="2"/>
        <v>77625.258426966291</v>
      </c>
      <c r="L17" s="164"/>
      <c r="M17" s="164"/>
      <c r="N17" s="164">
        <f t="shared" si="3"/>
        <v>0</v>
      </c>
      <c r="O17" s="162">
        <f>I17*E17</f>
        <v>8758.1541573033701</v>
      </c>
      <c r="P17" s="162">
        <f t="shared" si="4"/>
        <v>0</v>
      </c>
      <c r="Q17" s="164">
        <f t="shared" si="5"/>
        <v>268583.39415730338</v>
      </c>
      <c r="S17" s="162">
        <f>'Proposed Rates'!E44</f>
        <v>3.46</v>
      </c>
      <c r="T17" s="164">
        <f t="shared" si="0"/>
        <v>268583.39415730338</v>
      </c>
    </row>
    <row r="18" spans="2:20">
      <c r="C18" s="164"/>
      <c r="D18" s="164"/>
      <c r="E18" s="162"/>
      <c r="F18" s="162"/>
      <c r="G18" s="164"/>
      <c r="H18" s="164"/>
      <c r="I18" s="164"/>
      <c r="J18" s="164"/>
      <c r="K18" s="164"/>
      <c r="L18" s="164"/>
      <c r="M18" s="164"/>
      <c r="N18" s="164"/>
      <c r="O18" s="162"/>
      <c r="P18" s="162"/>
      <c r="Q18" s="164"/>
      <c r="S18" s="274"/>
      <c r="T18" s="164">
        <f t="shared" si="0"/>
        <v>0</v>
      </c>
    </row>
    <row r="19" spans="2:20">
      <c r="B19" s="150" t="s">
        <v>12</v>
      </c>
      <c r="C19" s="164">
        <f>'Bill Units'!D50</f>
        <v>801</v>
      </c>
      <c r="D19" s="164">
        <f>'Bill Units'!E50</f>
        <v>0</v>
      </c>
      <c r="E19" s="162">
        <f>'Rate Input'!D48</f>
        <v>127.5</v>
      </c>
      <c r="F19" s="162">
        <f>'Rate Input'!E48</f>
        <v>0</v>
      </c>
      <c r="G19" s="164">
        <f>(C19*E19)+(D19*F19)</f>
        <v>102127.5</v>
      </c>
      <c r="H19" s="164"/>
      <c r="I19" s="164">
        <f>VLOOKUP($B$7,'Monthly # of Customers'!A:R,18,FALSE)*SUM(C19:D19)</f>
        <v>27</v>
      </c>
      <c r="J19" s="164"/>
      <c r="K19" s="164">
        <f>C19+D19+H19+I19+J19</f>
        <v>828</v>
      </c>
      <c r="L19" s="164"/>
      <c r="M19" s="164"/>
      <c r="N19" s="164">
        <f>H19*F19</f>
        <v>0</v>
      </c>
      <c r="O19" s="162">
        <f>I19*E19</f>
        <v>3442.5</v>
      </c>
      <c r="P19" s="162">
        <f>J19*F19</f>
        <v>0</v>
      </c>
      <c r="Q19" s="164">
        <f>G19+L19+M19+N19+O19+P19</f>
        <v>105570</v>
      </c>
      <c r="S19" s="162">
        <f>'Proposed Rates'!B44</f>
        <v>145</v>
      </c>
      <c r="T19" s="164">
        <f t="shared" si="0"/>
        <v>120060</v>
      </c>
    </row>
    <row r="20" spans="2:20">
      <c r="Q20" s="164"/>
      <c r="S20" s="162"/>
      <c r="T20" s="164">
        <f t="shared" si="0"/>
        <v>0</v>
      </c>
    </row>
    <row r="21" spans="2:20">
      <c r="B21" s="150" t="s">
        <v>823</v>
      </c>
      <c r="C21" s="164"/>
      <c r="D21" s="164"/>
      <c r="E21" s="164"/>
      <c r="F21" s="164"/>
      <c r="G21" s="164">
        <f>-35483.14</f>
        <v>-35483.14</v>
      </c>
      <c r="H21" s="164"/>
      <c r="I21" s="164"/>
      <c r="J21" s="164"/>
      <c r="K21" s="164"/>
      <c r="L21" s="164"/>
      <c r="M21" s="164"/>
      <c r="N21" s="164"/>
      <c r="O21" s="162"/>
      <c r="P21" s="162"/>
      <c r="Q21" s="164">
        <f t="shared" ref="Q21" si="6">G21+L21+M21+N21+O21+P21</f>
        <v>-35483.14</v>
      </c>
      <c r="S21" s="162"/>
      <c r="T21" s="164">
        <f>Q21</f>
        <v>-35483.14</v>
      </c>
    </row>
    <row r="22" spans="2:20">
      <c r="C22" s="164"/>
      <c r="D22" s="164"/>
      <c r="E22" s="164"/>
      <c r="F22" s="164"/>
      <c r="G22" s="164"/>
      <c r="H22" s="164"/>
      <c r="I22" s="164"/>
      <c r="J22" s="164"/>
      <c r="K22" s="164"/>
      <c r="L22" s="164"/>
      <c r="M22" s="164"/>
      <c r="N22" s="164"/>
      <c r="O22" s="162"/>
      <c r="P22" s="162"/>
      <c r="Q22" s="164"/>
      <c r="S22" s="162"/>
      <c r="T22" s="164">
        <f t="shared" si="0"/>
        <v>0</v>
      </c>
    </row>
    <row r="23" spans="2:20">
      <c r="C23" s="164"/>
      <c r="D23" s="164"/>
      <c r="E23" s="164"/>
      <c r="F23" s="164"/>
      <c r="G23" s="164"/>
      <c r="H23" s="164"/>
      <c r="I23" s="164"/>
      <c r="J23" s="164"/>
      <c r="K23" s="164"/>
      <c r="L23" s="164"/>
      <c r="M23" s="164"/>
      <c r="N23" s="164"/>
      <c r="O23" s="162"/>
      <c r="P23" s="162"/>
      <c r="Q23" s="164"/>
      <c r="S23" s="162"/>
      <c r="T23" s="164">
        <f t="shared" si="0"/>
        <v>0</v>
      </c>
    </row>
    <row r="24" spans="2:20">
      <c r="C24" s="164"/>
      <c r="D24" s="164"/>
      <c r="E24" s="164"/>
      <c r="F24" s="164"/>
      <c r="G24" s="164"/>
      <c r="H24" s="164"/>
      <c r="I24" s="164"/>
      <c r="J24" s="164"/>
      <c r="K24" s="164"/>
      <c r="L24" s="164"/>
      <c r="M24" s="164"/>
      <c r="N24" s="164"/>
      <c r="O24" s="162"/>
      <c r="P24" s="162"/>
      <c r="Q24" s="164"/>
      <c r="S24" s="162"/>
      <c r="T24" s="164">
        <f t="shared" si="0"/>
        <v>0</v>
      </c>
    </row>
    <row r="25" spans="2:20">
      <c r="C25" s="164"/>
      <c r="D25" s="164"/>
      <c r="E25" s="164"/>
      <c r="F25" s="164"/>
      <c r="G25" s="164"/>
      <c r="H25" s="164"/>
      <c r="I25" s="164"/>
      <c r="J25" s="164"/>
      <c r="K25" s="164"/>
      <c r="L25" s="164"/>
      <c r="M25" s="164"/>
      <c r="N25" s="164"/>
      <c r="O25" s="162"/>
      <c r="P25" s="162"/>
      <c r="Q25" s="164"/>
      <c r="S25" s="162"/>
      <c r="T25" s="164">
        <f t="shared" si="0"/>
        <v>0</v>
      </c>
    </row>
    <row r="26" spans="2:20">
      <c r="C26" s="164"/>
      <c r="D26" s="164"/>
      <c r="E26" s="164"/>
      <c r="F26" s="164"/>
      <c r="G26" s="164"/>
      <c r="H26" s="164"/>
      <c r="I26" s="164"/>
      <c r="J26" s="164"/>
      <c r="K26" s="164"/>
      <c r="L26" s="164"/>
      <c r="M26" s="164"/>
      <c r="N26" s="164"/>
      <c r="O26" s="162"/>
      <c r="P26" s="162"/>
      <c r="Q26" s="164"/>
      <c r="S26" s="162"/>
      <c r="T26" s="164">
        <f t="shared" si="0"/>
        <v>0</v>
      </c>
    </row>
    <row r="27" spans="2:20">
      <c r="C27" s="164"/>
      <c r="D27" s="164"/>
      <c r="E27" s="164"/>
      <c r="F27" s="164"/>
      <c r="G27" s="164"/>
      <c r="H27" s="164"/>
      <c r="I27" s="164"/>
      <c r="J27" s="164"/>
      <c r="K27" s="164"/>
      <c r="L27" s="164"/>
      <c r="M27" s="164"/>
      <c r="N27" s="164"/>
      <c r="O27" s="162"/>
      <c r="P27" s="162"/>
      <c r="Q27" s="164"/>
      <c r="S27" s="162"/>
      <c r="T27" s="164">
        <f t="shared" si="0"/>
        <v>0</v>
      </c>
    </row>
    <row r="28" spans="2:20">
      <c r="C28" s="164"/>
      <c r="D28" s="164"/>
      <c r="E28" s="164"/>
      <c r="F28" s="164"/>
      <c r="G28" s="164"/>
      <c r="H28" s="164"/>
      <c r="I28" s="164"/>
      <c r="J28" s="164"/>
      <c r="K28" s="164"/>
      <c r="L28" s="164"/>
      <c r="M28" s="164"/>
      <c r="N28" s="164"/>
      <c r="O28" s="162"/>
      <c r="P28" s="162"/>
      <c r="Q28" s="164"/>
      <c r="S28" s="162"/>
      <c r="T28" s="164">
        <f t="shared" si="0"/>
        <v>0</v>
      </c>
    </row>
    <row r="29" spans="2:20">
      <c r="C29" s="164"/>
      <c r="D29" s="164"/>
      <c r="E29" s="164"/>
      <c r="F29" s="164"/>
      <c r="G29" s="164"/>
      <c r="H29" s="164"/>
      <c r="I29" s="164"/>
      <c r="J29" s="164"/>
      <c r="K29" s="164"/>
      <c r="L29" s="164"/>
      <c r="M29" s="164"/>
      <c r="N29" s="164"/>
      <c r="Q29" s="164"/>
      <c r="S29" s="162"/>
      <c r="T29" s="164">
        <f t="shared" si="0"/>
        <v>0</v>
      </c>
    </row>
    <row r="30" spans="2:20">
      <c r="B30" s="169" t="s">
        <v>486</v>
      </c>
      <c r="C30" s="170"/>
      <c r="D30" s="170"/>
      <c r="E30" s="170"/>
      <c r="F30" s="170"/>
      <c r="G30" s="531">
        <f>'B&amp;A Surcharges'!U43</f>
        <v>8207.1183444747785</v>
      </c>
      <c r="L30" s="170"/>
      <c r="M30" s="170"/>
      <c r="N30" s="170"/>
      <c r="O30" s="170"/>
      <c r="P30" s="170"/>
      <c r="Q30" s="164">
        <f>VLOOKUP(B7,'B&amp;A Surcharges'!A:U,21,FALSE)</f>
        <v>8207.1183444747785</v>
      </c>
      <c r="S30" s="162"/>
      <c r="T30" s="164">
        <f>Q30</f>
        <v>8207.1183444747785</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2150496.62</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-24695.47</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91062.11635612903</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529058.53</v>
      </c>
      <c r="H42" s="164"/>
      <c r="I42" s="164"/>
      <c r="J42" s="164"/>
      <c r="K42" s="164"/>
      <c r="L42" s="164">
        <f>VLOOKUP(B7,'Envir FGD adj'!A:F,6,FALSE)</f>
        <v>-340943.70676525496</v>
      </c>
      <c r="M42" s="164"/>
      <c r="N42" s="164"/>
      <c r="Q42" s="164">
        <f t="shared" ref="Q42" si="7">L42+M42+N42+O42</f>
        <v>-340943.70676525496</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415026.61754451616</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548647.49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801</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-549353.56000000006</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8">SUM(G13:G50)</f>
        <v>12020766.633925119</v>
      </c>
      <c r="L53" s="168">
        <f t="shared" si="8"/>
        <v>-340943.70676525496</v>
      </c>
      <c r="M53" s="168">
        <f t="shared" si="8"/>
        <v>0</v>
      </c>
      <c r="N53" s="168">
        <f t="shared" si="8"/>
        <v>108146.38405088639</v>
      </c>
      <c r="O53" s="539">
        <f t="shared" si="8"/>
        <v>299561.77455101127</v>
      </c>
      <c r="P53" s="539">
        <f t="shared" si="8"/>
        <v>0</v>
      </c>
      <c r="Q53" s="168">
        <f t="shared" si="8"/>
        <v>8926487.7418611161</v>
      </c>
      <c r="T53" s="168">
        <f>SUM(T13:T50)</f>
        <v>10066691.712656761</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4:N31"/>
  <sheetViews>
    <sheetView zoomScale="120" zoomScaleNormal="120" workbookViewId="0">
      <selection activeCell="G33" sqref="G33"/>
    </sheetView>
  </sheetViews>
  <sheetFormatPr defaultColWidth="9.140625" defaultRowHeight="12.75"/>
  <cols>
    <col min="1" max="1" width="6.28515625" style="278" customWidth="1"/>
    <col min="2" max="2" width="13.7109375" style="278" customWidth="1"/>
    <col min="3" max="8" width="16.28515625" style="278" customWidth="1"/>
    <col min="9" max="9" width="13.7109375" style="278" customWidth="1"/>
    <col min="10" max="11" width="9.140625" style="278"/>
    <col min="12" max="12" width="13.85546875" style="278" bestFit="1" customWidth="1"/>
    <col min="13" max="13" width="9.140625" style="278"/>
    <col min="14" max="14" width="13.28515625" style="278" bestFit="1" customWidth="1"/>
    <col min="15" max="16384" width="9.140625" style="278"/>
  </cols>
  <sheetData>
    <row r="4" spans="2:14" ht="13.5" thickBot="1"/>
    <row r="5" spans="2:14" ht="12.75" customHeight="1">
      <c r="B5" s="569" t="s">
        <v>251</v>
      </c>
      <c r="C5" s="577"/>
      <c r="D5" s="577"/>
      <c r="E5" s="279"/>
      <c r="F5" s="279"/>
      <c r="G5" s="279"/>
      <c r="H5" s="280"/>
      <c r="I5" s="281"/>
    </row>
    <row r="6" spans="2:14" ht="12.75" customHeight="1">
      <c r="B6" s="570"/>
      <c r="C6" s="578" t="s">
        <v>255</v>
      </c>
      <c r="D6" s="578" t="s">
        <v>895</v>
      </c>
      <c r="E6" s="574" t="s">
        <v>896</v>
      </c>
      <c r="F6" s="574" t="s">
        <v>848</v>
      </c>
      <c r="G6" s="574" t="s">
        <v>572</v>
      </c>
      <c r="H6" s="578" t="s">
        <v>573</v>
      </c>
      <c r="I6" s="572" t="s">
        <v>256</v>
      </c>
    </row>
    <row r="7" spans="2:14" ht="13.5" thickBot="1">
      <c r="B7" s="576"/>
      <c r="C7" s="578"/>
      <c r="D7" s="578"/>
      <c r="E7" s="575"/>
      <c r="F7" s="575"/>
      <c r="G7" s="575"/>
      <c r="H7" s="578"/>
      <c r="I7" s="573"/>
    </row>
    <row r="8" spans="2:14" ht="13.5" thickBot="1">
      <c r="B8" s="282"/>
      <c r="C8" s="66"/>
      <c r="D8" s="283" t="s">
        <v>507</v>
      </c>
      <c r="E8" s="284" t="s">
        <v>508</v>
      </c>
      <c r="F8" s="284" t="s">
        <v>574</v>
      </c>
      <c r="G8" s="284" t="s">
        <v>890</v>
      </c>
      <c r="H8" s="283" t="s">
        <v>891</v>
      </c>
      <c r="I8" s="285" t="s">
        <v>892</v>
      </c>
    </row>
    <row r="9" spans="2:14">
      <c r="B9" s="286" t="s">
        <v>576</v>
      </c>
      <c r="C9" s="287" t="s">
        <v>224</v>
      </c>
      <c r="D9" s="288">
        <f>'Revenue Summary'!B13</f>
        <v>301554659.58253741</v>
      </c>
      <c r="E9" s="288">
        <f>'Revenue Summary'!S13</f>
        <v>54920103.829119205</v>
      </c>
      <c r="F9" s="361">
        <f>'Revenue Summary'!Y13</f>
        <v>158121.35107102594</v>
      </c>
      <c r="G9" s="288">
        <f t="shared" ref="G9:G15" si="0">SUM(E9:F9)</f>
        <v>55078225.180190228</v>
      </c>
      <c r="H9" s="288">
        <f t="shared" ref="H9:H15" si="1">D9+G9</f>
        <v>356632884.76272762</v>
      </c>
      <c r="I9" s="289">
        <f t="shared" ref="I9:I15" si="2">G9/D9</f>
        <v>0.18264756796143941</v>
      </c>
      <c r="L9" s="355"/>
      <c r="N9" s="297"/>
    </row>
    <row r="10" spans="2:14">
      <c r="B10" s="290" t="s">
        <v>577</v>
      </c>
      <c r="C10" s="287" t="s">
        <v>463</v>
      </c>
      <c r="D10" s="291">
        <f>'Revenue Summary'!B24</f>
        <v>108376756.11286156</v>
      </c>
      <c r="E10" s="291">
        <f>'Revenue Summary'!S24</f>
        <v>13757530.597518984</v>
      </c>
      <c r="F10" s="362">
        <v>0</v>
      </c>
      <c r="G10" s="288">
        <f t="shared" si="0"/>
        <v>13757530.597518984</v>
      </c>
      <c r="H10" s="288">
        <f t="shared" si="1"/>
        <v>122134286.71038054</v>
      </c>
      <c r="I10" s="289">
        <f t="shared" si="2"/>
        <v>0.12694170863715598</v>
      </c>
    </row>
    <row r="11" spans="2:14">
      <c r="B11" s="290" t="s">
        <v>578</v>
      </c>
      <c r="C11" s="287" t="s">
        <v>252</v>
      </c>
      <c r="D11" s="291">
        <f>'Revenue Summary'!B33+'Revenue Summary'!B37</f>
        <v>72328787.428415105</v>
      </c>
      <c r="E11" s="291">
        <f>'Revenue Summary'!S33+'Revenue Summary'!S37</f>
        <v>6422438.7254070695</v>
      </c>
      <c r="F11" s="362">
        <v>0</v>
      </c>
      <c r="G11" s="288">
        <f t="shared" si="0"/>
        <v>6422438.7254070695</v>
      </c>
      <c r="H11" s="288">
        <f t="shared" si="1"/>
        <v>78751226.153822169</v>
      </c>
      <c r="I11" s="289">
        <f t="shared" si="2"/>
        <v>8.8795055934864864E-2</v>
      </c>
    </row>
    <row r="12" spans="2:14">
      <c r="B12" s="290" t="s">
        <v>465</v>
      </c>
      <c r="C12" s="287" t="s">
        <v>465</v>
      </c>
      <c r="D12" s="291">
        <f>'Revenue Summary'!B43</f>
        <v>198576375.17326325</v>
      </c>
      <c r="E12" s="291">
        <f>'Revenue Summary'!S43</f>
        <v>17068044.1652859</v>
      </c>
      <c r="F12" s="362">
        <v>0</v>
      </c>
      <c r="G12" s="288">
        <f t="shared" si="0"/>
        <v>17068044.1652859</v>
      </c>
      <c r="H12" s="288">
        <f t="shared" si="1"/>
        <v>215644419.33854914</v>
      </c>
      <c r="I12" s="289">
        <f t="shared" si="2"/>
        <v>8.5952038103191131E-2</v>
      </c>
    </row>
    <row r="13" spans="2:14">
      <c r="B13" s="290" t="s">
        <v>34</v>
      </c>
      <c r="C13" s="287" t="s">
        <v>34</v>
      </c>
      <c r="D13" s="291">
        <f>'Revenue Summary'!B48</f>
        <v>250475.44752697376</v>
      </c>
      <c r="E13" s="291">
        <f>'Revenue Summary'!S48</f>
        <v>18624.298606240307</v>
      </c>
      <c r="F13" s="362">
        <v>0</v>
      </c>
      <c r="G13" s="288">
        <f t="shared" si="0"/>
        <v>18624.298606240307</v>
      </c>
      <c r="H13" s="288">
        <f t="shared" si="1"/>
        <v>269099.7461332141</v>
      </c>
      <c r="I13" s="289">
        <f t="shared" si="2"/>
        <v>7.435578532795975E-2</v>
      </c>
    </row>
    <row r="14" spans="2:14">
      <c r="B14" s="290" t="s">
        <v>35</v>
      </c>
      <c r="C14" s="287" t="s">
        <v>35</v>
      </c>
      <c r="D14" s="291">
        <f>'Revenue Summary'!B45</f>
        <v>10245675.303714443</v>
      </c>
      <c r="E14" s="291">
        <f>'Revenue Summary'!S45</f>
        <v>1516832.3571874266</v>
      </c>
      <c r="F14" s="362">
        <v>0</v>
      </c>
      <c r="G14" s="288">
        <f t="shared" si="0"/>
        <v>1516832.3571874266</v>
      </c>
      <c r="H14" s="288">
        <f t="shared" si="1"/>
        <v>11762507.660901871</v>
      </c>
      <c r="I14" s="289">
        <f t="shared" si="2"/>
        <v>0.14804610845295066</v>
      </c>
    </row>
    <row r="15" spans="2:14">
      <c r="B15" s="290" t="s">
        <v>36</v>
      </c>
      <c r="C15" s="287" t="s">
        <v>36</v>
      </c>
      <c r="D15" s="291">
        <f>'Revenue Summary'!B46</f>
        <v>1937274.3744878529</v>
      </c>
      <c r="E15" s="291">
        <f>'Revenue Summary'!S46</f>
        <v>218085.82704426022</v>
      </c>
      <c r="F15" s="362">
        <v>0</v>
      </c>
      <c r="G15" s="288">
        <f t="shared" si="0"/>
        <v>218085.82704426022</v>
      </c>
      <c r="H15" s="288">
        <f t="shared" si="1"/>
        <v>2155360.2015321134</v>
      </c>
      <c r="I15" s="289">
        <f t="shared" si="2"/>
        <v>0.11257353626117851</v>
      </c>
    </row>
    <row r="16" spans="2:14" ht="13.5" thickBot="1">
      <c r="B16" s="292" t="s">
        <v>254</v>
      </c>
      <c r="C16" s="293" t="s">
        <v>254</v>
      </c>
      <c r="D16" s="294" t="s">
        <v>253</v>
      </c>
      <c r="E16" s="294" t="s">
        <v>571</v>
      </c>
      <c r="F16" s="294" t="s">
        <v>571</v>
      </c>
      <c r="G16" s="294" t="s">
        <v>253</v>
      </c>
      <c r="H16" s="294" t="s">
        <v>253</v>
      </c>
      <c r="I16" s="295" t="s">
        <v>253</v>
      </c>
    </row>
    <row r="17" spans="2:9">
      <c r="D17" s="296"/>
      <c r="E17" s="296"/>
      <c r="F17" s="296"/>
      <c r="G17" s="296"/>
    </row>
    <row r="18" spans="2:9">
      <c r="D18" s="296">
        <f>SUM(D9:D15)</f>
        <v>693270003.42280662</v>
      </c>
      <c r="E18" s="296">
        <f>SUM(E9:E15)</f>
        <v>93921659.80016908</v>
      </c>
      <c r="F18" s="296">
        <f>SUM(F9:F15)</f>
        <v>158121.35107102594</v>
      </c>
      <c r="G18" s="296">
        <f>SUM(G9:G15)</f>
        <v>94079781.15124011</v>
      </c>
      <c r="H18" s="296">
        <f t="shared" ref="H18" si="3">SUM(H9:H15)</f>
        <v>787349784.57404673</v>
      </c>
      <c r="I18" s="297">
        <f>G18/D18</f>
        <v>0.13570438744897403</v>
      </c>
    </row>
    <row r="19" spans="2:9">
      <c r="D19" s="296"/>
      <c r="E19" s="296"/>
      <c r="F19" s="296"/>
      <c r="G19" s="296"/>
      <c r="I19" s="297"/>
    </row>
    <row r="20" spans="2:9">
      <c r="B20" s="278" t="s">
        <v>575</v>
      </c>
      <c r="D20" s="296"/>
      <c r="E20" s="296"/>
      <c r="F20" s="296"/>
      <c r="G20" s="296"/>
      <c r="I20" s="297"/>
    </row>
    <row r="21" spans="2:9">
      <c r="B21" s="278" t="s">
        <v>893</v>
      </c>
      <c r="D21" s="296"/>
      <c r="E21" s="296"/>
      <c r="F21" s="296"/>
      <c r="G21" s="296"/>
      <c r="H21" s="296"/>
      <c r="I21" s="297"/>
    </row>
    <row r="22" spans="2:9" ht="12.75" customHeight="1">
      <c r="B22" s="278" t="s">
        <v>894</v>
      </c>
      <c r="C22" s="299"/>
      <c r="D22" s="299"/>
      <c r="E22" s="299"/>
      <c r="F22" s="299"/>
      <c r="G22" s="299"/>
      <c r="H22" s="299"/>
      <c r="I22" s="299"/>
    </row>
    <row r="23" spans="2:9">
      <c r="B23" s="298"/>
      <c r="C23" s="298"/>
      <c r="D23" s="298"/>
      <c r="E23" s="298"/>
      <c r="F23" s="298"/>
      <c r="G23" s="328"/>
      <c r="H23" s="298"/>
      <c r="I23" s="298"/>
    </row>
    <row r="24" spans="2:9">
      <c r="D24" s="300"/>
      <c r="E24" s="301"/>
      <c r="F24" s="301"/>
      <c r="G24" s="301"/>
      <c r="H24" s="301"/>
    </row>
    <row r="25" spans="2:9">
      <c r="D25" s="300"/>
      <c r="E25" s="301"/>
      <c r="F25" s="301"/>
      <c r="G25" s="301"/>
      <c r="H25" s="301"/>
    </row>
    <row r="26" spans="2:9">
      <c r="H26" s="297"/>
    </row>
    <row r="27" spans="2:9">
      <c r="F27" s="302"/>
      <c r="I27" s="303"/>
    </row>
    <row r="28" spans="2:9">
      <c r="F28" s="302"/>
      <c r="I28" s="303"/>
    </row>
    <row r="29" spans="2:9">
      <c r="F29" s="304"/>
    </row>
    <row r="30" spans="2:9">
      <c r="F30" s="305"/>
    </row>
    <row r="31" spans="2:9">
      <c r="H31" s="327"/>
    </row>
  </sheetData>
  <mergeCells count="9">
    <mergeCell ref="I6:I7"/>
    <mergeCell ref="E6:E7"/>
    <mergeCell ref="F6:F7"/>
    <mergeCell ref="G6:G7"/>
    <mergeCell ref="B5:B7"/>
    <mergeCell ref="C5:D5"/>
    <mergeCell ref="C6:C7"/>
    <mergeCell ref="D6:D7"/>
    <mergeCell ref="H6:H7"/>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T57"/>
  <sheetViews>
    <sheetView zoomScale="120" zoomScaleNormal="120" workbookViewId="0">
      <pane xSplit="2" ySplit="12" topLeftCell="C13" activePane="bottomRight" state="frozen"/>
      <selection activeCell="J30" sqref="J30"/>
      <selection pane="topRight" activeCell="J30" sqref="J30"/>
      <selection pane="bottomLeft" activeCell="J30" sqref="J30"/>
      <selection pane="bottomRight" activeCell="J30" sqref="J30"/>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350</v>
      </c>
    </row>
    <row r="7" spans="2:20">
      <c r="B7" s="150" t="s">
        <v>378</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Units'!P43</f>
        <v>1028280</v>
      </c>
      <c r="D13" s="164">
        <f>'Bill Units'!Q43</f>
        <v>0</v>
      </c>
      <c r="E13" s="203">
        <f>'Rate Input'!P41</f>
        <v>0.10142</v>
      </c>
      <c r="F13" s="203">
        <f>'Rate Input'!Q41</f>
        <v>0</v>
      </c>
      <c r="G13" s="164">
        <f>(C13*E13)+(D13*F13)</f>
        <v>104288.15759999999</v>
      </c>
      <c r="H13" s="164">
        <f>VLOOKUP($B$7,WNLA!A:B,2,FALSE)*(SUM(C13:D13)/SUM(C13:D14))</f>
        <v>0</v>
      </c>
      <c r="I13" s="162">
        <f>VLOOKUP($B$7,'Monthly # of Customers'!A:R,18,FALSE)*SUM(C13:D13)</f>
        <v>0</v>
      </c>
      <c r="J13" s="162"/>
      <c r="K13" s="164">
        <f>C13+D13+H13+I13+J13</f>
        <v>1028280</v>
      </c>
      <c r="L13" s="164"/>
      <c r="M13" s="164"/>
      <c r="N13" s="164">
        <f>H13*E13</f>
        <v>0</v>
      </c>
      <c r="O13" s="162">
        <f>I13*E13</f>
        <v>0</v>
      </c>
      <c r="P13" s="162">
        <f>J13*F13</f>
        <v>0</v>
      </c>
      <c r="Q13" s="164">
        <f>G13+L13+M13+N13+O13+P13</f>
        <v>104288.15759999999</v>
      </c>
      <c r="S13" s="203">
        <f>'Proposed Rates'!C51</f>
        <v>0.11237999999999999</v>
      </c>
      <c r="T13" s="164">
        <f>S13*K13</f>
        <v>115558.10639999999</v>
      </c>
    </row>
    <row r="14" spans="2:20">
      <c r="B14" s="538" t="s">
        <v>23</v>
      </c>
      <c r="C14" s="164">
        <f>'Bill Units'!P44</f>
        <v>1257784</v>
      </c>
      <c r="D14" s="164">
        <f>'Bill Units'!Q44</f>
        <v>0</v>
      </c>
      <c r="E14" s="203">
        <f>'Rate Input'!P42</f>
        <v>5.3179999999999998E-2</v>
      </c>
      <c r="F14" s="203">
        <f>'Rate Input'!Q42</f>
        <v>0</v>
      </c>
      <c r="G14" s="164">
        <f t="shared" ref="G14" si="0">(C14*E14)+(D14*F14)</f>
        <v>66888.953119999991</v>
      </c>
      <c r="H14" s="164">
        <f>VLOOKUP($B$7,WNLA!A:B,2,FALSE)*(SUM(C14:D14)/SUM(C13:D14))</f>
        <v>0</v>
      </c>
      <c r="I14" s="162">
        <f>VLOOKUP($B$7,'Monthly # of Customers'!A:R,18,FALSE)*SUM(C14:D14)</f>
        <v>0</v>
      </c>
      <c r="J14" s="164"/>
      <c r="K14" s="164">
        <f t="shared" ref="K14" si="1">C14+D14+H14+I14+J14</f>
        <v>1257784</v>
      </c>
      <c r="L14" s="164"/>
      <c r="M14" s="164"/>
      <c r="N14" s="164">
        <f>H14*E14</f>
        <v>0</v>
      </c>
      <c r="O14" s="162">
        <f>I14*E14</f>
        <v>0</v>
      </c>
      <c r="P14" s="162">
        <f t="shared" ref="P14" si="2">J14*F14</f>
        <v>0</v>
      </c>
      <c r="Q14" s="164">
        <f t="shared" ref="Q14" si="3">G14+L14+M14+N14+O14+P14</f>
        <v>66888.953119999991</v>
      </c>
      <c r="S14" s="203">
        <f>'Proposed Rates'!C52</f>
        <v>6.021E-2</v>
      </c>
      <c r="T14" s="164">
        <f t="shared" ref="T14:T29" si="4">S14*K14</f>
        <v>75731.174639999997</v>
      </c>
    </row>
    <row r="15" spans="2:20">
      <c r="B15" s="538"/>
      <c r="C15" s="164"/>
      <c r="D15" s="164"/>
      <c r="E15" s="203"/>
      <c r="F15" s="203"/>
      <c r="G15" s="164"/>
      <c r="H15" s="164"/>
      <c r="I15" s="164"/>
      <c r="J15" s="162"/>
      <c r="K15" s="164"/>
      <c r="L15" s="164"/>
      <c r="M15" s="164"/>
      <c r="N15" s="164"/>
      <c r="O15" s="162"/>
      <c r="P15" s="162"/>
      <c r="Q15" s="164"/>
      <c r="S15" s="162"/>
      <c r="T15" s="164">
        <f t="shared" si="4"/>
        <v>0</v>
      </c>
    </row>
    <row r="16" spans="2:20">
      <c r="B16" s="150" t="s">
        <v>20</v>
      </c>
      <c r="C16" s="164">
        <f>'Bill Units'!P40</f>
        <v>6346</v>
      </c>
      <c r="D16" s="164">
        <f>'Bill Units'!Q40</f>
        <v>0</v>
      </c>
      <c r="E16" s="203">
        <f>'Rate Input'!P38</f>
        <v>8.17</v>
      </c>
      <c r="F16" s="203">
        <f>'Rate Input'!Q38</f>
        <v>0</v>
      </c>
      <c r="G16" s="164">
        <f>(C16*E16)+(D16*F16)</f>
        <v>51846.82</v>
      </c>
      <c r="H16" s="162"/>
      <c r="I16" s="164">
        <f>VLOOKUP($B$7,'Monthly # of Customers'!A:R,18,FALSE)*SUM(C16:D16)</f>
        <v>0</v>
      </c>
      <c r="J16" s="164"/>
      <c r="K16" s="164">
        <f>C16+D16+H16+I16+J16</f>
        <v>6346</v>
      </c>
      <c r="L16" s="164"/>
      <c r="M16" s="164"/>
      <c r="N16" s="164">
        <f>H16*E16</f>
        <v>0</v>
      </c>
      <c r="O16" s="162">
        <f>I16*E16</f>
        <v>0</v>
      </c>
      <c r="P16" s="162">
        <f>J16*F16</f>
        <v>0</v>
      </c>
      <c r="Q16" s="164">
        <f>G16+L16+M16+N16+O16+P16</f>
        <v>51846.82</v>
      </c>
      <c r="S16" s="162">
        <f>'Proposed Rates'!D50</f>
        <v>7.76</v>
      </c>
      <c r="T16" s="164">
        <f t="shared" si="4"/>
        <v>49244.959999999999</v>
      </c>
    </row>
    <row r="17" spans="2:20">
      <c r="C17" s="164"/>
      <c r="D17" s="164"/>
      <c r="E17" s="162"/>
      <c r="F17" s="162"/>
      <c r="G17" s="164"/>
      <c r="H17" s="164"/>
      <c r="I17" s="164"/>
      <c r="J17" s="164"/>
      <c r="K17" s="164"/>
      <c r="L17" s="164"/>
      <c r="M17" s="164"/>
      <c r="N17" s="164"/>
      <c r="O17" s="162"/>
      <c r="P17" s="162"/>
      <c r="Q17" s="164"/>
      <c r="S17" s="162"/>
      <c r="T17" s="164">
        <f t="shared" si="4"/>
        <v>0</v>
      </c>
    </row>
    <row r="18" spans="2:20">
      <c r="B18" s="150" t="s">
        <v>341</v>
      </c>
      <c r="C18" s="164">
        <f>'Bill Units'!P41</f>
        <v>1536</v>
      </c>
      <c r="D18" s="164">
        <f>'Bill Units'!Q41</f>
        <v>0</v>
      </c>
      <c r="E18" s="162">
        <f>'Rate Input'!P39</f>
        <v>3.46</v>
      </c>
      <c r="F18" s="162">
        <f>'Rate Input'!Q39</f>
        <v>0</v>
      </c>
      <c r="G18" s="164">
        <f>(C18*E18)+(D18*F18)</f>
        <v>5314.5599999999995</v>
      </c>
      <c r="H18" s="164"/>
      <c r="I18" s="164">
        <f>VLOOKUP($B$7,'Monthly # of Customers'!A:R,18,FALSE)*SUM(C18:D18)</f>
        <v>0</v>
      </c>
      <c r="J18" s="164"/>
      <c r="K18" s="164">
        <f>C18+D18+H18+I18+J18</f>
        <v>1536</v>
      </c>
      <c r="L18" s="164"/>
      <c r="M18" s="164"/>
      <c r="N18" s="164">
        <f>H18*E18</f>
        <v>0</v>
      </c>
      <c r="O18" s="162">
        <f>I18*E18</f>
        <v>0</v>
      </c>
      <c r="P18" s="162">
        <f>J18*F18</f>
        <v>0</v>
      </c>
      <c r="Q18" s="164">
        <f>G18+L18+M18+N18+O18+P18</f>
        <v>5314.5599999999995</v>
      </c>
      <c r="S18" s="274">
        <f>'Proposed Rates'!E50</f>
        <v>3.46</v>
      </c>
      <c r="T18" s="164">
        <f t="shared" si="4"/>
        <v>5314.5599999999995</v>
      </c>
    </row>
    <row r="19" spans="2:20">
      <c r="C19" s="164"/>
      <c r="D19" s="164"/>
      <c r="E19" s="162"/>
      <c r="G19" s="164"/>
      <c r="H19" s="164"/>
      <c r="I19" s="164"/>
      <c r="J19" s="164"/>
      <c r="K19" s="164"/>
      <c r="L19" s="164"/>
      <c r="M19" s="164"/>
      <c r="N19" s="164"/>
      <c r="O19" s="162"/>
      <c r="P19" s="162"/>
      <c r="Q19" s="164"/>
      <c r="S19" s="162"/>
      <c r="T19" s="164">
        <f t="shared" si="4"/>
        <v>0</v>
      </c>
    </row>
    <row r="20" spans="2:20">
      <c r="B20" s="150" t="s">
        <v>12</v>
      </c>
      <c r="C20" s="164">
        <f>'Bill Units'!P42</f>
        <v>24</v>
      </c>
      <c r="D20" s="164">
        <f>'Bill Units'!Q42</f>
        <v>0</v>
      </c>
      <c r="E20" s="164">
        <f>'Rate Input'!P40</f>
        <v>127.5</v>
      </c>
      <c r="F20" s="164">
        <f>'Rate Input'!Q40</f>
        <v>0</v>
      </c>
      <c r="G20" s="164">
        <f>(C20*E20)+(D20*F20)</f>
        <v>3060</v>
      </c>
      <c r="H20" s="164"/>
      <c r="I20" s="164">
        <f>VLOOKUP($B$7,'Monthly # of Customers'!A:R,18,FALSE)*SUM(C20:D20)</f>
        <v>0</v>
      </c>
      <c r="J20" s="164"/>
      <c r="K20" s="164">
        <f>C20+D20+H20+I20+J20</f>
        <v>24</v>
      </c>
      <c r="L20" s="164"/>
      <c r="M20" s="164"/>
      <c r="N20" s="164">
        <f>H20*E20</f>
        <v>0</v>
      </c>
      <c r="O20" s="162">
        <f>I20*E20</f>
        <v>0</v>
      </c>
      <c r="P20" s="162">
        <f>J20*F20</f>
        <v>0</v>
      </c>
      <c r="Q20" s="164">
        <f>G20+L20+M20+N20+O20+P20</f>
        <v>3060</v>
      </c>
      <c r="S20" s="162">
        <f>'Proposed Rates'!B50</f>
        <v>145</v>
      </c>
      <c r="T20" s="164">
        <f t="shared" si="4"/>
        <v>3480</v>
      </c>
    </row>
    <row r="21" spans="2:20">
      <c r="E21" s="162"/>
      <c r="S21" s="162"/>
      <c r="T21" s="164">
        <f t="shared" si="4"/>
        <v>0</v>
      </c>
    </row>
    <row r="22" spans="2:20" hidden="1">
      <c r="S22" s="162"/>
      <c r="T22" s="164">
        <f t="shared" si="4"/>
        <v>0</v>
      </c>
    </row>
    <row r="23" spans="2:20" hidden="1">
      <c r="C23" s="164"/>
      <c r="D23" s="164"/>
      <c r="E23" s="164"/>
      <c r="F23" s="164"/>
      <c r="G23" s="164"/>
      <c r="H23" s="164"/>
      <c r="I23" s="164"/>
      <c r="J23" s="164"/>
      <c r="K23" s="164"/>
      <c r="L23" s="164"/>
      <c r="M23" s="164"/>
      <c r="N23" s="164"/>
      <c r="O23" s="162"/>
      <c r="P23" s="162"/>
      <c r="Q23" s="164"/>
      <c r="S23" s="162"/>
      <c r="T23" s="164">
        <f t="shared" si="4"/>
        <v>0</v>
      </c>
    </row>
    <row r="24" spans="2:20" hidden="1">
      <c r="C24" s="164"/>
      <c r="D24" s="164"/>
      <c r="E24" s="164"/>
      <c r="F24" s="164"/>
      <c r="G24" s="164"/>
      <c r="H24" s="164"/>
      <c r="I24" s="164"/>
      <c r="J24" s="164"/>
      <c r="K24" s="164"/>
      <c r="L24" s="164"/>
      <c r="M24" s="164"/>
      <c r="N24" s="164"/>
      <c r="O24" s="162"/>
      <c r="P24" s="162"/>
      <c r="Q24" s="164"/>
      <c r="S24" s="162"/>
      <c r="T24" s="164">
        <f t="shared" si="4"/>
        <v>0</v>
      </c>
    </row>
    <row r="25" spans="2:20" hidden="1">
      <c r="C25" s="164"/>
      <c r="D25" s="164"/>
      <c r="E25" s="164"/>
      <c r="F25" s="164"/>
      <c r="G25" s="164"/>
      <c r="H25" s="164"/>
      <c r="I25" s="164"/>
      <c r="J25" s="164"/>
      <c r="K25" s="164"/>
      <c r="L25" s="164"/>
      <c r="M25" s="164"/>
      <c r="N25" s="164"/>
      <c r="O25" s="162"/>
      <c r="P25" s="162"/>
      <c r="Q25" s="164"/>
      <c r="S25" s="162"/>
      <c r="T25" s="164">
        <f t="shared" si="4"/>
        <v>0</v>
      </c>
    </row>
    <row r="26" spans="2:20" hidden="1">
      <c r="C26" s="164"/>
      <c r="D26" s="164"/>
      <c r="E26" s="164"/>
      <c r="F26" s="164"/>
      <c r="G26" s="164"/>
      <c r="H26" s="164"/>
      <c r="I26" s="164"/>
      <c r="J26" s="164"/>
      <c r="K26" s="164"/>
      <c r="L26" s="164"/>
      <c r="M26" s="164"/>
      <c r="N26" s="164"/>
      <c r="O26" s="162"/>
      <c r="P26" s="162"/>
      <c r="Q26" s="164"/>
      <c r="S26" s="162"/>
      <c r="T26" s="164">
        <f t="shared" si="4"/>
        <v>0</v>
      </c>
    </row>
    <row r="27" spans="2:20" hidden="1">
      <c r="C27" s="164"/>
      <c r="D27" s="164"/>
      <c r="E27" s="164"/>
      <c r="F27" s="164"/>
      <c r="G27" s="164"/>
      <c r="H27" s="164"/>
      <c r="I27" s="164"/>
      <c r="J27" s="164"/>
      <c r="K27" s="164"/>
      <c r="L27" s="164"/>
      <c r="M27" s="164"/>
      <c r="N27" s="164"/>
      <c r="O27" s="162"/>
      <c r="P27" s="162"/>
      <c r="Q27" s="164"/>
      <c r="S27" s="162"/>
      <c r="T27" s="164">
        <f t="shared" si="4"/>
        <v>0</v>
      </c>
    </row>
    <row r="28" spans="2:20" hidden="1">
      <c r="C28" s="164"/>
      <c r="D28" s="164"/>
      <c r="E28" s="164"/>
      <c r="F28" s="164"/>
      <c r="G28" s="164"/>
      <c r="H28" s="164"/>
      <c r="I28" s="164"/>
      <c r="J28" s="164"/>
      <c r="K28" s="164"/>
      <c r="L28" s="164"/>
      <c r="M28" s="164"/>
      <c r="N28" s="164"/>
      <c r="O28" s="162"/>
      <c r="P28" s="162"/>
      <c r="Q28" s="164"/>
      <c r="S28" s="162"/>
      <c r="T28" s="164">
        <f t="shared" si="4"/>
        <v>0</v>
      </c>
    </row>
    <row r="29" spans="2:20" hidden="1">
      <c r="C29" s="164"/>
      <c r="D29" s="164"/>
      <c r="E29" s="164"/>
      <c r="F29" s="164"/>
      <c r="G29" s="164"/>
      <c r="H29" s="164"/>
      <c r="I29" s="164"/>
      <c r="J29" s="164"/>
      <c r="K29" s="164"/>
      <c r="L29" s="164"/>
      <c r="M29" s="164"/>
      <c r="N29" s="164"/>
      <c r="Q29" s="164"/>
      <c r="S29" s="162"/>
      <c r="T29" s="164">
        <f t="shared" si="4"/>
        <v>0</v>
      </c>
    </row>
    <row r="30" spans="2:20">
      <c r="B30" s="169" t="s">
        <v>486</v>
      </c>
      <c r="C30" s="170"/>
      <c r="D30" s="170"/>
      <c r="E30" s="170"/>
      <c r="F30" s="170"/>
      <c r="G30" s="531">
        <f>'B&amp;A Surcharges'!U41</f>
        <v>1877.1232599461844</v>
      </c>
      <c r="L30" s="170"/>
      <c r="M30" s="170"/>
      <c r="N30" s="170"/>
      <c r="O30" s="170"/>
      <c r="P30" s="170"/>
      <c r="Q30" s="164">
        <f>VLOOKUP(B7,'B&amp;A Surcharges'!A:U,21,FALSE)</f>
        <v>1877.1232599461844</v>
      </c>
      <c r="S30" s="162"/>
      <c r="T30" s="164">
        <f>Q30</f>
        <v>1877.1232599461844</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53586.76</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-311.25</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3297.0140464516135</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14581.479999999998</v>
      </c>
      <c r="H42" s="164"/>
      <c r="I42" s="164"/>
      <c r="J42" s="164"/>
      <c r="K42" s="164"/>
      <c r="L42" s="164">
        <f>VLOOKUP(B7,'Envir FGD adj'!A:F,6,FALSE)</f>
        <v>-9396.8125631079583</v>
      </c>
      <c r="M42" s="164"/>
      <c r="N42" s="164"/>
      <c r="Q42" s="164">
        <f t="shared" ref="Q42" si="5">L42+M42+N42+O42</f>
        <v>-9396.8125631079583</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9267.7401187096766</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13658.09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24</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-15518.19</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6">SUM(G13:G50)</f>
        <v>311861.25814510748</v>
      </c>
      <c r="L53" s="168">
        <f t="shared" si="6"/>
        <v>-9396.8125631079583</v>
      </c>
      <c r="M53" s="168">
        <f t="shared" si="6"/>
        <v>0</v>
      </c>
      <c r="N53" s="168">
        <f t="shared" si="6"/>
        <v>0</v>
      </c>
      <c r="O53" s="539">
        <f t="shared" si="6"/>
        <v>0</v>
      </c>
      <c r="P53" s="539">
        <f t="shared" si="6"/>
        <v>0</v>
      </c>
      <c r="Q53" s="168">
        <f t="shared" si="6"/>
        <v>223878.80141683822</v>
      </c>
      <c r="T53" s="168">
        <f>SUM(T13:T50)</f>
        <v>251205.92429994614</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T57"/>
  <sheetViews>
    <sheetView zoomScaleNormal="100" workbookViewId="0">
      <pane xSplit="2" ySplit="12" topLeftCell="E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43</v>
      </c>
    </row>
    <row r="7" spans="2:20">
      <c r="B7" s="150" t="s">
        <v>374</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Units'!H47</f>
        <v>12948743</v>
      </c>
      <c r="D13" s="164">
        <f>'Bill Units'!I47</f>
        <v>0</v>
      </c>
      <c r="E13" s="203">
        <f>'Rate Input'!H45</f>
        <v>5.2299999999999999E-2</v>
      </c>
      <c r="F13" s="203">
        <f>'Rate Input'!I45</f>
        <v>0</v>
      </c>
      <c r="G13" s="164">
        <f>(C13*E13)+(D13*F13)</f>
        <v>677219.25890000002</v>
      </c>
      <c r="H13" s="164">
        <f>VLOOKUP($B$7,WNLA!A:B,2,FALSE)*(SUM(C13:D13)/SUM(C13:D13))</f>
        <v>0</v>
      </c>
      <c r="I13" s="162">
        <f>VLOOKUP($B$7,'Monthly # of Customers'!A:R,18,FALSE)*SUM(C13:D13)</f>
        <v>996057.15384615387</v>
      </c>
      <c r="J13" s="164"/>
      <c r="K13" s="164">
        <f>C13+D13+H13+I13+J13</f>
        <v>13944800.153846154</v>
      </c>
      <c r="L13" s="164"/>
      <c r="M13" s="164"/>
      <c r="N13" s="164">
        <f>H13*F13</f>
        <v>0</v>
      </c>
      <c r="O13" s="162">
        <f>I13*E13</f>
        <v>52093.789146153846</v>
      </c>
      <c r="P13" s="162">
        <f>J13*F13</f>
        <v>0</v>
      </c>
      <c r="Q13" s="164">
        <f>G13+L13+M13+N13+O13+P13</f>
        <v>729313.04804615385</v>
      </c>
      <c r="S13" s="203">
        <f>'Proposed Rates'!C45</f>
        <v>5.9750000000000004E-2</v>
      </c>
      <c r="T13" s="164">
        <f>S13*K13</f>
        <v>833201.80919230776</v>
      </c>
    </row>
    <row r="14" spans="2:20">
      <c r="B14" s="538"/>
      <c r="C14" s="164"/>
      <c r="D14" s="164"/>
      <c r="E14" s="203"/>
      <c r="F14" s="203"/>
      <c r="G14" s="164"/>
      <c r="H14" s="164"/>
      <c r="I14" s="162"/>
      <c r="J14" s="164"/>
      <c r="K14" s="164"/>
      <c r="L14" s="164"/>
      <c r="M14" s="164"/>
      <c r="N14" s="164"/>
      <c r="O14" s="162"/>
      <c r="P14" s="162"/>
      <c r="Q14" s="164"/>
      <c r="S14" s="203"/>
      <c r="T14" s="164">
        <f t="shared" ref="T14:T29" si="0">S14*K14</f>
        <v>0</v>
      </c>
    </row>
    <row r="15" spans="2:20">
      <c r="B15" s="538" t="s">
        <v>20</v>
      </c>
      <c r="C15" s="164">
        <f>'Bill Units'!H48</f>
        <v>29271</v>
      </c>
      <c r="D15" s="164">
        <f>'Bill Units'!I48</f>
        <v>0</v>
      </c>
      <c r="E15" s="203">
        <f>'Rate Input'!H46</f>
        <v>6.61</v>
      </c>
      <c r="F15" s="203">
        <f>'Rate Input'!I46</f>
        <v>0</v>
      </c>
      <c r="G15" s="164">
        <f t="shared" ref="G15:G17" si="1">(C15*E15)+(D15*F15)</f>
        <v>193481.31</v>
      </c>
      <c r="H15" s="164"/>
      <c r="I15" s="164">
        <f>VLOOKUP($B$7,'Monthly # of Customers'!A:R,18,FALSE)*SUM(C15:D15)</f>
        <v>2251.6153846153848</v>
      </c>
      <c r="J15" s="164"/>
      <c r="K15" s="164">
        <f t="shared" ref="K15:K17" si="2">C15+D15+H15+I15+J15</f>
        <v>31522.615384615383</v>
      </c>
      <c r="L15" s="164"/>
      <c r="M15" s="164"/>
      <c r="N15" s="164">
        <f t="shared" ref="N15:N17" si="3">H15*F15</f>
        <v>0</v>
      </c>
      <c r="O15" s="162">
        <f>I15*E15</f>
        <v>14883.177692307694</v>
      </c>
      <c r="P15" s="162">
        <f t="shared" ref="P15:P17" si="4">J15*F15</f>
        <v>0</v>
      </c>
      <c r="Q15" s="164">
        <f t="shared" ref="Q15:Q17" si="5">G15+L15+M15+N15+O15+P15</f>
        <v>208364.48769230768</v>
      </c>
      <c r="S15" s="162">
        <f>'Proposed Rates'!D45</f>
        <v>5.39</v>
      </c>
      <c r="T15" s="164">
        <f t="shared" si="0"/>
        <v>169906.89692307691</v>
      </c>
    </row>
    <row r="16" spans="2:20">
      <c r="B16" s="538"/>
      <c r="C16" s="164"/>
      <c r="D16" s="164"/>
      <c r="E16" s="203"/>
      <c r="F16" s="203"/>
      <c r="G16" s="164"/>
      <c r="H16" s="164"/>
      <c r="I16" s="164"/>
      <c r="J16" s="164"/>
      <c r="K16" s="164"/>
      <c r="L16" s="164"/>
      <c r="M16" s="164"/>
      <c r="N16" s="164"/>
      <c r="O16" s="162"/>
      <c r="P16" s="162"/>
      <c r="Q16" s="164"/>
      <c r="S16" s="162"/>
      <c r="T16" s="164">
        <f t="shared" si="0"/>
        <v>0</v>
      </c>
    </row>
    <row r="17" spans="2:20">
      <c r="B17" s="150" t="s">
        <v>341</v>
      </c>
      <c r="C17" s="164">
        <f>'Bill Units'!H49</f>
        <v>2721</v>
      </c>
      <c r="D17" s="164">
        <f>'Bill Units'!I49</f>
        <v>0</v>
      </c>
      <c r="E17" s="203">
        <f>'Rate Input'!H47</f>
        <v>3.46</v>
      </c>
      <c r="F17" s="203">
        <f>'Rate Input'!I47</f>
        <v>0</v>
      </c>
      <c r="G17" s="164">
        <f t="shared" si="1"/>
        <v>9414.66</v>
      </c>
      <c r="H17" s="162"/>
      <c r="I17" s="164">
        <f>VLOOKUP($B$7,'Monthly # of Customers'!A:R,18,FALSE)*SUM(C17:D17)</f>
        <v>209.30769230769232</v>
      </c>
      <c r="J17" s="164"/>
      <c r="K17" s="164">
        <f t="shared" si="2"/>
        <v>2930.3076923076924</v>
      </c>
      <c r="L17" s="164"/>
      <c r="M17" s="164"/>
      <c r="N17" s="164">
        <f t="shared" si="3"/>
        <v>0</v>
      </c>
      <c r="O17" s="162">
        <f>I17*E17</f>
        <v>724.20461538461541</v>
      </c>
      <c r="P17" s="162">
        <f t="shared" si="4"/>
        <v>0</v>
      </c>
      <c r="Q17" s="164">
        <f t="shared" si="5"/>
        <v>10138.864615384615</v>
      </c>
      <c r="S17" s="162">
        <f>'Proposed Rates'!E45</f>
        <v>3.46</v>
      </c>
      <c r="T17" s="164">
        <f t="shared" si="0"/>
        <v>10138.864615384615</v>
      </c>
    </row>
    <row r="18" spans="2:20">
      <c r="J18" s="532"/>
      <c r="S18" s="274"/>
      <c r="T18" s="164">
        <f t="shared" si="0"/>
        <v>0</v>
      </c>
    </row>
    <row r="19" spans="2:20">
      <c r="B19" s="150" t="s">
        <v>12</v>
      </c>
      <c r="C19" s="164">
        <f>'Bill Units'!H50</f>
        <v>78</v>
      </c>
      <c r="D19" s="164">
        <f>'Bill Units'!I50</f>
        <v>0</v>
      </c>
      <c r="E19" s="162">
        <f>'Rate Input'!H48</f>
        <v>660</v>
      </c>
      <c r="F19" s="162">
        <f>'Rate Input'!I48</f>
        <v>0</v>
      </c>
      <c r="G19" s="164">
        <f>(C19*E19)+(D19*F19)</f>
        <v>51480</v>
      </c>
      <c r="H19" s="164"/>
      <c r="I19" s="164">
        <f>VLOOKUP($B$7,'Monthly # of Customers'!A:R,18,FALSE)*SUM(C19:D19)</f>
        <v>6</v>
      </c>
      <c r="J19" s="164"/>
      <c r="K19" s="164">
        <f>C19+D19+H19+I19+J19</f>
        <v>84</v>
      </c>
      <c r="L19" s="164"/>
      <c r="M19" s="164"/>
      <c r="N19" s="164">
        <f>H19*F19</f>
        <v>0</v>
      </c>
      <c r="O19" s="162">
        <f>I19*E19</f>
        <v>3960</v>
      </c>
      <c r="P19" s="162">
        <f>J19*F19</f>
        <v>0</v>
      </c>
      <c r="Q19" s="164">
        <f>G19+L19+M19+N19+O19+P19</f>
        <v>55440</v>
      </c>
      <c r="S19" s="162">
        <f>'Proposed Rates'!B45</f>
        <v>750</v>
      </c>
      <c r="T19" s="164">
        <f t="shared" si="0"/>
        <v>63000</v>
      </c>
    </row>
    <row r="20" spans="2:20">
      <c r="S20" s="162"/>
      <c r="T20" s="164">
        <f t="shared" si="0"/>
        <v>0</v>
      </c>
    </row>
    <row r="21" spans="2:20" hidden="1">
      <c r="C21" s="164"/>
      <c r="D21" s="164"/>
      <c r="E21" s="164"/>
      <c r="F21" s="164"/>
      <c r="G21" s="164"/>
      <c r="H21" s="164"/>
      <c r="I21" s="164"/>
      <c r="J21" s="164"/>
      <c r="K21" s="164"/>
      <c r="L21" s="164"/>
      <c r="M21" s="164"/>
      <c r="N21" s="164"/>
      <c r="O21" s="162"/>
      <c r="P21" s="162"/>
      <c r="Q21" s="164"/>
      <c r="S21" s="162"/>
      <c r="T21" s="164">
        <f t="shared" si="0"/>
        <v>0</v>
      </c>
    </row>
    <row r="22" spans="2:20" hidden="1">
      <c r="C22" s="164"/>
      <c r="D22" s="164"/>
      <c r="E22" s="164"/>
      <c r="F22" s="164"/>
      <c r="G22" s="164"/>
      <c r="H22" s="164"/>
      <c r="I22" s="164"/>
      <c r="J22" s="164"/>
      <c r="K22" s="164"/>
      <c r="L22" s="164"/>
      <c r="M22" s="164"/>
      <c r="N22" s="164"/>
      <c r="O22" s="162"/>
      <c r="P22" s="162"/>
      <c r="Q22" s="164"/>
      <c r="S22" s="162"/>
      <c r="T22" s="164">
        <f t="shared" si="0"/>
        <v>0</v>
      </c>
    </row>
    <row r="23" spans="2:20" hidden="1">
      <c r="C23" s="164"/>
      <c r="D23" s="164"/>
      <c r="E23" s="164"/>
      <c r="F23" s="164"/>
      <c r="G23" s="164"/>
      <c r="H23" s="164"/>
      <c r="I23" s="164"/>
      <c r="J23" s="164"/>
      <c r="K23" s="164"/>
      <c r="L23" s="164"/>
      <c r="M23" s="164"/>
      <c r="N23" s="164"/>
      <c r="O23" s="162"/>
      <c r="P23" s="162"/>
      <c r="Q23" s="164"/>
      <c r="S23" s="162"/>
      <c r="T23" s="164">
        <f t="shared" si="0"/>
        <v>0</v>
      </c>
    </row>
    <row r="24" spans="2:20" hidden="1">
      <c r="C24" s="164"/>
      <c r="D24" s="164"/>
      <c r="E24" s="164"/>
      <c r="F24" s="164"/>
      <c r="G24" s="164"/>
      <c r="H24" s="164"/>
      <c r="I24" s="164"/>
      <c r="J24" s="164"/>
      <c r="K24" s="164"/>
      <c r="L24" s="164"/>
      <c r="M24" s="164"/>
      <c r="N24" s="164"/>
      <c r="O24" s="162"/>
      <c r="P24" s="162"/>
      <c r="Q24" s="164"/>
      <c r="S24" s="162"/>
      <c r="T24" s="164">
        <f t="shared" si="0"/>
        <v>0</v>
      </c>
    </row>
    <row r="25" spans="2:20" hidden="1">
      <c r="C25" s="164"/>
      <c r="D25" s="164"/>
      <c r="E25" s="164"/>
      <c r="F25" s="164"/>
      <c r="G25" s="164"/>
      <c r="H25" s="164"/>
      <c r="I25" s="164"/>
      <c r="J25" s="164"/>
      <c r="K25" s="164"/>
      <c r="L25" s="164"/>
      <c r="M25" s="164"/>
      <c r="N25" s="164"/>
      <c r="O25" s="162"/>
      <c r="P25" s="162"/>
      <c r="Q25" s="164"/>
      <c r="S25" s="162"/>
      <c r="T25" s="164">
        <f t="shared" si="0"/>
        <v>0</v>
      </c>
    </row>
    <row r="26" spans="2:20" hidden="1">
      <c r="C26" s="164"/>
      <c r="D26" s="164"/>
      <c r="E26" s="164"/>
      <c r="F26" s="164"/>
      <c r="G26" s="164"/>
      <c r="H26" s="164"/>
      <c r="I26" s="164"/>
      <c r="J26" s="164"/>
      <c r="K26" s="164"/>
      <c r="L26" s="164"/>
      <c r="M26" s="164"/>
      <c r="N26" s="164"/>
      <c r="O26" s="162"/>
      <c r="P26" s="162"/>
      <c r="Q26" s="164"/>
      <c r="S26" s="162"/>
      <c r="T26" s="164">
        <f t="shared" si="0"/>
        <v>0</v>
      </c>
    </row>
    <row r="27" spans="2:20" hidden="1">
      <c r="C27" s="164"/>
      <c r="D27" s="164"/>
      <c r="E27" s="164"/>
      <c r="F27" s="164"/>
      <c r="G27" s="164"/>
      <c r="H27" s="164"/>
      <c r="I27" s="164"/>
      <c r="J27" s="164"/>
      <c r="K27" s="164"/>
      <c r="L27" s="164"/>
      <c r="M27" s="164"/>
      <c r="N27" s="164"/>
      <c r="O27" s="162"/>
      <c r="P27" s="162"/>
      <c r="Q27" s="164"/>
      <c r="S27" s="162"/>
      <c r="T27" s="164">
        <f t="shared" si="0"/>
        <v>0</v>
      </c>
    </row>
    <row r="28" spans="2:20" hidden="1">
      <c r="C28" s="164"/>
      <c r="D28" s="164"/>
      <c r="E28" s="164"/>
      <c r="F28" s="164"/>
      <c r="G28" s="164"/>
      <c r="H28" s="164"/>
      <c r="I28" s="164"/>
      <c r="J28" s="164"/>
      <c r="K28" s="164"/>
      <c r="L28" s="164"/>
      <c r="M28" s="164"/>
      <c r="N28" s="164"/>
      <c r="O28" s="162"/>
      <c r="P28" s="162"/>
      <c r="Q28" s="164"/>
      <c r="S28" s="162"/>
      <c r="T28" s="164">
        <f t="shared" si="0"/>
        <v>0</v>
      </c>
    </row>
    <row r="29" spans="2:20" hidden="1">
      <c r="C29" s="164"/>
      <c r="D29" s="164"/>
      <c r="E29" s="164"/>
      <c r="F29" s="164"/>
      <c r="G29" s="164"/>
      <c r="H29" s="164"/>
      <c r="I29" s="164"/>
      <c r="J29" s="164"/>
      <c r="K29" s="164"/>
      <c r="L29" s="164"/>
      <c r="M29" s="164"/>
      <c r="N29" s="164"/>
      <c r="Q29" s="164"/>
      <c r="S29" s="162"/>
      <c r="T29" s="164">
        <f t="shared" si="0"/>
        <v>0</v>
      </c>
    </row>
    <row r="30" spans="2:20">
      <c r="B30" s="169" t="s">
        <v>486</v>
      </c>
      <c r="C30" s="170"/>
      <c r="D30" s="170"/>
      <c r="E30" s="170"/>
      <c r="F30" s="170"/>
      <c r="G30" s="531">
        <f>'B&amp;A Surcharges'!U45</f>
        <v>-2019.6928055086423</v>
      </c>
      <c r="L30" s="170"/>
      <c r="M30" s="170"/>
      <c r="N30" s="170"/>
      <c r="O30" s="170"/>
      <c r="P30" s="170"/>
      <c r="Q30" s="164">
        <f>VLOOKUP(B7,'B&amp;A Surcharges'!A:U,21,FALSE)</f>
        <v>-2019.6928055086423</v>
      </c>
      <c r="S30" s="162"/>
      <c r="T30" s="164">
        <f>Q30</f>
        <v>-2019.6928055086423</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336293.85</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-3028.0200000000004</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15730.434932903227</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44280.760000000009</v>
      </c>
      <c r="H42" s="164"/>
      <c r="I42" s="164"/>
      <c r="J42" s="164"/>
      <c r="K42" s="164"/>
      <c r="L42" s="164">
        <f>VLOOKUP(B7,'Envir FGD adj'!A:F,6,FALSE)</f>
        <v>-28536.060939765273</v>
      </c>
      <c r="M42" s="164"/>
      <c r="N42" s="164"/>
      <c r="Q42" s="164">
        <f t="shared" ref="Q42" si="6">L42+M42+N42+O42</f>
        <v>-28536.060939765273</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39762.718507741927</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46300.05</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78</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-87201.49000000002</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1321791.8395351367</v>
      </c>
      <c r="L53" s="168">
        <f t="shared" si="7"/>
        <v>-28536.060939765273</v>
      </c>
      <c r="M53" s="168">
        <f t="shared" si="7"/>
        <v>0</v>
      </c>
      <c r="N53" s="168">
        <f t="shared" si="7"/>
        <v>0</v>
      </c>
      <c r="O53" s="539">
        <f t="shared" si="7"/>
        <v>71661.171453846153</v>
      </c>
      <c r="P53" s="539">
        <f t="shared" si="7"/>
        <v>0</v>
      </c>
      <c r="Q53" s="168">
        <f t="shared" si="7"/>
        <v>972700.64660857222</v>
      </c>
      <c r="T53" s="168">
        <f>SUM(T13:T50)</f>
        <v>1074227.8779252607</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T57"/>
  <sheetViews>
    <sheetView zoomScale="90" zoomScaleNormal="9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197</v>
      </c>
    </row>
    <row r="7" spans="2:20">
      <c r="B7" s="150" t="s">
        <v>375</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Units'!L47</f>
        <v>0</v>
      </c>
      <c r="D13" s="164">
        <f>'Bill Units'!M47</f>
        <v>0</v>
      </c>
      <c r="E13" s="203">
        <f>'Rate Input'!L45</f>
        <v>5.0849999999999999E-2</v>
      </c>
      <c r="F13" s="203">
        <f>'Rate Input'!M45</f>
        <v>0</v>
      </c>
      <c r="G13" s="164">
        <f>(C13*E13)+(D13*F13)</f>
        <v>0</v>
      </c>
      <c r="H13" s="164">
        <v>0</v>
      </c>
      <c r="I13" s="162">
        <f>VLOOKUP($B$7,'Monthly # of Customers'!A:R,18,FALSE)*SUM(C13:D13)</f>
        <v>0</v>
      </c>
      <c r="J13" s="164"/>
      <c r="K13" s="164">
        <f>C13+D13+H13+I13+J13</f>
        <v>0</v>
      </c>
      <c r="L13" s="164"/>
      <c r="M13" s="164">
        <f>C13*(F13-E13)</f>
        <v>0</v>
      </c>
      <c r="N13" s="164">
        <f>H13*F13</f>
        <v>0</v>
      </c>
      <c r="O13" s="162">
        <f>I13*F13</f>
        <v>0</v>
      </c>
      <c r="P13" s="162">
        <f>J13*F13</f>
        <v>0</v>
      </c>
      <c r="Q13" s="164">
        <f>G13+L13+M13+N13+O13+P13</f>
        <v>0</v>
      </c>
      <c r="S13" s="203">
        <f>'Proposed Rates'!C46</f>
        <v>5.8739999999999994E-2</v>
      </c>
      <c r="T13" s="164">
        <f>S13*K13</f>
        <v>0</v>
      </c>
    </row>
    <row r="14" spans="2:20">
      <c r="B14" s="538"/>
      <c r="C14" s="164"/>
      <c r="D14" s="164"/>
      <c r="E14" s="203"/>
      <c r="F14" s="203"/>
      <c r="G14" s="164"/>
      <c r="H14" s="164"/>
      <c r="I14" s="162"/>
      <c r="J14" s="164"/>
      <c r="K14" s="164"/>
      <c r="L14" s="164"/>
      <c r="M14" s="164"/>
      <c r="N14" s="164"/>
      <c r="O14" s="162"/>
      <c r="P14" s="162"/>
      <c r="Q14" s="164"/>
      <c r="S14" s="203"/>
      <c r="T14" s="164"/>
    </row>
    <row r="15" spans="2:20">
      <c r="B15" s="538" t="s">
        <v>20</v>
      </c>
      <c r="C15" s="164">
        <f>'Bill Units'!L48</f>
        <v>0</v>
      </c>
      <c r="D15" s="164">
        <f>'Bill Units'!M48</f>
        <v>0</v>
      </c>
      <c r="E15" s="162">
        <f>'Rate Input'!L46</f>
        <v>6.16</v>
      </c>
      <c r="F15" s="162">
        <f>'Rate Input'!M46</f>
        <v>0</v>
      </c>
      <c r="G15" s="164">
        <f t="shared" ref="G15:G17" si="0">(C15*E15)+(D15*F15)</f>
        <v>0</v>
      </c>
      <c r="H15" s="164"/>
      <c r="I15" s="164">
        <f>VLOOKUP($B$7,'Monthly # of Customers'!A:R,18,FALSE)*SUM(C15:D15)</f>
        <v>0</v>
      </c>
      <c r="J15" s="164"/>
      <c r="K15" s="164">
        <f t="shared" ref="K15:K17" si="1">C15+D15+H15+I15+J15</f>
        <v>0</v>
      </c>
      <c r="L15" s="164"/>
      <c r="M15" s="164">
        <f t="shared" ref="M15:M17" si="2">C15*(F15-E15)</f>
        <v>0</v>
      </c>
      <c r="N15" s="164">
        <f t="shared" ref="N15:N17" si="3">H15*F15</f>
        <v>0</v>
      </c>
      <c r="O15" s="162">
        <f t="shared" ref="O15:O17" si="4">I15*F15</f>
        <v>0</v>
      </c>
      <c r="P15" s="162">
        <f t="shared" ref="P15:P17" si="5">J15*F15</f>
        <v>0</v>
      </c>
      <c r="Q15" s="164">
        <f t="shared" ref="Q15:Q17" si="6">G15+L15+M15+N15+O15+P15</f>
        <v>0</v>
      </c>
      <c r="S15" s="162">
        <f>'Proposed Rates'!D46</f>
        <v>5.2499999999999991</v>
      </c>
      <c r="T15" s="164">
        <f>S15*K15</f>
        <v>0</v>
      </c>
    </row>
    <row r="16" spans="2:20">
      <c r="B16" s="538"/>
      <c r="C16" s="164"/>
      <c r="D16" s="164"/>
      <c r="E16" s="203"/>
      <c r="F16" s="203"/>
      <c r="G16" s="164"/>
      <c r="H16" s="164"/>
      <c r="I16" s="164"/>
      <c r="J16" s="164"/>
      <c r="K16" s="164"/>
      <c r="L16" s="164"/>
      <c r="M16" s="164"/>
      <c r="N16" s="164"/>
      <c r="O16" s="162"/>
      <c r="P16" s="162"/>
      <c r="Q16" s="164"/>
      <c r="S16" s="162"/>
      <c r="T16" s="164"/>
    </row>
    <row r="17" spans="2:20">
      <c r="B17" s="150" t="s">
        <v>341</v>
      </c>
      <c r="C17" s="164">
        <f>'Bill Units'!L49</f>
        <v>0</v>
      </c>
      <c r="D17" s="164">
        <f>'Bill Units'!M49</f>
        <v>0</v>
      </c>
      <c r="E17" s="203">
        <f>'Rate Input'!L47</f>
        <v>3.46</v>
      </c>
      <c r="F17" s="203">
        <f>'Rate Input'!M47</f>
        <v>0</v>
      </c>
      <c r="G17" s="164">
        <f t="shared" si="0"/>
        <v>0</v>
      </c>
      <c r="H17" s="162"/>
      <c r="I17" s="164">
        <f>VLOOKUP($B$7,'Monthly # of Customers'!A:R,18,FALSE)*SUM(C17:D17)</f>
        <v>0</v>
      </c>
      <c r="J17" s="164"/>
      <c r="K17" s="164">
        <f t="shared" si="1"/>
        <v>0</v>
      </c>
      <c r="L17" s="164"/>
      <c r="M17" s="164">
        <f t="shared" si="2"/>
        <v>0</v>
      </c>
      <c r="N17" s="164">
        <f t="shared" si="3"/>
        <v>0</v>
      </c>
      <c r="O17" s="162">
        <f t="shared" si="4"/>
        <v>0</v>
      </c>
      <c r="P17" s="162">
        <f t="shared" si="5"/>
        <v>0</v>
      </c>
      <c r="Q17" s="164">
        <f t="shared" si="6"/>
        <v>0</v>
      </c>
      <c r="S17" s="162">
        <f>'Proposed Rates'!E46</f>
        <v>3.46</v>
      </c>
      <c r="T17" s="164">
        <f>S17*K17</f>
        <v>0</v>
      </c>
    </row>
    <row r="18" spans="2:20">
      <c r="C18" s="164"/>
      <c r="D18" s="164"/>
      <c r="E18" s="162"/>
      <c r="F18" s="162"/>
      <c r="G18" s="164"/>
      <c r="H18" s="164"/>
      <c r="I18" s="164"/>
      <c r="J18" s="164"/>
      <c r="K18" s="164"/>
      <c r="L18" s="164"/>
      <c r="M18" s="164"/>
      <c r="N18" s="164"/>
      <c r="O18" s="162"/>
      <c r="P18" s="162"/>
      <c r="Q18" s="164"/>
    </row>
    <row r="19" spans="2:20">
      <c r="B19" s="150" t="s">
        <v>12</v>
      </c>
      <c r="C19" s="164">
        <f>'Bill Units'!L50</f>
        <v>0</v>
      </c>
      <c r="D19" s="164">
        <f>'Bill Units'!M50</f>
        <v>0</v>
      </c>
      <c r="E19" s="162">
        <f>'Rate Input'!L48</f>
        <v>660</v>
      </c>
      <c r="F19" s="162">
        <f>'Rate Input'!M48</f>
        <v>0</v>
      </c>
      <c r="G19" s="164">
        <f>(C19*E19)+(D19*F19)</f>
        <v>0</v>
      </c>
      <c r="H19" s="164"/>
      <c r="I19" s="164">
        <f>VLOOKUP($B$7,'Monthly # of Customers'!A:R,18,FALSE)*SUM(C19:D19)</f>
        <v>0</v>
      </c>
      <c r="J19" s="164"/>
      <c r="K19" s="164">
        <f>C19+D19+H19+I19+J19</f>
        <v>0</v>
      </c>
      <c r="L19" s="164"/>
      <c r="M19" s="164">
        <f>C19*(F19-E19)</f>
        <v>0</v>
      </c>
      <c r="N19" s="164">
        <f>H19*F19</f>
        <v>0</v>
      </c>
      <c r="O19" s="162">
        <f>I19*F19</f>
        <v>0</v>
      </c>
      <c r="P19" s="162">
        <f>J19*F19</f>
        <v>0</v>
      </c>
      <c r="Q19" s="164">
        <f>G19+L19+M19+N19+O19+P19</f>
        <v>0</v>
      </c>
      <c r="S19" s="162">
        <f>'Proposed Rates'!B46</f>
        <v>750</v>
      </c>
      <c r="T19" s="150">
        <f>Q19</f>
        <v>0</v>
      </c>
    </row>
    <row r="21" spans="2:20" hidden="1">
      <c r="C21" s="164"/>
      <c r="D21" s="164"/>
      <c r="E21" s="164"/>
      <c r="F21" s="164"/>
      <c r="G21" s="164"/>
      <c r="H21" s="164"/>
      <c r="I21" s="164"/>
      <c r="J21" s="164"/>
      <c r="K21" s="164"/>
      <c r="L21" s="164"/>
      <c r="M21" s="164"/>
      <c r="N21" s="164"/>
      <c r="O21" s="162"/>
      <c r="P21" s="162"/>
      <c r="Q21" s="164"/>
      <c r="T21" s="164"/>
    </row>
    <row r="22" spans="2:20" hidden="1">
      <c r="C22" s="164"/>
      <c r="D22" s="164"/>
      <c r="E22" s="164"/>
      <c r="F22" s="164"/>
      <c r="G22" s="164"/>
      <c r="H22" s="164"/>
      <c r="I22" s="164"/>
      <c r="J22" s="164"/>
      <c r="K22" s="164"/>
      <c r="L22" s="164"/>
      <c r="M22" s="164"/>
      <c r="N22" s="164"/>
      <c r="O22" s="162"/>
      <c r="P22" s="162"/>
      <c r="Q22" s="164"/>
      <c r="T22" s="164"/>
    </row>
    <row r="23" spans="2:20" hidden="1">
      <c r="C23" s="164"/>
      <c r="D23" s="164"/>
      <c r="E23" s="164"/>
      <c r="F23" s="164"/>
      <c r="G23" s="164"/>
      <c r="H23" s="164"/>
      <c r="I23" s="164"/>
      <c r="J23" s="164"/>
      <c r="K23" s="164"/>
      <c r="L23" s="164"/>
      <c r="M23" s="164"/>
      <c r="N23" s="164"/>
      <c r="O23" s="162"/>
      <c r="P23" s="162"/>
      <c r="Q23" s="164"/>
      <c r="T23" s="164"/>
    </row>
    <row r="24" spans="2:20" hidden="1">
      <c r="C24" s="164"/>
      <c r="D24" s="164"/>
      <c r="E24" s="164"/>
      <c r="F24" s="164"/>
      <c r="G24" s="164"/>
      <c r="H24" s="164"/>
      <c r="I24" s="164"/>
      <c r="J24" s="164"/>
      <c r="K24" s="164"/>
      <c r="L24" s="164"/>
      <c r="M24" s="164"/>
      <c r="N24" s="164"/>
      <c r="O24" s="162"/>
      <c r="P24" s="162"/>
      <c r="Q24" s="164"/>
      <c r="T24" s="164"/>
    </row>
    <row r="25" spans="2:20" hidden="1">
      <c r="C25" s="164"/>
      <c r="D25" s="164"/>
      <c r="E25" s="164"/>
      <c r="F25" s="164"/>
      <c r="G25" s="164"/>
      <c r="H25" s="164"/>
      <c r="I25" s="164"/>
      <c r="J25" s="164"/>
      <c r="K25" s="164"/>
      <c r="L25" s="164"/>
      <c r="M25" s="164"/>
      <c r="N25" s="164"/>
      <c r="O25" s="162"/>
      <c r="P25" s="162"/>
      <c r="Q25" s="164"/>
      <c r="T25" s="164"/>
    </row>
    <row r="26" spans="2:20" hidden="1">
      <c r="C26" s="164"/>
      <c r="D26" s="164"/>
      <c r="E26" s="164"/>
      <c r="F26" s="164"/>
      <c r="G26" s="164"/>
      <c r="H26" s="164"/>
      <c r="I26" s="164"/>
      <c r="J26" s="164"/>
      <c r="K26" s="164"/>
      <c r="L26" s="164"/>
      <c r="M26" s="164"/>
      <c r="N26" s="164"/>
      <c r="O26" s="162"/>
      <c r="P26" s="162"/>
      <c r="Q26" s="164"/>
      <c r="T26" s="164"/>
    </row>
    <row r="27" spans="2:20" hidden="1">
      <c r="C27" s="164"/>
      <c r="D27" s="164"/>
      <c r="E27" s="164"/>
      <c r="F27" s="164"/>
      <c r="G27" s="164"/>
      <c r="H27" s="164"/>
      <c r="I27" s="164"/>
      <c r="J27" s="164"/>
      <c r="K27" s="164"/>
      <c r="L27" s="164"/>
      <c r="M27" s="164"/>
      <c r="N27" s="164"/>
      <c r="O27" s="162"/>
      <c r="P27" s="162"/>
      <c r="Q27" s="164"/>
      <c r="T27" s="164"/>
    </row>
    <row r="28" spans="2:20" hidden="1">
      <c r="C28" s="164"/>
      <c r="D28" s="164"/>
      <c r="E28" s="164"/>
      <c r="F28" s="164"/>
      <c r="G28" s="164"/>
      <c r="H28" s="164"/>
      <c r="I28" s="164"/>
      <c r="J28" s="164"/>
      <c r="K28" s="164"/>
      <c r="L28" s="164"/>
      <c r="M28" s="164"/>
      <c r="N28" s="164"/>
      <c r="O28" s="162"/>
      <c r="P28" s="162"/>
      <c r="Q28" s="164"/>
      <c r="T28" s="164"/>
    </row>
    <row r="29" spans="2:20" hidden="1">
      <c r="C29" s="164"/>
      <c r="D29" s="164"/>
      <c r="E29" s="164"/>
      <c r="F29" s="164"/>
      <c r="G29" s="164"/>
      <c r="H29" s="164"/>
      <c r="I29" s="164"/>
      <c r="J29" s="164"/>
      <c r="K29" s="164"/>
      <c r="L29" s="164"/>
      <c r="M29" s="164"/>
      <c r="N29" s="164"/>
      <c r="Q29" s="164"/>
      <c r="T29" s="164"/>
    </row>
    <row r="30" spans="2:20">
      <c r="B30" s="169" t="s">
        <v>486</v>
      </c>
      <c r="C30" s="170"/>
      <c r="D30" s="170"/>
      <c r="E30" s="170"/>
      <c r="F30" s="170"/>
      <c r="G30" s="543">
        <f>'B&amp;A Surcharges'!U47</f>
        <v>0</v>
      </c>
      <c r="L30" s="170"/>
      <c r="M30" s="170"/>
      <c r="N30" s="170"/>
      <c r="O30" s="170"/>
      <c r="P30" s="170"/>
      <c r="Q30" s="164">
        <f>VLOOKUP(B7,'B&amp;A Surcharges'!A:U,21,FALSE)</f>
        <v>0</v>
      </c>
      <c r="T30" s="164">
        <f>Q30</f>
        <v>0</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0</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0</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0</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0</v>
      </c>
      <c r="H42" s="164"/>
      <c r="I42" s="164"/>
      <c r="J42" s="164"/>
      <c r="K42" s="164"/>
      <c r="L42" s="164">
        <f>VLOOKUP(B7,'Envir FGD adj'!A:F,6,FALSE)</f>
        <v>0</v>
      </c>
      <c r="M42" s="164"/>
      <c r="N42" s="164"/>
      <c r="Q42" s="164">
        <f t="shared" ref="Q42" si="7">L42+M42+N42+O42</f>
        <v>0</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0</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0</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0</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0</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SUM(G13:G50)</f>
        <v>0</v>
      </c>
      <c r="L53" s="168">
        <f t="shared" ref="L53:Q53" si="8">SUM(L13:L50)</f>
        <v>0</v>
      </c>
      <c r="M53" s="168">
        <f t="shared" si="8"/>
        <v>0</v>
      </c>
      <c r="N53" s="168">
        <f t="shared" si="8"/>
        <v>0</v>
      </c>
      <c r="O53" s="539">
        <f t="shared" si="8"/>
        <v>0</v>
      </c>
      <c r="P53" s="539">
        <f t="shared" si="8"/>
        <v>0</v>
      </c>
      <c r="Q53" s="168">
        <f t="shared" si="8"/>
        <v>0</v>
      </c>
      <c r="T53" s="168">
        <f>SUM(T13:T50)</f>
        <v>0</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2:T57"/>
  <sheetViews>
    <sheetView zoomScale="90" zoomScaleNormal="9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257</v>
      </c>
    </row>
    <row r="7" spans="2:20">
      <c r="B7" s="150" t="s">
        <v>377</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22</v>
      </c>
      <c r="C13" s="164">
        <f>'Bill Units'!L43</f>
        <v>2056801</v>
      </c>
      <c r="D13" s="164">
        <f>'Bill Units'!M43</f>
        <v>0</v>
      </c>
      <c r="E13" s="203">
        <f>'Rate Input'!L41</f>
        <v>0.10284</v>
      </c>
      <c r="F13" s="203">
        <f>'Rate Input'!M41</f>
        <v>0</v>
      </c>
      <c r="G13" s="164">
        <f>(C13*E13)+(D13*F13)</f>
        <v>211521.41484000001</v>
      </c>
      <c r="H13" s="164">
        <f>VLOOKUP($B$7,WNLA!A:B,2,FALSE)*(SUM(C13:D13)/SUM(C13:D14))</f>
        <v>0</v>
      </c>
      <c r="I13" s="162">
        <f>VLOOKUP($B$7,'Monthly # of Customers'!A:R,18,FALSE)*SUM(C13:D13)</f>
        <v>411360.2</v>
      </c>
      <c r="J13" s="162"/>
      <c r="K13" s="164">
        <f>C13+D13+H13+I13+J13</f>
        <v>2468161.2000000002</v>
      </c>
      <c r="L13" s="164"/>
      <c r="M13" s="164"/>
      <c r="N13" s="164">
        <f>H13*F13</f>
        <v>0</v>
      </c>
      <c r="O13" s="162">
        <f>I13*E13</f>
        <v>42304.282968</v>
      </c>
      <c r="P13" s="162">
        <f>J13*F13</f>
        <v>0</v>
      </c>
      <c r="Q13" s="164">
        <f>G13+L13+M13+N13+O13+P13</f>
        <v>253825.69780800003</v>
      </c>
      <c r="S13" s="203">
        <f>'Proposed Rates'!C48</f>
        <v>0.11792999999999999</v>
      </c>
      <c r="T13" s="164">
        <f>S13*K13</f>
        <v>291070.25031600002</v>
      </c>
    </row>
    <row r="14" spans="2:20">
      <c r="B14" s="538" t="s">
        <v>23</v>
      </c>
      <c r="C14" s="164">
        <f>'Bill Units'!L44</f>
        <v>2954047</v>
      </c>
      <c r="D14" s="164">
        <f>'Bill Units'!M44</f>
        <v>0</v>
      </c>
      <c r="E14" s="203">
        <f>'Rate Input'!L42</f>
        <v>5.3600000000000002E-2</v>
      </c>
      <c r="F14" s="203">
        <f>'Rate Input'!M42</f>
        <v>0</v>
      </c>
      <c r="G14" s="164">
        <f t="shared" ref="G14" si="0">(C14*E14)+(D14*F14)</f>
        <v>158336.9192</v>
      </c>
      <c r="H14" s="164">
        <f>VLOOKUP($B$7,WNLA!A:B,2,FALSE)*(SUM(C14:D14)/SUM(C13:D14))</f>
        <v>0</v>
      </c>
      <c r="I14" s="162">
        <f>VLOOKUP($B$7,'Monthly # of Customers'!A:R,18,FALSE)*SUM(C14:D14)</f>
        <v>590809.4</v>
      </c>
      <c r="J14" s="164"/>
      <c r="K14" s="164">
        <f t="shared" ref="K14" si="1">C14+D14+H14+I14+J14</f>
        <v>3544856.4</v>
      </c>
      <c r="L14" s="164"/>
      <c r="M14" s="164"/>
      <c r="N14" s="164">
        <f t="shared" ref="N14" si="2">H14*F14</f>
        <v>0</v>
      </c>
      <c r="O14" s="162">
        <f>I14*E14</f>
        <v>31667.383840000002</v>
      </c>
      <c r="P14" s="162">
        <f t="shared" ref="P14" si="3">J14*F14</f>
        <v>0</v>
      </c>
      <c r="Q14" s="164">
        <f t="shared" ref="Q14" si="4">G14+L14+M14+N14+O14+P14</f>
        <v>190004.30304</v>
      </c>
      <c r="S14" s="203">
        <f>'Proposed Rates'!C49</f>
        <v>6.1940000000000002E-2</v>
      </c>
      <c r="T14" s="164">
        <f t="shared" ref="T14:T29" si="5">S14*K14</f>
        <v>219568.40541599999</v>
      </c>
    </row>
    <row r="15" spans="2:20">
      <c r="B15" s="538"/>
      <c r="C15" s="164"/>
      <c r="D15" s="164"/>
      <c r="E15" s="203"/>
      <c r="F15" s="203"/>
      <c r="G15" s="164"/>
      <c r="H15" s="164"/>
      <c r="I15" s="164"/>
      <c r="J15" s="162"/>
      <c r="K15" s="164"/>
      <c r="L15" s="164"/>
      <c r="M15" s="164"/>
      <c r="N15" s="164"/>
      <c r="O15" s="162"/>
      <c r="P15" s="162"/>
      <c r="Q15" s="164"/>
      <c r="S15" s="162"/>
      <c r="T15" s="164">
        <f t="shared" si="5"/>
        <v>0</v>
      </c>
    </row>
    <row r="16" spans="2:20">
      <c r="B16" s="150" t="s">
        <v>20</v>
      </c>
      <c r="C16" s="164">
        <f>'Bill Units'!L40</f>
        <v>9215</v>
      </c>
      <c r="D16" s="164">
        <f>'Bill Units'!M40</f>
        <v>0</v>
      </c>
      <c r="E16" s="203">
        <f>'Rate Input'!L38</f>
        <v>10.92</v>
      </c>
      <c r="F16" s="203">
        <f>'Rate Input'!M38</f>
        <v>0</v>
      </c>
      <c r="G16" s="164">
        <f>(C16*E16)+(D16*F16)</f>
        <v>100627.8</v>
      </c>
      <c r="H16" s="162"/>
      <c r="I16" s="164">
        <f>VLOOKUP($B$7,'Monthly # of Customers'!A:R,18,FALSE)*SUM(C16:D16)</f>
        <v>1843</v>
      </c>
      <c r="J16" s="164"/>
      <c r="K16" s="164">
        <f>C16+D16+H16+I16+J16</f>
        <v>11058</v>
      </c>
      <c r="L16" s="164"/>
      <c r="M16" s="164"/>
      <c r="N16" s="164">
        <f>H16*F16</f>
        <v>0</v>
      </c>
      <c r="O16" s="162">
        <f>I16*E16</f>
        <v>20125.560000000001</v>
      </c>
      <c r="P16" s="162">
        <f>J16*F16</f>
        <v>0</v>
      </c>
      <c r="Q16" s="164">
        <f>G16+L16+M16+N16+O16+P16</f>
        <v>120753.36</v>
      </c>
      <c r="S16" s="162">
        <f>'Proposed Rates'!D47</f>
        <v>9.1300000000000008</v>
      </c>
      <c r="T16" s="164">
        <f t="shared" si="5"/>
        <v>100959.54000000001</v>
      </c>
    </row>
    <row r="17" spans="2:20">
      <c r="C17" s="164"/>
      <c r="D17" s="164"/>
      <c r="E17" s="203"/>
      <c r="F17" s="203"/>
      <c r="G17" s="164"/>
      <c r="H17" s="164"/>
      <c r="I17" s="164"/>
      <c r="J17" s="164"/>
      <c r="K17" s="164"/>
      <c r="L17" s="164"/>
      <c r="M17" s="164"/>
      <c r="N17" s="164"/>
      <c r="O17" s="162"/>
      <c r="P17" s="162"/>
      <c r="Q17" s="164"/>
      <c r="S17" s="162"/>
      <c r="T17" s="164">
        <f t="shared" si="5"/>
        <v>0</v>
      </c>
    </row>
    <row r="18" spans="2:20">
      <c r="B18" s="150" t="s">
        <v>341</v>
      </c>
      <c r="C18" s="164">
        <f>'Bill Units'!L41</f>
        <v>4420</v>
      </c>
      <c r="D18" s="164">
        <f>'Bill Units'!M41</f>
        <v>0</v>
      </c>
      <c r="E18" s="162">
        <f>'Rate Input'!L39</f>
        <v>3.46</v>
      </c>
      <c r="F18" s="162">
        <f>'Rate Input'!M39</f>
        <v>0</v>
      </c>
      <c r="G18" s="164">
        <f>(C18*E18)+(D18*F18)</f>
        <v>15293.2</v>
      </c>
      <c r="H18" s="164"/>
      <c r="I18" s="164">
        <f>VLOOKUP($B$7,'Monthly # of Customers'!A:R,18,FALSE)*SUM(C18:D18)</f>
        <v>884</v>
      </c>
      <c r="J18" s="164"/>
      <c r="K18" s="164">
        <f>C18+D18+H18+I18+J18</f>
        <v>5304</v>
      </c>
      <c r="L18" s="164"/>
      <c r="M18" s="164"/>
      <c r="N18" s="164">
        <f>H18*F18</f>
        <v>0</v>
      </c>
      <c r="O18" s="162">
        <f>I18*E18</f>
        <v>3058.64</v>
      </c>
      <c r="P18" s="162">
        <f>J18*F18</f>
        <v>0</v>
      </c>
      <c r="Q18" s="164">
        <f>G18+L18+M18+N18+O18+P18</f>
        <v>18351.84</v>
      </c>
      <c r="S18" s="162">
        <f>'Proposed Rates'!E47</f>
        <v>3.46</v>
      </c>
      <c r="T18" s="164">
        <f t="shared" si="5"/>
        <v>18351.84</v>
      </c>
    </row>
    <row r="19" spans="2:20">
      <c r="C19" s="164"/>
      <c r="D19" s="164"/>
      <c r="E19" s="162"/>
      <c r="F19" s="162"/>
      <c r="G19" s="164"/>
      <c r="H19" s="164"/>
      <c r="I19" s="164"/>
      <c r="J19" s="164"/>
      <c r="K19" s="164"/>
      <c r="L19" s="164"/>
      <c r="M19" s="164"/>
      <c r="N19" s="164"/>
      <c r="O19" s="162"/>
      <c r="P19" s="162"/>
      <c r="Q19" s="164"/>
      <c r="S19" s="162"/>
      <c r="T19" s="164">
        <f t="shared" si="5"/>
        <v>0</v>
      </c>
    </row>
    <row r="20" spans="2:20">
      <c r="B20" s="150" t="s">
        <v>12</v>
      </c>
      <c r="C20" s="164">
        <f>'Bill Units'!L42</f>
        <v>50</v>
      </c>
      <c r="D20" s="164">
        <f>'Bill Units'!M42</f>
        <v>0</v>
      </c>
      <c r="E20" s="164">
        <f>'Rate Input'!L40</f>
        <v>85</v>
      </c>
      <c r="F20" s="164">
        <f>'Rate Input'!M40</f>
        <v>0</v>
      </c>
      <c r="G20" s="164">
        <f>(C20*E20)+(D20*F20)</f>
        <v>4250</v>
      </c>
      <c r="H20" s="164"/>
      <c r="I20" s="164">
        <f>VLOOKUP($B$7,'Monthly # of Customers'!A:R,18,FALSE)*SUM(C20:D20)</f>
        <v>10</v>
      </c>
      <c r="J20" s="164"/>
      <c r="K20" s="164">
        <f>C20+D20+H20+I20+J20</f>
        <v>60</v>
      </c>
      <c r="L20" s="164"/>
      <c r="M20" s="164"/>
      <c r="N20" s="164">
        <f>H20*F20</f>
        <v>0</v>
      </c>
      <c r="O20" s="162">
        <f>I20*E20</f>
        <v>850</v>
      </c>
      <c r="P20" s="162">
        <f>J20*F20</f>
        <v>0</v>
      </c>
      <c r="Q20" s="164">
        <f>G20+L20+M20+N20+O20+P20</f>
        <v>5100</v>
      </c>
      <c r="S20" s="162">
        <f>'Proposed Rates'!B47</f>
        <v>97</v>
      </c>
      <c r="T20" s="164">
        <f t="shared" si="5"/>
        <v>5820</v>
      </c>
    </row>
    <row r="21" spans="2:20">
      <c r="S21" s="162"/>
      <c r="T21" s="164">
        <f t="shared" si="5"/>
        <v>0</v>
      </c>
    </row>
    <row r="22" spans="2:20" hidden="1">
      <c r="S22" s="162"/>
      <c r="T22" s="164">
        <f t="shared" si="5"/>
        <v>0</v>
      </c>
    </row>
    <row r="23" spans="2:20" hidden="1">
      <c r="C23" s="164"/>
      <c r="D23" s="164"/>
      <c r="E23" s="164"/>
      <c r="F23" s="164"/>
      <c r="G23" s="164"/>
      <c r="H23" s="164"/>
      <c r="I23" s="164"/>
      <c r="J23" s="164"/>
      <c r="K23" s="164"/>
      <c r="L23" s="164"/>
      <c r="M23" s="164"/>
      <c r="N23" s="164"/>
      <c r="O23" s="162"/>
      <c r="P23" s="162"/>
      <c r="Q23" s="164"/>
      <c r="S23" s="162"/>
      <c r="T23" s="164">
        <f t="shared" si="5"/>
        <v>0</v>
      </c>
    </row>
    <row r="24" spans="2:20" hidden="1">
      <c r="C24" s="164"/>
      <c r="D24" s="164"/>
      <c r="E24" s="164"/>
      <c r="F24" s="164"/>
      <c r="G24" s="164"/>
      <c r="H24" s="164"/>
      <c r="I24" s="164"/>
      <c r="J24" s="164"/>
      <c r="K24" s="164"/>
      <c r="L24" s="164"/>
      <c r="M24" s="164"/>
      <c r="N24" s="164"/>
      <c r="O24" s="162"/>
      <c r="P24" s="162"/>
      <c r="Q24" s="164"/>
      <c r="S24" s="162"/>
      <c r="T24" s="164">
        <f t="shared" si="5"/>
        <v>0</v>
      </c>
    </row>
    <row r="25" spans="2:20" hidden="1">
      <c r="C25" s="164"/>
      <c r="D25" s="164"/>
      <c r="E25" s="164"/>
      <c r="F25" s="164"/>
      <c r="G25" s="164"/>
      <c r="H25" s="164"/>
      <c r="I25" s="164"/>
      <c r="J25" s="164"/>
      <c r="K25" s="164"/>
      <c r="L25" s="164"/>
      <c r="M25" s="164"/>
      <c r="N25" s="164"/>
      <c r="O25" s="162"/>
      <c r="P25" s="162"/>
      <c r="Q25" s="164"/>
      <c r="S25" s="162"/>
      <c r="T25" s="164">
        <f t="shared" si="5"/>
        <v>0</v>
      </c>
    </row>
    <row r="26" spans="2:20" hidden="1">
      <c r="C26" s="164"/>
      <c r="D26" s="164"/>
      <c r="E26" s="164"/>
      <c r="F26" s="164"/>
      <c r="G26" s="164"/>
      <c r="H26" s="164"/>
      <c r="I26" s="164"/>
      <c r="J26" s="164"/>
      <c r="K26" s="164"/>
      <c r="L26" s="164"/>
      <c r="M26" s="164"/>
      <c r="N26" s="164"/>
      <c r="O26" s="162"/>
      <c r="P26" s="162"/>
      <c r="Q26" s="164"/>
      <c r="S26" s="162"/>
      <c r="T26" s="164">
        <f t="shared" si="5"/>
        <v>0</v>
      </c>
    </row>
    <row r="27" spans="2:20" hidden="1">
      <c r="C27" s="164"/>
      <c r="D27" s="164"/>
      <c r="E27" s="164"/>
      <c r="F27" s="164"/>
      <c r="G27" s="164"/>
      <c r="H27" s="164"/>
      <c r="I27" s="164"/>
      <c r="J27" s="164"/>
      <c r="K27" s="164"/>
      <c r="L27" s="164"/>
      <c r="M27" s="164"/>
      <c r="N27" s="164"/>
      <c r="O27" s="162"/>
      <c r="P27" s="162"/>
      <c r="Q27" s="164"/>
      <c r="S27" s="162"/>
      <c r="T27" s="164">
        <f t="shared" si="5"/>
        <v>0</v>
      </c>
    </row>
    <row r="28" spans="2:20" hidden="1">
      <c r="C28" s="164"/>
      <c r="D28" s="164"/>
      <c r="E28" s="164"/>
      <c r="F28" s="164"/>
      <c r="G28" s="164"/>
      <c r="H28" s="164"/>
      <c r="I28" s="164"/>
      <c r="J28" s="164"/>
      <c r="K28" s="164"/>
      <c r="L28" s="164"/>
      <c r="M28" s="164"/>
      <c r="N28" s="164"/>
      <c r="O28" s="162"/>
      <c r="P28" s="162"/>
      <c r="Q28" s="164"/>
      <c r="S28" s="162"/>
      <c r="T28" s="164">
        <f t="shared" si="5"/>
        <v>0</v>
      </c>
    </row>
    <row r="29" spans="2:20" hidden="1">
      <c r="C29" s="164"/>
      <c r="D29" s="164"/>
      <c r="E29" s="164"/>
      <c r="F29" s="164"/>
      <c r="G29" s="164"/>
      <c r="H29" s="164"/>
      <c r="I29" s="164"/>
      <c r="J29" s="164"/>
      <c r="K29" s="164"/>
      <c r="L29" s="164"/>
      <c r="M29" s="164"/>
      <c r="N29" s="164"/>
      <c r="Q29" s="164"/>
      <c r="S29" s="162"/>
      <c r="T29" s="164">
        <f t="shared" si="5"/>
        <v>0</v>
      </c>
    </row>
    <row r="30" spans="2:20">
      <c r="B30" s="169" t="s">
        <v>486</v>
      </c>
      <c r="C30" s="170"/>
      <c r="D30" s="170"/>
      <c r="E30" s="170"/>
      <c r="F30" s="170"/>
      <c r="G30" s="531">
        <f>'B&amp;A Surcharges'!U39</f>
        <v>2201.5891981586451</v>
      </c>
      <c r="L30" s="170"/>
      <c r="M30" s="170"/>
      <c r="N30" s="170"/>
      <c r="O30" s="170"/>
      <c r="P30" s="170"/>
      <c r="Q30" s="164">
        <f>VLOOKUP(B7,'B&amp;A Surcharges'!A:U,21,FALSE)</f>
        <v>2201.5891981586451</v>
      </c>
      <c r="S30" s="162"/>
      <c r="T30" s="164">
        <f>Q30</f>
        <v>2201.5891981586451</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130839.35</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-1445.9299999999998</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5803.873482580645</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27616.070000000003</v>
      </c>
      <c r="H42" s="164"/>
      <c r="I42" s="164"/>
      <c r="J42" s="164"/>
      <c r="K42" s="164"/>
      <c r="L42" s="164">
        <f>VLOOKUP(B7,'Envir FGD adj'!A:F,6,FALSE)</f>
        <v>-17796.755440440123</v>
      </c>
      <c r="M42" s="164"/>
      <c r="N42" s="164"/>
      <c r="Q42" s="164">
        <f t="shared" ref="Q42" si="6">L42+M42+N42+O42</f>
        <v>-17796.755440440123</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12442.292697419354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28120.19</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50</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-33832.720000000001</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7">SUM(G13:G50)</f>
        <v>661824.0494181586</v>
      </c>
      <c r="L53" s="168">
        <f t="shared" si="7"/>
        <v>-17796.755440440123</v>
      </c>
      <c r="M53" s="168">
        <f t="shared" si="7"/>
        <v>0</v>
      </c>
      <c r="N53" s="168">
        <f t="shared" si="7"/>
        <v>0</v>
      </c>
      <c r="O53" s="539">
        <f t="shared" si="7"/>
        <v>98005.866808000006</v>
      </c>
      <c r="P53" s="539">
        <f t="shared" si="7"/>
        <v>0</v>
      </c>
      <c r="Q53" s="168">
        <f t="shared" si="7"/>
        <v>572440.03460571845</v>
      </c>
      <c r="T53" s="168">
        <f>SUM(T13:T50)</f>
        <v>637971.62493015861</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T57"/>
  <sheetViews>
    <sheetView zoomScale="90" zoomScaleNormal="9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49" customWidth="1"/>
    <col min="2" max="2" width="30" style="149" customWidth="1"/>
    <col min="3" max="3" width="15" style="149" customWidth="1"/>
    <col min="4" max="4" width="15" style="150" customWidth="1"/>
    <col min="5" max="11" width="15" style="149" customWidth="1"/>
    <col min="12" max="13" width="15" style="150" customWidth="1"/>
    <col min="14" max="14" width="15" style="149" customWidth="1"/>
    <col min="15" max="16" width="15" style="163" customWidth="1"/>
    <col min="17" max="17" width="15" style="149" customWidth="1"/>
    <col min="18" max="18" width="4.28515625" style="149" customWidth="1"/>
    <col min="19" max="20" width="15" style="149" customWidth="1"/>
    <col min="21" max="16384" width="9.140625" style="149"/>
  </cols>
  <sheetData>
    <row r="2" spans="2:20">
      <c r="B2" s="149" t="str">
        <f>RS!B2</f>
        <v>KENTUCKY POWER BILLING ANALYSIS</v>
      </c>
      <c r="G2" s="151"/>
      <c r="H2" s="151"/>
      <c r="I2" s="151"/>
      <c r="J2" s="151"/>
      <c r="K2" s="151"/>
    </row>
    <row r="3" spans="2:20">
      <c r="B3" s="149" t="str">
        <f>RS!B3</f>
        <v>PER BOOKS</v>
      </c>
      <c r="G3" s="152"/>
      <c r="H3" s="152"/>
      <c r="I3" s="152"/>
      <c r="J3" s="152"/>
      <c r="K3" s="152"/>
    </row>
    <row r="4" spans="2:20">
      <c r="B4" s="149" t="str">
        <f>RS!B4</f>
        <v>TEST YEAR ENDED MARCH 31, 2023</v>
      </c>
    </row>
    <row r="6" spans="2:20">
      <c r="B6" s="149" t="s">
        <v>258</v>
      </c>
    </row>
    <row r="7" spans="2:20">
      <c r="B7" s="149" t="s">
        <v>379</v>
      </c>
    </row>
    <row r="8" spans="2:20">
      <c r="C8" s="150"/>
      <c r="E8" s="153"/>
      <c r="F8" s="153"/>
      <c r="H8" s="581" t="str">
        <f>RS!H8</f>
        <v>Unit Adjustments</v>
      </c>
      <c r="I8" s="581"/>
      <c r="J8" s="581"/>
      <c r="K8" s="196"/>
      <c r="L8" s="580" t="str">
        <f>RS!L8</f>
        <v>Base Revenues Adjustments</v>
      </c>
      <c r="M8" s="580"/>
      <c r="N8" s="580"/>
      <c r="O8" s="580"/>
      <c r="P8" s="580"/>
      <c r="Q8" s="153"/>
    </row>
    <row r="9" spans="2:20">
      <c r="B9" s="153"/>
      <c r="C9" s="153" t="str">
        <f>RS!C9</f>
        <v>Apr - Mar</v>
      </c>
      <c r="D9" s="154">
        <f>RS!D9</f>
        <v>0</v>
      </c>
      <c r="E9" s="153" t="str">
        <f>RS!E9</f>
        <v>Apr - Mar</v>
      </c>
      <c r="F9" s="154">
        <f>RS!F9</f>
        <v>0</v>
      </c>
      <c r="G9" s="153" t="str">
        <f>RS!G9</f>
        <v>Per Books</v>
      </c>
      <c r="H9" s="153" t="str">
        <f>RS!H9</f>
        <v>Weather</v>
      </c>
      <c r="I9" s="153" t="str">
        <f>RS!I9</f>
        <v>Customer</v>
      </c>
      <c r="J9" s="153" t="str">
        <f>RS!J9</f>
        <v>Customer</v>
      </c>
      <c r="K9" s="196" t="str">
        <f>RS!K9</f>
        <v>Adjusted</v>
      </c>
      <c r="L9" s="154" t="str">
        <f>RS!L9</f>
        <v>Enviro Sur</v>
      </c>
      <c r="M9" s="154" t="str">
        <f>RS!M9</f>
        <v>Rate</v>
      </c>
      <c r="N9" s="153" t="str">
        <f>RS!N9</f>
        <v>Weather</v>
      </c>
      <c r="O9" s="153" t="str">
        <f>RS!O9</f>
        <v>Customer</v>
      </c>
      <c r="P9" s="153" t="str">
        <f>RS!P9</f>
        <v>Customer</v>
      </c>
      <c r="Q9" s="153" t="str">
        <f>RS!Q9</f>
        <v>Adjusted Base</v>
      </c>
      <c r="S9" s="153" t="s">
        <v>170</v>
      </c>
      <c r="T9" s="153" t="s">
        <v>172</v>
      </c>
    </row>
    <row r="10" spans="2:20">
      <c r="B10" s="187" t="str">
        <f>RS!B10</f>
        <v>Description</v>
      </c>
      <c r="C10" s="187" t="str">
        <f>RS!C10</f>
        <v>Units</v>
      </c>
      <c r="D10" s="187">
        <f>RS!D10</f>
        <v>0</v>
      </c>
      <c r="E10" s="187" t="str">
        <f>RS!E10</f>
        <v>Rate</v>
      </c>
      <c r="F10" s="187">
        <f>RS!F10</f>
        <v>0</v>
      </c>
      <c r="G10" s="187" t="str">
        <f>RS!G10</f>
        <v>Revenue</v>
      </c>
      <c r="H10" s="187" t="str">
        <f>RS!H10</f>
        <v>Normalization</v>
      </c>
      <c r="I10" s="187" t="str">
        <f>RS!I10</f>
        <v>Annualization</v>
      </c>
      <c r="J10" s="187" t="str">
        <f>RS!J10</f>
        <v>Pro Forma</v>
      </c>
      <c r="K10" s="187" t="str">
        <f>RS!K10</f>
        <v>Units</v>
      </c>
      <c r="L10" s="191" t="str">
        <f>RS!L10</f>
        <v>Excl FGD</v>
      </c>
      <c r="M10" s="191" t="str">
        <f>RS!M10</f>
        <v>Annualization</v>
      </c>
      <c r="N10" s="187" t="str">
        <f>RS!N10</f>
        <v>Normalization</v>
      </c>
      <c r="O10" s="187" t="str">
        <f>RS!O10</f>
        <v>Annualization</v>
      </c>
      <c r="P10" s="187" t="str">
        <f>RS!P10</f>
        <v>Pro Forma</v>
      </c>
      <c r="Q10" s="187" t="str">
        <f>RS!Q10</f>
        <v>Revenue</v>
      </c>
      <c r="S10" s="259" t="s">
        <v>532</v>
      </c>
      <c r="T10" s="259" t="s">
        <v>6</v>
      </c>
    </row>
    <row r="11" spans="2:20">
      <c r="B11" s="194" t="str">
        <f>RS!B11</f>
        <v>(1)</v>
      </c>
      <c r="C11" s="194" t="str">
        <f>RS!C11</f>
        <v>(2)</v>
      </c>
      <c r="D11" s="194" t="str">
        <f>RS!D11</f>
        <v>(3)</v>
      </c>
      <c r="E11" s="195" t="str">
        <f>RS!E11</f>
        <v>(4)</v>
      </c>
      <c r="F11" s="194" t="str">
        <f>RS!F11</f>
        <v>(5)</v>
      </c>
      <c r="G11" s="194" t="str">
        <f>RS!G11</f>
        <v>(6)</v>
      </c>
      <c r="H11" s="194" t="str">
        <f>RS!H11</f>
        <v>(7)</v>
      </c>
      <c r="I11" s="194" t="str">
        <f>RS!I11</f>
        <v>(8)</v>
      </c>
      <c r="J11" s="194" t="str">
        <f>RS!J11</f>
        <v>(9)</v>
      </c>
      <c r="K11" s="194" t="str">
        <f>RS!K11</f>
        <v>(10)</v>
      </c>
      <c r="L11" s="194" t="str">
        <f>RS!L11</f>
        <v>(11)</v>
      </c>
      <c r="M11" s="192" t="str">
        <f>RS!M11</f>
        <v>(12)</v>
      </c>
      <c r="N11" s="194" t="str">
        <f>RS!N11</f>
        <v>(13)</v>
      </c>
      <c r="O11" s="192" t="str">
        <f>RS!O11</f>
        <v>(14)</v>
      </c>
      <c r="P11" s="188" t="str">
        <f>RS!P11</f>
        <v>(15)</v>
      </c>
      <c r="Q11" s="188" t="str">
        <f>RS!Q11</f>
        <v>(16)</v>
      </c>
    </row>
    <row r="12" spans="2:20">
      <c r="C12" s="163"/>
      <c r="D12" s="164"/>
      <c r="E12" s="163"/>
      <c r="F12" s="163"/>
      <c r="G12" s="163"/>
      <c r="H12" s="163"/>
      <c r="I12" s="163"/>
      <c r="J12" s="163"/>
      <c r="K12" s="163"/>
      <c r="L12" s="164"/>
      <c r="M12" s="164"/>
      <c r="N12" s="163"/>
      <c r="O12" s="164"/>
      <c r="P12" s="164"/>
      <c r="Q12" s="163"/>
    </row>
    <row r="13" spans="2:20">
      <c r="B13" s="155" t="s">
        <v>21</v>
      </c>
      <c r="C13" s="163">
        <f>'Bill Units'!D56</f>
        <v>85222505</v>
      </c>
      <c r="D13" s="163">
        <f>'Bill Units'!E56</f>
        <v>0</v>
      </c>
      <c r="E13" s="173">
        <f>'Rate Input'!D54</f>
        <v>8.4320000000000006E-2</v>
      </c>
      <c r="F13" s="173">
        <f>'Rate Input'!E54</f>
        <v>0</v>
      </c>
      <c r="G13" s="163">
        <f>(C13*E13)+(D13*F13)</f>
        <v>7185961.6216000002</v>
      </c>
      <c r="H13" s="163">
        <f>VLOOKUP($B$7,WNLA!A:B,2,FALSE)*(SUM(C13:D13)/SUM(C13:D13))</f>
        <v>1427409.2628686654</v>
      </c>
      <c r="I13" s="161">
        <f>VLOOKUP($B$7,'Monthly # of Customers'!A:R,18,FALSE)*SUM(C13:D13)</f>
        <v>778999.13162705663</v>
      </c>
      <c r="J13" s="161"/>
      <c r="K13" s="163">
        <f>C13+D13+H13+I13+J13</f>
        <v>87428913.394495726</v>
      </c>
      <c r="L13" s="164"/>
      <c r="M13" s="164"/>
      <c r="N13" s="163">
        <f>H13*E13</f>
        <v>120359.14904508587</v>
      </c>
      <c r="O13" s="162">
        <f>I13*E13</f>
        <v>65685.206778793421</v>
      </c>
      <c r="P13" s="162">
        <f>J13*F13</f>
        <v>0</v>
      </c>
      <c r="Q13" s="163">
        <f>G13+L13+M13+N13+O13+P13</f>
        <v>7372005.9774238793</v>
      </c>
      <c r="S13" s="173">
        <f>'Proposed Rates'!C60</f>
        <v>8.796000000000001E-2</v>
      </c>
      <c r="T13" s="163">
        <f>S13*K13</f>
        <v>7690247.222179845</v>
      </c>
    </row>
    <row r="14" spans="2:20">
      <c r="B14" s="155"/>
      <c r="C14" s="163"/>
      <c r="D14" s="163"/>
      <c r="E14" s="173"/>
      <c r="F14" s="173"/>
      <c r="G14" s="163"/>
      <c r="H14" s="163"/>
      <c r="I14" s="161"/>
      <c r="J14" s="163"/>
      <c r="K14" s="163"/>
      <c r="L14" s="164"/>
      <c r="M14" s="164"/>
      <c r="N14" s="163"/>
      <c r="O14" s="162"/>
      <c r="P14" s="162"/>
      <c r="Q14" s="163"/>
      <c r="S14" s="173"/>
      <c r="T14" s="163">
        <f t="shared" ref="T14:T29" si="0">S14*K14</f>
        <v>0</v>
      </c>
    </row>
    <row r="15" spans="2:20">
      <c r="B15" s="155" t="s">
        <v>20</v>
      </c>
      <c r="C15" s="163">
        <f>'Bill Units'!D57</f>
        <v>333879</v>
      </c>
      <c r="D15" s="163">
        <f>'Bill Units'!E57</f>
        <v>0</v>
      </c>
      <c r="E15" s="173">
        <f>'Rate Input'!D55</f>
        <v>8.77</v>
      </c>
      <c r="F15" s="173">
        <f>'Rate Input'!E55</f>
        <v>0</v>
      </c>
      <c r="G15" s="163">
        <f t="shared" ref="G15:G17" si="1">(C15*E15)+(D15*F15)</f>
        <v>2928118.83</v>
      </c>
      <c r="H15" s="163"/>
      <c r="I15" s="163">
        <f>VLOOKUP($B$7,'Monthly # of Customers'!A:R,18,FALSE)*SUM(C15:D15)</f>
        <v>3051.9104204753198</v>
      </c>
      <c r="J15" s="161"/>
      <c r="K15" s="163">
        <f t="shared" ref="K15:K17" si="2">C15+D15+H15+I15+J15</f>
        <v>336930.91042047529</v>
      </c>
      <c r="L15" s="164"/>
      <c r="M15" s="164"/>
      <c r="N15" s="163">
        <f t="shared" ref="N15:N17" si="3">H15*F15</f>
        <v>0</v>
      </c>
      <c r="O15" s="162">
        <f>I15*E15</f>
        <v>26765.254387568555</v>
      </c>
      <c r="P15" s="162">
        <f t="shared" ref="P15:P17" si="4">J15*F15</f>
        <v>0</v>
      </c>
      <c r="Q15" s="163">
        <f t="shared" ref="Q15:Q17" si="5">G15+L15+M15+N15+O15+P15</f>
        <v>2954884.0843875688</v>
      </c>
      <c r="S15" s="161">
        <f>'Proposed Rates'!D60</f>
        <v>10.39</v>
      </c>
      <c r="T15" s="163">
        <f t="shared" si="0"/>
        <v>3500712.1592687387</v>
      </c>
    </row>
    <row r="16" spans="2:20">
      <c r="B16" s="155"/>
      <c r="C16" s="163"/>
      <c r="D16" s="163"/>
      <c r="E16" s="173"/>
      <c r="F16" s="173"/>
      <c r="G16" s="163"/>
      <c r="H16" s="163"/>
      <c r="I16" s="163"/>
      <c r="J16" s="163"/>
      <c r="K16" s="163"/>
      <c r="L16" s="164"/>
      <c r="M16" s="164"/>
      <c r="N16" s="163"/>
      <c r="O16" s="162"/>
      <c r="P16" s="162"/>
      <c r="Q16" s="163"/>
      <c r="S16" s="162"/>
      <c r="T16" s="163">
        <f t="shared" si="0"/>
        <v>0</v>
      </c>
    </row>
    <row r="17" spans="2:20">
      <c r="B17" s="149" t="s">
        <v>341</v>
      </c>
      <c r="C17" s="163">
        <f>'Bill Units'!D58</f>
        <v>9786</v>
      </c>
      <c r="D17" s="163">
        <f>'Bill Units'!E58</f>
        <v>0</v>
      </c>
      <c r="E17" s="173">
        <f>'Rate Input'!D56</f>
        <v>3.46</v>
      </c>
      <c r="F17" s="173">
        <f>'Rate Input'!E56</f>
        <v>0</v>
      </c>
      <c r="G17" s="163">
        <f t="shared" si="1"/>
        <v>33859.56</v>
      </c>
      <c r="H17" s="161"/>
      <c r="I17" s="163">
        <f>VLOOKUP($B$7,'Monthly # of Customers'!A:R,18,FALSE)*SUM(C17:D17)</f>
        <v>89.451553930530167</v>
      </c>
      <c r="J17" s="163"/>
      <c r="K17" s="163">
        <f t="shared" si="2"/>
        <v>9875.4515539305303</v>
      </c>
      <c r="L17" s="164"/>
      <c r="M17" s="164"/>
      <c r="N17" s="163">
        <f t="shared" si="3"/>
        <v>0</v>
      </c>
      <c r="O17" s="162">
        <f>I17*E17</f>
        <v>309.50237659963437</v>
      </c>
      <c r="P17" s="162">
        <f t="shared" si="4"/>
        <v>0</v>
      </c>
      <c r="Q17" s="163">
        <f t="shared" si="5"/>
        <v>34169.062376599635</v>
      </c>
      <c r="S17" s="162">
        <f>'Proposed Rates'!E60</f>
        <v>3.46</v>
      </c>
      <c r="T17" s="163">
        <f t="shared" si="0"/>
        <v>34169.062376599635</v>
      </c>
    </row>
    <row r="18" spans="2:20">
      <c r="B18" s="150"/>
      <c r="C18" s="163"/>
      <c r="D18" s="163"/>
      <c r="E18" s="161"/>
      <c r="F18" s="161"/>
      <c r="G18" s="163"/>
      <c r="H18" s="163"/>
      <c r="I18" s="163"/>
      <c r="J18" s="163"/>
      <c r="K18" s="163"/>
      <c r="L18" s="164"/>
      <c r="M18" s="164"/>
      <c r="N18" s="163"/>
      <c r="O18" s="162"/>
      <c r="P18" s="162"/>
      <c r="Q18" s="163"/>
      <c r="S18" s="274"/>
      <c r="T18" s="163">
        <f t="shared" si="0"/>
        <v>0</v>
      </c>
    </row>
    <row r="19" spans="2:20">
      <c r="B19" s="150" t="s">
        <v>12</v>
      </c>
      <c r="C19" s="164">
        <f>'Bill Units'!D59</f>
        <v>1641</v>
      </c>
      <c r="D19" s="164">
        <f>'Bill Units'!E59</f>
        <v>0</v>
      </c>
      <c r="E19" s="162">
        <f>'Rate Input'!D57</f>
        <v>85</v>
      </c>
      <c r="F19" s="162">
        <f>'Rate Input'!E57</f>
        <v>0</v>
      </c>
      <c r="G19" s="163">
        <f>(C19*E19)+(D19*F19)</f>
        <v>139485</v>
      </c>
      <c r="H19" s="163"/>
      <c r="I19" s="163">
        <f>VLOOKUP($B$7,'Monthly # of Customers'!A:R,18,FALSE)*SUM(C19:D19)</f>
        <v>15</v>
      </c>
      <c r="J19" s="163"/>
      <c r="K19" s="163">
        <f>C19+D19+H19+I19+J19</f>
        <v>1656</v>
      </c>
      <c r="L19" s="164"/>
      <c r="M19" s="164"/>
      <c r="N19" s="163">
        <f>H19*F19</f>
        <v>0</v>
      </c>
      <c r="O19" s="162">
        <f>I19*E19</f>
        <v>1275</v>
      </c>
      <c r="P19" s="162">
        <f>J19*F19</f>
        <v>0</v>
      </c>
      <c r="Q19" s="163">
        <f>G19+L19+M19+N19+O19+P19</f>
        <v>140760</v>
      </c>
      <c r="S19" s="162">
        <f>'Proposed Rates'!B60</f>
        <v>97</v>
      </c>
      <c r="T19" s="163">
        <f t="shared" si="0"/>
        <v>160632</v>
      </c>
    </row>
    <row r="20" spans="2:20">
      <c r="D20" s="149"/>
      <c r="S20" s="162"/>
      <c r="T20" s="163">
        <f t="shared" si="0"/>
        <v>0</v>
      </c>
    </row>
    <row r="21" spans="2:20" hidden="1">
      <c r="B21" s="150"/>
      <c r="C21" s="164"/>
      <c r="D21" s="164"/>
      <c r="E21" s="164"/>
      <c r="F21" s="164"/>
      <c r="G21" s="163"/>
      <c r="H21" s="163"/>
      <c r="I21" s="163"/>
      <c r="J21" s="163"/>
      <c r="K21" s="163"/>
      <c r="L21" s="164"/>
      <c r="M21" s="164"/>
      <c r="N21" s="163"/>
      <c r="O21" s="162"/>
      <c r="P21" s="162"/>
      <c r="Q21" s="163"/>
      <c r="S21" s="162"/>
      <c r="T21" s="163">
        <f t="shared" si="0"/>
        <v>0</v>
      </c>
    </row>
    <row r="22" spans="2:20" hidden="1">
      <c r="B22" s="150"/>
      <c r="C22" s="164"/>
      <c r="D22" s="164"/>
      <c r="E22" s="164"/>
      <c r="F22" s="164"/>
      <c r="G22" s="163"/>
      <c r="H22" s="163"/>
      <c r="I22" s="163"/>
      <c r="J22" s="163"/>
      <c r="K22" s="163"/>
      <c r="L22" s="164"/>
      <c r="M22" s="164"/>
      <c r="N22" s="163"/>
      <c r="O22" s="162"/>
      <c r="P22" s="162"/>
      <c r="Q22" s="163"/>
      <c r="S22" s="162"/>
      <c r="T22" s="163">
        <f t="shared" si="0"/>
        <v>0</v>
      </c>
    </row>
    <row r="23" spans="2:20" hidden="1">
      <c r="B23" s="150"/>
      <c r="C23" s="164"/>
      <c r="D23" s="164"/>
      <c r="E23" s="164"/>
      <c r="F23" s="164"/>
      <c r="G23" s="163"/>
      <c r="H23" s="163"/>
      <c r="I23" s="163"/>
      <c r="J23" s="163"/>
      <c r="K23" s="163"/>
      <c r="L23" s="164"/>
      <c r="M23" s="164"/>
      <c r="N23" s="163"/>
      <c r="O23" s="162"/>
      <c r="P23" s="162"/>
      <c r="Q23" s="163"/>
      <c r="S23" s="162"/>
      <c r="T23" s="163">
        <f t="shared" si="0"/>
        <v>0</v>
      </c>
    </row>
    <row r="24" spans="2:20" hidden="1">
      <c r="B24" s="150"/>
      <c r="C24" s="164"/>
      <c r="D24" s="164"/>
      <c r="E24" s="164"/>
      <c r="F24" s="164"/>
      <c r="G24" s="163"/>
      <c r="H24" s="163"/>
      <c r="I24" s="163"/>
      <c r="J24" s="163"/>
      <c r="K24" s="163"/>
      <c r="L24" s="164"/>
      <c r="M24" s="164"/>
      <c r="N24" s="163"/>
      <c r="O24" s="162"/>
      <c r="P24" s="162"/>
      <c r="Q24" s="163"/>
      <c r="S24" s="162"/>
      <c r="T24" s="163">
        <f t="shared" si="0"/>
        <v>0</v>
      </c>
    </row>
    <row r="25" spans="2:20" hidden="1">
      <c r="B25" s="150"/>
      <c r="C25" s="164"/>
      <c r="D25" s="164"/>
      <c r="E25" s="164"/>
      <c r="F25" s="164"/>
      <c r="G25" s="163"/>
      <c r="H25" s="163"/>
      <c r="I25" s="163"/>
      <c r="J25" s="163"/>
      <c r="K25" s="163"/>
      <c r="L25" s="164"/>
      <c r="M25" s="164"/>
      <c r="N25" s="163"/>
      <c r="O25" s="162"/>
      <c r="P25" s="162"/>
      <c r="Q25" s="163"/>
      <c r="S25" s="162"/>
      <c r="T25" s="163">
        <f t="shared" si="0"/>
        <v>0</v>
      </c>
    </row>
    <row r="26" spans="2:20" hidden="1">
      <c r="B26" s="150"/>
      <c r="C26" s="164"/>
      <c r="D26" s="164"/>
      <c r="E26" s="164"/>
      <c r="F26" s="164"/>
      <c r="G26" s="163"/>
      <c r="H26" s="163"/>
      <c r="I26" s="163"/>
      <c r="J26" s="163"/>
      <c r="K26" s="163"/>
      <c r="L26" s="164"/>
      <c r="M26" s="164"/>
      <c r="N26" s="163"/>
      <c r="O26" s="162"/>
      <c r="P26" s="162"/>
      <c r="Q26" s="163"/>
      <c r="S26" s="162"/>
      <c r="T26" s="163">
        <f t="shared" si="0"/>
        <v>0</v>
      </c>
    </row>
    <row r="27" spans="2:20" hidden="1">
      <c r="B27" s="150"/>
      <c r="C27" s="164"/>
      <c r="D27" s="164"/>
      <c r="E27" s="164"/>
      <c r="F27" s="164"/>
      <c r="G27" s="163"/>
      <c r="H27" s="163"/>
      <c r="I27" s="163"/>
      <c r="J27" s="163"/>
      <c r="K27" s="163"/>
      <c r="L27" s="164"/>
      <c r="M27" s="164"/>
      <c r="N27" s="163"/>
      <c r="O27" s="162"/>
      <c r="P27" s="162"/>
      <c r="Q27" s="163"/>
      <c r="S27" s="162"/>
      <c r="T27" s="163">
        <f t="shared" si="0"/>
        <v>0</v>
      </c>
    </row>
    <row r="28" spans="2:20" hidden="1">
      <c r="B28" s="150"/>
      <c r="C28" s="164"/>
      <c r="D28" s="164"/>
      <c r="E28" s="164"/>
      <c r="F28" s="164"/>
      <c r="G28" s="163"/>
      <c r="H28" s="163"/>
      <c r="I28" s="163"/>
      <c r="J28" s="163"/>
      <c r="K28" s="163"/>
      <c r="L28" s="164"/>
      <c r="M28" s="164"/>
      <c r="N28" s="163"/>
      <c r="O28" s="162"/>
      <c r="P28" s="162"/>
      <c r="Q28" s="163"/>
      <c r="S28" s="162"/>
      <c r="T28" s="163">
        <f t="shared" si="0"/>
        <v>0</v>
      </c>
    </row>
    <row r="29" spans="2:20" hidden="1">
      <c r="B29" s="150"/>
      <c r="C29" s="164"/>
      <c r="D29" s="164"/>
      <c r="E29" s="164"/>
      <c r="F29" s="164"/>
      <c r="G29" s="163"/>
      <c r="H29" s="163"/>
      <c r="I29" s="163"/>
      <c r="J29" s="163"/>
      <c r="K29" s="163"/>
      <c r="L29" s="164"/>
      <c r="M29" s="164"/>
      <c r="N29" s="163"/>
      <c r="Q29" s="163"/>
      <c r="S29" s="162"/>
      <c r="T29" s="163">
        <f t="shared" si="0"/>
        <v>0</v>
      </c>
    </row>
    <row r="30" spans="2:20">
      <c r="B30" s="169" t="s">
        <v>486</v>
      </c>
      <c r="C30" s="170"/>
      <c r="D30" s="170"/>
      <c r="E30" s="170"/>
      <c r="F30" s="170"/>
      <c r="G30" s="152">
        <f>'B&amp;A Surcharges'!U49</f>
        <v>-33813.247958055326</v>
      </c>
      <c r="L30" s="170"/>
      <c r="M30" s="170"/>
      <c r="N30" s="171"/>
      <c r="O30" s="171"/>
      <c r="P30" s="171"/>
      <c r="Q30" s="163">
        <f>VLOOKUP(B7,'B&amp;A Surcharges'!A:U,21,FALSE)</f>
        <v>-33813.247958055326</v>
      </c>
      <c r="S30" s="162"/>
      <c r="T30" s="163">
        <f>Q30</f>
        <v>-33813.247958055326</v>
      </c>
    </row>
    <row r="31" spans="2:20">
      <c r="B31" s="150"/>
      <c r="C31" s="164"/>
      <c r="D31" s="164"/>
      <c r="E31" s="164"/>
      <c r="F31" s="164"/>
      <c r="G31" s="163"/>
      <c r="H31" s="163"/>
      <c r="I31" s="163"/>
      <c r="J31" s="163"/>
      <c r="K31" s="163"/>
      <c r="L31" s="164"/>
      <c r="M31" s="164"/>
      <c r="N31" s="163"/>
      <c r="Q31" s="163"/>
      <c r="S31" s="162"/>
      <c r="T31" s="163"/>
    </row>
    <row r="32" spans="2:20">
      <c r="B32" s="150" t="s">
        <v>14</v>
      </c>
      <c r="C32" s="164"/>
      <c r="D32" s="164"/>
      <c r="E32" s="164"/>
      <c r="F32" s="164"/>
      <c r="G32" s="163">
        <f>VLOOKUP(B7,'B&amp;A Surcharges'!A:U,2,FALSE)</f>
        <v>2225501.1799999997</v>
      </c>
      <c r="H32" s="163"/>
      <c r="I32" s="163"/>
      <c r="J32" s="163"/>
      <c r="K32" s="163"/>
      <c r="L32" s="164"/>
      <c r="M32" s="164"/>
      <c r="N32" s="163"/>
      <c r="Q32" s="163"/>
      <c r="S32" s="162"/>
      <c r="T32" s="163"/>
    </row>
    <row r="33" spans="2:20">
      <c r="B33" s="150"/>
      <c r="C33" s="164"/>
      <c r="D33" s="164"/>
      <c r="E33" s="164"/>
      <c r="F33" s="164"/>
      <c r="G33" s="163"/>
      <c r="H33" s="163"/>
      <c r="I33" s="163"/>
      <c r="J33" s="163"/>
      <c r="K33" s="163"/>
      <c r="L33" s="164"/>
      <c r="M33" s="164"/>
      <c r="N33" s="163"/>
      <c r="Q33" s="163"/>
      <c r="S33" s="162"/>
      <c r="T33" s="163"/>
    </row>
    <row r="34" spans="2:20">
      <c r="B34" s="149" t="s">
        <v>208</v>
      </c>
      <c r="C34" s="163"/>
      <c r="D34" s="164"/>
      <c r="E34" s="163"/>
      <c r="F34" s="163"/>
      <c r="G34" s="163">
        <f>VLOOKUP(B7,'B&amp;A Surcharges'!A:U,16,FALSE)</f>
        <v>0</v>
      </c>
      <c r="H34" s="163"/>
      <c r="I34" s="163"/>
      <c r="J34" s="163"/>
      <c r="K34" s="163"/>
      <c r="L34" s="164"/>
      <c r="M34" s="164"/>
      <c r="N34" s="163"/>
      <c r="Q34" s="163"/>
      <c r="S34" s="162"/>
      <c r="T34" s="163"/>
    </row>
    <row r="35" spans="2:20">
      <c r="C35" s="163"/>
      <c r="D35" s="164"/>
      <c r="E35" s="163"/>
      <c r="F35" s="163"/>
      <c r="G35" s="163"/>
      <c r="H35" s="163"/>
      <c r="I35" s="163"/>
      <c r="J35" s="163"/>
      <c r="K35" s="163"/>
      <c r="L35" s="164"/>
      <c r="M35" s="164"/>
      <c r="N35" s="163"/>
      <c r="Q35" s="163"/>
      <c r="S35" s="162"/>
      <c r="T35" s="163"/>
    </row>
    <row r="36" spans="2:20">
      <c r="B36" s="150" t="s">
        <v>16</v>
      </c>
      <c r="C36" s="164"/>
      <c r="D36" s="164"/>
      <c r="E36" s="164"/>
      <c r="F36" s="164"/>
      <c r="G36" s="163">
        <f>VLOOKUP(B7,'B&amp;A Surcharges'!A:U,4,FALSE)</f>
        <v>-24147.030000000002</v>
      </c>
      <c r="H36" s="163"/>
      <c r="I36" s="163"/>
      <c r="J36" s="163"/>
      <c r="K36" s="163"/>
      <c r="L36" s="164"/>
      <c r="M36" s="164"/>
      <c r="N36" s="163"/>
      <c r="Q36" s="163"/>
      <c r="S36" s="162"/>
      <c r="T36" s="163"/>
    </row>
    <row r="37" spans="2:20">
      <c r="C37" s="163"/>
      <c r="D37" s="164"/>
      <c r="E37" s="163"/>
      <c r="F37" s="163"/>
      <c r="G37" s="163"/>
      <c r="H37" s="163"/>
      <c r="I37" s="163"/>
      <c r="J37" s="163"/>
      <c r="K37" s="163"/>
      <c r="L37" s="164"/>
      <c r="M37" s="164"/>
      <c r="N37" s="163"/>
      <c r="Q37" s="163"/>
      <c r="T37" s="163"/>
    </row>
    <row r="38" spans="2:20">
      <c r="B38" s="150" t="s">
        <v>161</v>
      </c>
      <c r="C38" s="164"/>
      <c r="D38" s="164"/>
      <c r="E38" s="164"/>
      <c r="F38" s="164"/>
      <c r="G38" s="163">
        <f>VLOOKUP(B7,'B&amp;A Surcharges'!A:U,6,FALSE)</f>
        <v>97054.12482838711</v>
      </c>
      <c r="H38" s="163"/>
      <c r="I38" s="163"/>
      <c r="J38" s="163"/>
      <c r="K38" s="163"/>
      <c r="L38" s="164"/>
      <c r="M38" s="164"/>
      <c r="N38" s="163"/>
      <c r="Q38" s="163"/>
      <c r="T38" s="163"/>
    </row>
    <row r="39" spans="2:20">
      <c r="C39" s="163"/>
      <c r="D39" s="164"/>
      <c r="E39" s="163"/>
      <c r="F39" s="163"/>
      <c r="G39" s="163"/>
      <c r="H39" s="163"/>
      <c r="I39" s="163"/>
      <c r="J39" s="163"/>
      <c r="K39" s="163"/>
      <c r="L39" s="164"/>
      <c r="M39" s="164"/>
      <c r="N39" s="163"/>
      <c r="Q39" s="163"/>
      <c r="T39" s="163"/>
    </row>
    <row r="40" spans="2:20">
      <c r="C40" s="164"/>
      <c r="D40" s="164"/>
      <c r="E40" s="164"/>
      <c r="F40" s="164"/>
      <c r="G40" s="163"/>
      <c r="H40" s="163"/>
      <c r="I40" s="163"/>
      <c r="J40" s="163"/>
      <c r="K40" s="163"/>
      <c r="L40" s="164"/>
      <c r="M40" s="164"/>
      <c r="N40" s="163"/>
      <c r="Q40" s="163"/>
      <c r="T40" s="163"/>
    </row>
    <row r="41" spans="2:20">
      <c r="C41" s="163"/>
      <c r="D41" s="164"/>
      <c r="E41" s="163"/>
      <c r="F41" s="163"/>
      <c r="G41" s="163"/>
      <c r="H41" s="163"/>
      <c r="I41" s="163"/>
      <c r="J41" s="163"/>
      <c r="K41" s="163"/>
      <c r="L41" s="164"/>
      <c r="M41" s="164"/>
      <c r="N41" s="163"/>
      <c r="Q41" s="163"/>
      <c r="T41" s="163"/>
    </row>
    <row r="42" spans="2:20">
      <c r="B42" s="150" t="s">
        <v>15</v>
      </c>
      <c r="C42" s="164"/>
      <c r="D42" s="164"/>
      <c r="E42" s="164"/>
      <c r="F42" s="164"/>
      <c r="G42" s="163">
        <f>VLOOKUP(B7,'B&amp;A Surcharges'!A:U,10,FALSE)</f>
        <v>631702.44999999995</v>
      </c>
      <c r="H42" s="163"/>
      <c r="I42" s="163"/>
      <c r="J42" s="163"/>
      <c r="K42" s="163"/>
      <c r="L42" s="164">
        <f>VLOOKUP(B7,'Envir FGD adj'!A:F,6,FALSE)</f>
        <v>-407091.01670791151</v>
      </c>
      <c r="M42" s="164"/>
      <c r="N42" s="163"/>
      <c r="Q42" s="163">
        <f t="shared" ref="Q42" si="6">L42+M42+N42+O42</f>
        <v>-407091.01670791151</v>
      </c>
      <c r="T42" s="163"/>
    </row>
    <row r="43" spans="2:20">
      <c r="C43" s="163"/>
      <c r="D43" s="164"/>
      <c r="E43" s="163"/>
      <c r="F43" s="163"/>
      <c r="G43" s="163"/>
      <c r="H43" s="163"/>
      <c r="I43" s="163"/>
      <c r="J43" s="163"/>
      <c r="K43" s="163"/>
      <c r="L43" s="164"/>
      <c r="M43" s="164"/>
      <c r="N43" s="163"/>
      <c r="Q43" s="163"/>
      <c r="T43" s="163"/>
    </row>
    <row r="44" spans="2:20">
      <c r="B44" s="150" t="s">
        <v>265</v>
      </c>
      <c r="C44" s="164"/>
      <c r="D44" s="164"/>
      <c r="E44" s="164"/>
      <c r="F44" s="164"/>
      <c r="G44" s="163">
        <f>VLOOKUP(B7,'B&amp;A Surcharges'!A:U,12,FALSE)</f>
        <v>437493.29519225808</v>
      </c>
      <c r="H44" s="163"/>
      <c r="I44" s="163"/>
      <c r="J44" s="163"/>
      <c r="K44" s="163"/>
      <c r="L44" s="164"/>
      <c r="M44" s="164"/>
      <c r="N44" s="163"/>
      <c r="Q44" s="163"/>
      <c r="T44" s="163"/>
    </row>
    <row r="45" spans="2:20">
      <c r="C45" s="163"/>
      <c r="D45" s="164"/>
      <c r="E45" s="163"/>
      <c r="F45" s="163"/>
      <c r="G45" s="163"/>
      <c r="H45" s="163"/>
      <c r="I45" s="163"/>
      <c r="J45" s="163"/>
      <c r="K45" s="163"/>
      <c r="L45" s="164"/>
      <c r="M45" s="164"/>
      <c r="N45" s="163"/>
      <c r="Q45" s="163"/>
      <c r="T45" s="163"/>
    </row>
    <row r="46" spans="2:20">
      <c r="B46" s="150" t="s">
        <v>329</v>
      </c>
      <c r="C46" s="164"/>
      <c r="D46" s="164"/>
      <c r="E46" s="164"/>
      <c r="F46" s="164"/>
      <c r="G46" s="163">
        <f>VLOOKUP(B7,'B&amp;A Surcharges'!A:U,14,FALSE)</f>
        <v>654278.19000000006</v>
      </c>
      <c r="H46" s="163"/>
      <c r="I46" s="163"/>
      <c r="J46" s="163"/>
      <c r="K46" s="163"/>
      <c r="L46" s="164"/>
      <c r="M46" s="164"/>
      <c r="N46" s="163"/>
      <c r="Q46" s="163"/>
      <c r="T46" s="163"/>
    </row>
    <row r="47" spans="2:20">
      <c r="C47" s="163"/>
      <c r="D47" s="164"/>
      <c r="E47" s="163"/>
      <c r="F47" s="163"/>
      <c r="G47" s="163"/>
      <c r="H47" s="163"/>
      <c r="I47" s="163"/>
      <c r="J47" s="163"/>
      <c r="K47" s="163"/>
      <c r="L47" s="164"/>
      <c r="M47" s="164"/>
      <c r="N47" s="163"/>
      <c r="Q47" s="163"/>
      <c r="T47" s="163"/>
    </row>
    <row r="48" spans="2:20">
      <c r="B48" s="150" t="s">
        <v>264</v>
      </c>
      <c r="C48" s="164"/>
      <c r="D48" s="164"/>
      <c r="E48" s="164"/>
      <c r="F48" s="164"/>
      <c r="G48" s="163">
        <f>VLOOKUP(B7,'B&amp;A Surcharges'!A:U,18,FALSE)</f>
        <v>1641</v>
      </c>
      <c r="H48" s="163"/>
      <c r="I48" s="163"/>
      <c r="J48" s="163"/>
      <c r="K48" s="163"/>
      <c r="L48" s="164"/>
      <c r="M48" s="164"/>
      <c r="N48" s="163"/>
      <c r="Q48" s="163"/>
      <c r="T48" s="163"/>
    </row>
    <row r="49" spans="2:20">
      <c r="C49" s="163"/>
      <c r="D49" s="164"/>
      <c r="E49" s="163"/>
      <c r="F49" s="163"/>
      <c r="G49" s="163"/>
      <c r="H49" s="163"/>
      <c r="I49" s="163"/>
      <c r="J49" s="163"/>
      <c r="K49" s="163"/>
      <c r="L49" s="164"/>
      <c r="M49" s="164"/>
      <c r="N49" s="163"/>
      <c r="Q49" s="163"/>
      <c r="T49" s="163"/>
    </row>
    <row r="50" spans="2:20">
      <c r="B50" s="150" t="s">
        <v>346</v>
      </c>
      <c r="C50" s="164"/>
      <c r="D50" s="164"/>
      <c r="E50" s="164"/>
      <c r="F50" s="164"/>
      <c r="G50" s="163">
        <f>VLOOKUP(B7,'B&amp;A Surcharges'!A:U,19,FALSE)</f>
        <v>-570854.86</v>
      </c>
      <c r="H50" s="163"/>
      <c r="I50" s="163"/>
      <c r="J50" s="163"/>
      <c r="K50" s="163"/>
      <c r="L50" s="164"/>
      <c r="M50" s="164"/>
      <c r="N50" s="163"/>
      <c r="Q50" s="163"/>
      <c r="T50" s="163"/>
    </row>
    <row r="51" spans="2:20">
      <c r="B51" s="157"/>
      <c r="C51" s="165"/>
      <c r="D51" s="165"/>
      <c r="E51" s="165"/>
      <c r="F51" s="165"/>
      <c r="G51" s="166"/>
      <c r="H51" s="166"/>
      <c r="I51" s="166"/>
      <c r="J51" s="166"/>
      <c r="K51" s="166"/>
      <c r="L51" s="165"/>
      <c r="M51" s="165"/>
      <c r="N51" s="166"/>
      <c r="O51" s="166"/>
      <c r="P51" s="166"/>
      <c r="Q51" s="166"/>
      <c r="T51" s="166"/>
    </row>
    <row r="53" spans="2:20" s="167" customFormat="1">
      <c r="B53" s="167" t="s">
        <v>17</v>
      </c>
      <c r="D53" s="168"/>
      <c r="G53" s="167">
        <f t="shared" ref="G53:Q53" si="7">SUM(G13:G50)</f>
        <v>13706280.113662591</v>
      </c>
      <c r="L53" s="167">
        <f t="shared" si="7"/>
        <v>-407091.01670791151</v>
      </c>
      <c r="M53" s="167">
        <f t="shared" si="7"/>
        <v>0</v>
      </c>
      <c r="N53" s="167">
        <f t="shared" si="7"/>
        <v>120359.14904508587</v>
      </c>
      <c r="O53" s="193">
        <f t="shared" si="7"/>
        <v>94034.963542961603</v>
      </c>
      <c r="P53" s="193">
        <f t="shared" si="7"/>
        <v>0</v>
      </c>
      <c r="Q53" s="167">
        <f t="shared" si="7"/>
        <v>10060914.85952208</v>
      </c>
      <c r="T53" s="167">
        <f>SUM(T13:T50)</f>
        <v>11351947.195867129</v>
      </c>
    </row>
    <row r="54" spans="2:20">
      <c r="G54" s="172"/>
      <c r="H54" s="172"/>
      <c r="I54" s="172"/>
      <c r="J54" s="172"/>
      <c r="K54" s="172"/>
      <c r="L54" s="158"/>
      <c r="M54" s="158"/>
      <c r="Q54" s="152"/>
    </row>
    <row r="55" spans="2:20">
      <c r="G55" s="189"/>
      <c r="H55" s="189"/>
      <c r="I55" s="189"/>
      <c r="J55" s="189"/>
      <c r="K55" s="189"/>
      <c r="L55" s="186"/>
      <c r="M55" s="158"/>
    </row>
    <row r="56" spans="2:20">
      <c r="G56" s="156"/>
      <c r="H56" s="156"/>
      <c r="I56" s="156"/>
      <c r="J56" s="156"/>
      <c r="K56" s="156"/>
      <c r="L56" s="158"/>
      <c r="M56" s="158"/>
    </row>
    <row r="57" spans="2:20">
      <c r="G57" s="159"/>
      <c r="H57" s="159"/>
      <c r="I57" s="159"/>
      <c r="J57" s="159"/>
      <c r="K57" s="159"/>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T57"/>
  <sheetViews>
    <sheetView zoomScale="110" zoomScaleNormal="11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259</v>
      </c>
    </row>
    <row r="7" spans="2:20">
      <c r="B7" s="150" t="s">
        <v>380</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Units'!H56</f>
        <v>1696500</v>
      </c>
      <c r="D13" s="164">
        <f>'Bill Units'!I56</f>
        <v>0</v>
      </c>
      <c r="E13" s="203">
        <f>'Rate Input'!H54</f>
        <v>7.356E-2</v>
      </c>
      <c r="F13" s="203">
        <f>'Rate Input'!I54</f>
        <v>0</v>
      </c>
      <c r="G13" s="164">
        <f>(C13*E13)+(D13*F13)</f>
        <v>124794.54</v>
      </c>
      <c r="H13" s="164">
        <f>VLOOKUP($B$7,WNLA!A:B,2,FALSE)*(SUM(C13:D13)/SUM(C13:D13))</f>
        <v>40716.039298950804</v>
      </c>
      <c r="I13" s="162">
        <f>VLOOKUP($B$7,'Monthly # of Customers'!A:R,18,FALSE)*SUM(C13:D13)</f>
        <v>0</v>
      </c>
      <c r="J13" s="162"/>
      <c r="K13" s="164">
        <f>C13+D13+H13+I13+J13</f>
        <v>1737216.0392989507</v>
      </c>
      <c r="L13" s="164"/>
      <c r="M13" s="164"/>
      <c r="N13" s="164">
        <f>H13*E13</f>
        <v>2995.0718508308209</v>
      </c>
      <c r="O13" s="162">
        <f>I13*F13</f>
        <v>0</v>
      </c>
      <c r="P13" s="162">
        <f>J13*F13</f>
        <v>0</v>
      </c>
      <c r="Q13" s="164">
        <f>G13+L13+M13+N13+O13+P13</f>
        <v>127789.61185083081</v>
      </c>
      <c r="S13" s="203">
        <f>'Proposed Rates'!C61</f>
        <v>7.8670000000000004E-2</v>
      </c>
      <c r="T13" s="164">
        <f>S13*K13</f>
        <v>136666.78581164847</v>
      </c>
    </row>
    <row r="14" spans="2:20">
      <c r="B14" s="538"/>
      <c r="C14" s="164"/>
      <c r="D14" s="164"/>
      <c r="E14" s="203"/>
      <c r="F14" s="203"/>
      <c r="G14" s="164"/>
      <c r="H14" s="164"/>
      <c r="I14" s="162"/>
      <c r="J14" s="164"/>
      <c r="K14" s="164"/>
      <c r="L14" s="164"/>
      <c r="M14" s="164"/>
      <c r="N14" s="164"/>
      <c r="O14" s="162"/>
      <c r="P14" s="162"/>
      <c r="Q14" s="164"/>
      <c r="S14" s="203"/>
      <c r="T14" s="164">
        <f t="shared" ref="T14:T29" si="0">S14*K14</f>
        <v>0</v>
      </c>
    </row>
    <row r="15" spans="2:20">
      <c r="B15" s="538" t="s">
        <v>20</v>
      </c>
      <c r="C15" s="164">
        <f>'Bill Units'!H57</f>
        <v>6357</v>
      </c>
      <c r="D15" s="164">
        <f>'Bill Units'!I57</f>
        <v>0</v>
      </c>
      <c r="E15" s="203">
        <f>'Rate Input'!H55</f>
        <v>7.9</v>
      </c>
      <c r="F15" s="203">
        <f>'Rate Input'!I55</f>
        <v>0</v>
      </c>
      <c r="G15" s="164">
        <f t="shared" ref="G15:G17" si="1">(C15*E15)+(D15*F15)</f>
        <v>50220.3</v>
      </c>
      <c r="H15" s="164"/>
      <c r="I15" s="164">
        <f>VLOOKUP($B$7,'Monthly # of Customers'!A:R,18,FALSE)*SUM(C15:D15)</f>
        <v>0</v>
      </c>
      <c r="J15" s="162"/>
      <c r="K15" s="164">
        <f t="shared" ref="K15:K17" si="2">C15+D15+H15+I15+J15</f>
        <v>6357</v>
      </c>
      <c r="L15" s="164"/>
      <c r="M15" s="164"/>
      <c r="N15" s="164">
        <f t="shared" ref="N15:N17" si="3">H15*F15</f>
        <v>0</v>
      </c>
      <c r="O15" s="162">
        <f t="shared" ref="O15:O17" si="4">I15*F15</f>
        <v>0</v>
      </c>
      <c r="P15" s="162">
        <f t="shared" ref="P15:P17" si="5">J15*F15</f>
        <v>0</v>
      </c>
      <c r="Q15" s="164">
        <f t="shared" ref="Q15:Q17" si="6">G15+L15+M15+N15+O15+P15</f>
        <v>50220.3</v>
      </c>
      <c r="S15" s="162">
        <f>'Proposed Rates'!D61</f>
        <v>8.9499999999999993</v>
      </c>
      <c r="T15" s="164">
        <f t="shared" si="0"/>
        <v>56895.149999999994</v>
      </c>
    </row>
    <row r="16" spans="2:20">
      <c r="B16" s="538"/>
      <c r="C16" s="164"/>
      <c r="D16" s="164"/>
      <c r="E16" s="203"/>
      <c r="F16" s="203"/>
      <c r="G16" s="164"/>
      <c r="H16" s="164"/>
      <c r="I16" s="164"/>
      <c r="J16" s="164"/>
      <c r="K16" s="164"/>
      <c r="L16" s="164"/>
      <c r="M16" s="164"/>
      <c r="N16" s="164"/>
      <c r="O16" s="162"/>
      <c r="P16" s="162"/>
      <c r="Q16" s="164"/>
      <c r="S16" s="162"/>
      <c r="T16" s="164">
        <f t="shared" si="0"/>
        <v>0</v>
      </c>
    </row>
    <row r="17" spans="2:20">
      <c r="B17" s="150" t="s">
        <v>341</v>
      </c>
      <c r="C17" s="164">
        <f>'Bill Units'!H58</f>
        <v>136</v>
      </c>
      <c r="D17" s="164">
        <f>'Bill Units'!I58</f>
        <v>0</v>
      </c>
      <c r="E17" s="203">
        <f>'Rate Input'!H56</f>
        <v>3.46</v>
      </c>
      <c r="F17" s="203">
        <f>'Rate Input'!I56</f>
        <v>0</v>
      </c>
      <c r="G17" s="164">
        <f t="shared" si="1"/>
        <v>470.56</v>
      </c>
      <c r="H17" s="162"/>
      <c r="I17" s="164">
        <f>VLOOKUP($B$7,'Monthly # of Customers'!A:R,18,FALSE)*SUM(C17:D17)</f>
        <v>0</v>
      </c>
      <c r="J17" s="164"/>
      <c r="K17" s="164">
        <f t="shared" si="2"/>
        <v>136</v>
      </c>
      <c r="L17" s="164"/>
      <c r="M17" s="164"/>
      <c r="N17" s="164">
        <f t="shared" si="3"/>
        <v>0</v>
      </c>
      <c r="O17" s="162">
        <f t="shared" si="4"/>
        <v>0</v>
      </c>
      <c r="P17" s="162">
        <f t="shared" si="5"/>
        <v>0</v>
      </c>
      <c r="Q17" s="164">
        <f t="shared" si="6"/>
        <v>470.56</v>
      </c>
      <c r="S17" s="162">
        <f>'Proposed Rates'!E61</f>
        <v>3.46</v>
      </c>
      <c r="T17" s="164">
        <f t="shared" si="0"/>
        <v>470.56</v>
      </c>
    </row>
    <row r="18" spans="2:20">
      <c r="C18" s="164"/>
      <c r="D18" s="164"/>
      <c r="E18" s="162"/>
      <c r="F18" s="162"/>
      <c r="G18" s="164"/>
      <c r="H18" s="164"/>
      <c r="I18" s="164"/>
      <c r="J18" s="164"/>
      <c r="K18" s="164"/>
      <c r="L18" s="164"/>
      <c r="M18" s="164"/>
      <c r="N18" s="164"/>
      <c r="O18" s="162"/>
      <c r="P18" s="162"/>
      <c r="Q18" s="164"/>
      <c r="S18" s="274"/>
      <c r="T18" s="164">
        <f t="shared" si="0"/>
        <v>0</v>
      </c>
    </row>
    <row r="19" spans="2:20">
      <c r="B19" s="150" t="s">
        <v>12</v>
      </c>
      <c r="C19" s="164">
        <f>'Bill Units'!H59</f>
        <v>12</v>
      </c>
      <c r="D19" s="164">
        <f>'Bill Units'!I59</f>
        <v>0</v>
      </c>
      <c r="E19" s="162">
        <f>'Rate Input'!H57</f>
        <v>127.5</v>
      </c>
      <c r="F19" s="162">
        <f>'Rate Input'!I57</f>
        <v>0</v>
      </c>
      <c r="G19" s="164">
        <f>(C19*E19)+(D19*F19)</f>
        <v>1530</v>
      </c>
      <c r="H19" s="164"/>
      <c r="I19" s="164">
        <f>VLOOKUP($B$7,'Monthly # of Customers'!A:R,18,FALSE)*SUM(C19:D19)</f>
        <v>0</v>
      </c>
      <c r="J19" s="164"/>
      <c r="K19" s="164">
        <f>C19+D19+H19+I19+J19</f>
        <v>12</v>
      </c>
      <c r="L19" s="164"/>
      <c r="M19" s="164"/>
      <c r="N19" s="164">
        <f>H19*F19</f>
        <v>0</v>
      </c>
      <c r="O19" s="162">
        <f>I19*F19</f>
        <v>0</v>
      </c>
      <c r="P19" s="162">
        <f>J19*F19</f>
        <v>0</v>
      </c>
      <c r="Q19" s="164">
        <f>G19+L19+M19+N19+O19+P19</f>
        <v>1530</v>
      </c>
      <c r="S19" s="162">
        <f>'Proposed Rates'!B61</f>
        <v>145</v>
      </c>
      <c r="T19" s="164">
        <f t="shared" si="0"/>
        <v>1740</v>
      </c>
    </row>
    <row r="20" spans="2:20">
      <c r="S20" s="162"/>
      <c r="T20" s="164">
        <f t="shared" si="0"/>
        <v>0</v>
      </c>
    </row>
    <row r="21" spans="2:20" hidden="1">
      <c r="C21" s="164"/>
      <c r="D21" s="164"/>
      <c r="E21" s="164"/>
      <c r="F21" s="164"/>
      <c r="G21" s="164"/>
      <c r="H21" s="164"/>
      <c r="I21" s="164"/>
      <c r="J21" s="164"/>
      <c r="K21" s="164"/>
      <c r="L21" s="164"/>
      <c r="M21" s="164"/>
      <c r="N21" s="164"/>
      <c r="O21" s="162"/>
      <c r="P21" s="162"/>
      <c r="Q21" s="164"/>
      <c r="S21" s="162"/>
      <c r="T21" s="164">
        <f t="shared" si="0"/>
        <v>0</v>
      </c>
    </row>
    <row r="22" spans="2:20" hidden="1">
      <c r="C22" s="164"/>
      <c r="D22" s="164"/>
      <c r="E22" s="164"/>
      <c r="F22" s="164"/>
      <c r="G22" s="164"/>
      <c r="H22" s="164"/>
      <c r="I22" s="164"/>
      <c r="J22" s="164"/>
      <c r="K22" s="164"/>
      <c r="L22" s="164"/>
      <c r="M22" s="164"/>
      <c r="N22" s="164"/>
      <c r="O22" s="162"/>
      <c r="P22" s="162"/>
      <c r="Q22" s="164"/>
      <c r="S22" s="162"/>
      <c r="T22" s="164">
        <f t="shared" si="0"/>
        <v>0</v>
      </c>
    </row>
    <row r="23" spans="2:20" hidden="1">
      <c r="C23" s="164"/>
      <c r="D23" s="164"/>
      <c r="E23" s="164"/>
      <c r="F23" s="164"/>
      <c r="G23" s="164"/>
      <c r="H23" s="164"/>
      <c r="I23" s="164"/>
      <c r="J23" s="164"/>
      <c r="K23" s="164"/>
      <c r="L23" s="164"/>
      <c r="M23" s="164"/>
      <c r="N23" s="164"/>
      <c r="O23" s="162"/>
      <c r="P23" s="162"/>
      <c r="Q23" s="164"/>
      <c r="S23" s="162"/>
      <c r="T23" s="164">
        <f t="shared" si="0"/>
        <v>0</v>
      </c>
    </row>
    <row r="24" spans="2:20" hidden="1">
      <c r="C24" s="164"/>
      <c r="D24" s="164"/>
      <c r="E24" s="164"/>
      <c r="F24" s="164"/>
      <c r="G24" s="164"/>
      <c r="H24" s="164"/>
      <c r="I24" s="164"/>
      <c r="J24" s="164"/>
      <c r="K24" s="164"/>
      <c r="L24" s="164"/>
      <c r="M24" s="164"/>
      <c r="N24" s="164"/>
      <c r="O24" s="162"/>
      <c r="P24" s="162"/>
      <c r="Q24" s="164"/>
      <c r="S24" s="162"/>
      <c r="T24" s="164">
        <f t="shared" si="0"/>
        <v>0</v>
      </c>
    </row>
    <row r="25" spans="2:20" hidden="1">
      <c r="C25" s="164"/>
      <c r="D25" s="164"/>
      <c r="E25" s="164"/>
      <c r="F25" s="164"/>
      <c r="G25" s="164"/>
      <c r="H25" s="164"/>
      <c r="I25" s="164"/>
      <c r="J25" s="164"/>
      <c r="K25" s="164"/>
      <c r="L25" s="164"/>
      <c r="M25" s="164"/>
      <c r="N25" s="164"/>
      <c r="O25" s="162"/>
      <c r="P25" s="162"/>
      <c r="Q25" s="164"/>
      <c r="S25" s="162"/>
      <c r="T25" s="164">
        <f t="shared" si="0"/>
        <v>0</v>
      </c>
    </row>
    <row r="26" spans="2:20" hidden="1">
      <c r="C26" s="164"/>
      <c r="D26" s="164"/>
      <c r="E26" s="164"/>
      <c r="F26" s="164"/>
      <c r="G26" s="164"/>
      <c r="H26" s="164"/>
      <c r="I26" s="164"/>
      <c r="J26" s="164"/>
      <c r="K26" s="164"/>
      <c r="L26" s="164"/>
      <c r="M26" s="164"/>
      <c r="N26" s="164"/>
      <c r="O26" s="162"/>
      <c r="P26" s="162"/>
      <c r="Q26" s="164"/>
      <c r="S26" s="162"/>
      <c r="T26" s="164">
        <f t="shared" si="0"/>
        <v>0</v>
      </c>
    </row>
    <row r="27" spans="2:20" hidden="1">
      <c r="C27" s="164"/>
      <c r="D27" s="164"/>
      <c r="E27" s="164"/>
      <c r="F27" s="164"/>
      <c r="G27" s="164"/>
      <c r="H27" s="164"/>
      <c r="I27" s="164"/>
      <c r="J27" s="164"/>
      <c r="K27" s="164"/>
      <c r="L27" s="164"/>
      <c r="M27" s="164"/>
      <c r="N27" s="164"/>
      <c r="O27" s="162"/>
      <c r="P27" s="162"/>
      <c r="Q27" s="164"/>
      <c r="S27" s="162"/>
      <c r="T27" s="164">
        <f t="shared" si="0"/>
        <v>0</v>
      </c>
    </row>
    <row r="28" spans="2:20" hidden="1">
      <c r="C28" s="164"/>
      <c r="D28" s="164"/>
      <c r="E28" s="164"/>
      <c r="F28" s="164"/>
      <c r="G28" s="164"/>
      <c r="H28" s="164"/>
      <c r="I28" s="164"/>
      <c r="J28" s="164"/>
      <c r="K28" s="164"/>
      <c r="L28" s="164"/>
      <c r="M28" s="164"/>
      <c r="N28" s="164"/>
      <c r="O28" s="162"/>
      <c r="P28" s="162"/>
      <c r="Q28" s="164"/>
      <c r="S28" s="162"/>
      <c r="T28" s="164">
        <f t="shared" si="0"/>
        <v>0</v>
      </c>
    </row>
    <row r="29" spans="2:20" hidden="1">
      <c r="C29" s="164"/>
      <c r="D29" s="164"/>
      <c r="E29" s="164"/>
      <c r="F29" s="164"/>
      <c r="G29" s="164"/>
      <c r="H29" s="164"/>
      <c r="I29" s="164"/>
      <c r="J29" s="164"/>
      <c r="K29" s="164"/>
      <c r="L29" s="164"/>
      <c r="M29" s="164"/>
      <c r="N29" s="164"/>
      <c r="Q29" s="164"/>
      <c r="S29" s="162"/>
      <c r="T29" s="164">
        <f t="shared" si="0"/>
        <v>0</v>
      </c>
    </row>
    <row r="30" spans="2:20">
      <c r="B30" s="169" t="s">
        <v>486</v>
      </c>
      <c r="C30" s="170"/>
      <c r="D30" s="170"/>
      <c r="E30" s="170"/>
      <c r="F30" s="170"/>
      <c r="G30" s="531">
        <f>'B&amp;A Surcharges'!U51</f>
        <v>-1851.5914432779618</v>
      </c>
      <c r="L30" s="170"/>
      <c r="M30" s="170"/>
      <c r="N30" s="170"/>
      <c r="O30" s="170"/>
      <c r="P30" s="170"/>
      <c r="Q30" s="164">
        <f>VLOOKUP(B7,'B&amp;A Surcharges'!A:U,21,FALSE)</f>
        <v>-1851.5914432779618</v>
      </c>
      <c r="S30" s="162"/>
      <c r="T30" s="164">
        <f>Q30</f>
        <v>-1851.5914432779618</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47753.919999999998</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-566.03</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1736.8933858064515</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10170.959999999999</v>
      </c>
      <c r="H42" s="164"/>
      <c r="I42" s="164"/>
      <c r="J42" s="164"/>
      <c r="K42" s="164"/>
      <c r="L42" s="164">
        <f>VLOOKUP(B7,'Envir FGD adj'!A:F,6,FALSE)</f>
        <v>-6554.5201657766238</v>
      </c>
      <c r="M42" s="164"/>
      <c r="N42" s="164"/>
      <c r="Q42" s="164">
        <f t="shared" ref="Q42" si="7">L42+M42+N42+O42</f>
        <v>-6554.5201657766238</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8275.0933909677424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10471.74</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12</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-11303.48</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8">SUM(G13:G50)</f>
        <v>241714.90533349622</v>
      </c>
      <c r="L53" s="168">
        <f t="shared" si="8"/>
        <v>-6554.5201657766238</v>
      </c>
      <c r="M53" s="168">
        <f t="shared" si="8"/>
        <v>0</v>
      </c>
      <c r="N53" s="168">
        <f t="shared" si="8"/>
        <v>2995.0718508308209</v>
      </c>
      <c r="O53" s="168">
        <f t="shared" si="8"/>
        <v>0</v>
      </c>
      <c r="P53" s="168">
        <f t="shared" si="8"/>
        <v>0</v>
      </c>
      <c r="Q53" s="168">
        <f t="shared" si="8"/>
        <v>171604.36024177624</v>
      </c>
      <c r="T53" s="168">
        <f>SUM(T13:T50)</f>
        <v>193920.90436837051</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24"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T57"/>
  <sheetViews>
    <sheetView zoomScale="110" zoomScaleNormal="11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c r="E4" s="542"/>
      <c r="G4" s="542"/>
    </row>
    <row r="6" spans="2:20">
      <c r="B6" s="150" t="s">
        <v>260</v>
      </c>
    </row>
    <row r="7" spans="2:20">
      <c r="B7" s="150" t="s">
        <v>384</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Units'!D65</f>
        <v>15643440</v>
      </c>
      <c r="D13" s="164">
        <f>'Bill Units'!E65</f>
        <v>0</v>
      </c>
      <c r="E13" s="203">
        <f>'Rate Input'!D63</f>
        <v>2.6980000000000001E-2</v>
      </c>
      <c r="F13" s="203">
        <f>'Rate Input'!E63</f>
        <v>0</v>
      </c>
      <c r="G13" s="164">
        <f>(C13*E13)+(D13*F13)</f>
        <v>422060.01120000001</v>
      </c>
      <c r="H13" s="164">
        <f>VLOOKUP($B$7,WNLA!A:B,2,FALSE)*(SUM(C13:D13)/SUM(C13:D13))</f>
        <v>0</v>
      </c>
      <c r="I13" s="162">
        <f>VLOOKUP($B$7,'Monthly # of Customers'!A:R,18,FALSE)*SUM(C13:D13)</f>
        <v>0</v>
      </c>
      <c r="J13" s="162"/>
      <c r="K13" s="164">
        <f>C13+D13+H13+I13+J13</f>
        <v>15643440</v>
      </c>
      <c r="L13" s="164"/>
      <c r="M13" s="164"/>
      <c r="N13" s="164">
        <f>H13*F13</f>
        <v>0</v>
      </c>
      <c r="O13" s="162">
        <f>I13*F13</f>
        <v>0</v>
      </c>
      <c r="P13" s="162">
        <f>J13*F13</f>
        <v>0</v>
      </c>
      <c r="Q13" s="164">
        <f>G13+L13+M13+N13+O13+P13</f>
        <v>422060.01120000001</v>
      </c>
      <c r="S13" s="203">
        <f>'Proposed Rates'!C63</f>
        <v>3.2140000000000002E-2</v>
      </c>
      <c r="T13" s="164">
        <f>S13*K13</f>
        <v>502780.16160000005</v>
      </c>
    </row>
    <row r="14" spans="2:20">
      <c r="B14" s="538" t="s">
        <v>20</v>
      </c>
      <c r="C14" s="164"/>
      <c r="D14" s="164"/>
      <c r="E14" s="203"/>
      <c r="F14" s="203"/>
      <c r="G14" s="164">
        <f>(C14*E14)+(D14*F14)</f>
        <v>0</v>
      </c>
      <c r="H14" s="164"/>
      <c r="I14" s="164"/>
      <c r="J14" s="162"/>
      <c r="K14" s="164"/>
      <c r="L14" s="164"/>
      <c r="M14" s="164"/>
      <c r="N14" s="164"/>
      <c r="O14" s="162"/>
      <c r="P14" s="162"/>
      <c r="Q14" s="164"/>
      <c r="S14" s="203"/>
      <c r="T14" s="164">
        <f t="shared" ref="T14:T29" si="0">S14*K14</f>
        <v>0</v>
      </c>
    </row>
    <row r="15" spans="2:20">
      <c r="B15" s="538" t="s">
        <v>24</v>
      </c>
      <c r="C15" s="164">
        <f>'Bill Units'!D67</f>
        <v>14382</v>
      </c>
      <c r="D15" s="164">
        <f>'Bill Units'!E67</f>
        <v>0</v>
      </c>
      <c r="E15" s="162">
        <f>'Rate Input'!D65</f>
        <v>25.88</v>
      </c>
      <c r="F15" s="162">
        <f>'Rate Input'!E65</f>
        <v>0</v>
      </c>
      <c r="G15" s="164">
        <f>(C15*E15)+(D15*F15)</f>
        <v>372206.16</v>
      </c>
      <c r="H15" s="164"/>
      <c r="I15" s="164">
        <f>VLOOKUP($B$7,'Monthly # of Customers'!A:R,18,FALSE)*SUM(C15:D15)</f>
        <v>0</v>
      </c>
      <c r="J15" s="164"/>
      <c r="K15" s="164">
        <f>C15+D15+H15+I15+J15</f>
        <v>14382</v>
      </c>
      <c r="L15" s="164"/>
      <c r="M15" s="164"/>
      <c r="N15" s="164">
        <f>H15*F15</f>
        <v>0</v>
      </c>
      <c r="O15" s="162">
        <f>I15*F15</f>
        <v>0</v>
      </c>
      <c r="P15" s="162">
        <f>J15*F15</f>
        <v>0</v>
      </c>
      <c r="Q15" s="164">
        <f>G15+L15+M15+N15+O15+P15</f>
        <v>372206.16</v>
      </c>
      <c r="S15" s="162">
        <f>'Proposed Rates'!D64</f>
        <v>27.32</v>
      </c>
      <c r="T15" s="164">
        <f t="shared" si="0"/>
        <v>392916.24</v>
      </c>
    </row>
    <row r="16" spans="2:20">
      <c r="B16" s="150" t="s">
        <v>44</v>
      </c>
      <c r="C16" s="164">
        <f>'Bill Units'!D68</f>
        <v>13558</v>
      </c>
      <c r="D16" s="164">
        <f>'Bill Units'!E68</f>
        <v>0</v>
      </c>
      <c r="E16" s="162">
        <f>'Rate Input'!D66</f>
        <v>1.8</v>
      </c>
      <c r="F16" s="162">
        <f>'Rate Input'!E66</f>
        <v>0</v>
      </c>
      <c r="G16" s="164">
        <f>(C16*E16)+(D16*F16)</f>
        <v>24404.400000000001</v>
      </c>
      <c r="H16" s="162"/>
      <c r="I16" s="164">
        <f>VLOOKUP($B$7,'Monthly # of Customers'!A:R,18,FALSE)*SUM(C16:D16)</f>
        <v>0</v>
      </c>
      <c r="J16" s="164"/>
      <c r="K16" s="164">
        <f>C16+D16+H16+I16+J16</f>
        <v>13558</v>
      </c>
      <c r="L16" s="164"/>
      <c r="M16" s="164"/>
      <c r="N16" s="164">
        <f>H16*F16</f>
        <v>0</v>
      </c>
      <c r="O16" s="162">
        <f>I16*F16</f>
        <v>0</v>
      </c>
      <c r="P16" s="162">
        <f>J16*F16</f>
        <v>0</v>
      </c>
      <c r="Q16" s="164">
        <f>G16+L16+M16+N16+O16+P16</f>
        <v>24404.400000000001</v>
      </c>
      <c r="S16" s="162">
        <f>'Proposed Rates'!D65</f>
        <v>1.84</v>
      </c>
      <c r="T16" s="164">
        <f t="shared" si="0"/>
        <v>24946.720000000001</v>
      </c>
    </row>
    <row r="17" spans="2:20">
      <c r="B17" s="150" t="s">
        <v>45</v>
      </c>
      <c r="C17" s="164">
        <f>'Bill Units'!D69</f>
        <v>18368</v>
      </c>
      <c r="D17" s="164">
        <f>'Bill Units'!E69</f>
        <v>0</v>
      </c>
      <c r="E17" s="162">
        <f>'Rate Input'!D67</f>
        <v>28.77</v>
      </c>
      <c r="F17" s="162">
        <f>'Rate Input'!E67</f>
        <v>0</v>
      </c>
      <c r="G17" s="164">
        <f>(C17*E17)+(D17*F17)</f>
        <v>528447.36</v>
      </c>
      <c r="H17" s="164"/>
      <c r="I17" s="164">
        <f>VLOOKUP($B$7,'Monthly # of Customers'!A:R,18,FALSE)*SUM(C17:D17)</f>
        <v>0</v>
      </c>
      <c r="J17" s="164"/>
      <c r="K17" s="164">
        <f>C17+D17+H17+I17+J17</f>
        <v>18368</v>
      </c>
      <c r="L17" s="164"/>
      <c r="M17" s="164"/>
      <c r="N17" s="164">
        <f>H17*F17</f>
        <v>0</v>
      </c>
      <c r="O17" s="162">
        <f>I17*F17</f>
        <v>0</v>
      </c>
      <c r="P17" s="162">
        <f>J17*F17</f>
        <v>0</v>
      </c>
      <c r="Q17" s="164">
        <f>G17+L17+M17+N17+O17+P17</f>
        <v>528447.36</v>
      </c>
      <c r="S17" s="162">
        <f>'Proposed Rates'!D66</f>
        <v>26.009999999999998</v>
      </c>
      <c r="T17" s="164">
        <f t="shared" si="0"/>
        <v>477751.67999999993</v>
      </c>
    </row>
    <row r="18" spans="2:20">
      <c r="C18" s="164"/>
      <c r="D18" s="164"/>
      <c r="E18" s="203"/>
      <c r="F18" s="162"/>
      <c r="G18" s="164"/>
      <c r="H18" s="164"/>
      <c r="I18" s="164"/>
      <c r="J18" s="164"/>
      <c r="K18" s="164"/>
      <c r="L18" s="164"/>
      <c r="M18" s="164"/>
      <c r="N18" s="164"/>
      <c r="O18" s="162"/>
      <c r="P18" s="162"/>
      <c r="Q18" s="164"/>
      <c r="S18" s="274"/>
      <c r="T18" s="164">
        <f t="shared" si="0"/>
        <v>0</v>
      </c>
    </row>
    <row r="19" spans="2:20">
      <c r="B19" s="150" t="s">
        <v>342</v>
      </c>
      <c r="C19" s="164">
        <f>'Bill Units'!D70</f>
        <v>94</v>
      </c>
      <c r="D19" s="164">
        <f>'Bill Units'!E70</f>
        <v>0</v>
      </c>
      <c r="E19" s="162">
        <f>'Rate Input'!D68</f>
        <v>0.69</v>
      </c>
      <c r="F19" s="162">
        <f>'Rate Input'!E68</f>
        <v>0</v>
      </c>
      <c r="G19" s="164">
        <f>(C19*E19)+(D19*F19)</f>
        <v>64.86</v>
      </c>
      <c r="H19" s="164"/>
      <c r="I19" s="164">
        <f>VLOOKUP($B$7,'Monthly # of Customers'!A:R,18,FALSE)*SUM(C19:D19)</f>
        <v>0</v>
      </c>
      <c r="J19" s="164"/>
      <c r="K19" s="164">
        <f>C19+D19+H19+I19+J19</f>
        <v>94</v>
      </c>
      <c r="L19" s="164"/>
      <c r="M19" s="164"/>
      <c r="N19" s="164">
        <f>H19*F19</f>
        <v>0</v>
      </c>
      <c r="O19" s="162">
        <f>I19*F19</f>
        <v>0</v>
      </c>
      <c r="P19" s="162">
        <f>J19*F19</f>
        <v>0</v>
      </c>
      <c r="Q19" s="164">
        <f>G19+L19+M19+N19+O19+P19</f>
        <v>64.86</v>
      </c>
      <c r="S19" s="162">
        <f>'Proposed Rates'!E63</f>
        <v>0.69</v>
      </c>
      <c r="T19" s="164">
        <f t="shared" si="0"/>
        <v>64.86</v>
      </c>
    </row>
    <row r="20" spans="2:20">
      <c r="C20" s="164"/>
      <c r="D20" s="164"/>
      <c r="E20" s="162"/>
      <c r="F20" s="162"/>
      <c r="G20" s="164"/>
      <c r="H20" s="164"/>
      <c r="I20" s="164"/>
      <c r="J20" s="164"/>
      <c r="K20" s="164"/>
      <c r="L20" s="164"/>
      <c r="M20" s="164"/>
      <c r="N20" s="164"/>
      <c r="O20" s="162"/>
      <c r="P20" s="162"/>
      <c r="Q20" s="164"/>
      <c r="S20" s="162"/>
      <c r="T20" s="164">
        <f t="shared" si="0"/>
        <v>0</v>
      </c>
    </row>
    <row r="21" spans="2:20">
      <c r="B21" s="150" t="s">
        <v>12</v>
      </c>
      <c r="C21" s="164">
        <f>'Bill Units'!D71</f>
        <v>48</v>
      </c>
      <c r="D21" s="164">
        <f>'Bill Units'!E71</f>
        <v>0</v>
      </c>
      <c r="E21" s="162">
        <f>'Rate Input'!D69</f>
        <v>276</v>
      </c>
      <c r="F21" s="162">
        <f>'Rate Input'!E69</f>
        <v>0</v>
      </c>
      <c r="G21" s="164">
        <f>(C21*E21)+(D21*F21)</f>
        <v>13248</v>
      </c>
      <c r="H21" s="164"/>
      <c r="I21" s="164">
        <f>VLOOKUP($B$7,'Monthly # of Customers'!A:R,18,FALSE)*SUM(C21:D21)</f>
        <v>0</v>
      </c>
      <c r="J21" s="164"/>
      <c r="K21" s="164">
        <f>C21+D21+H21+I21+J21</f>
        <v>48</v>
      </c>
      <c r="L21" s="164"/>
      <c r="M21" s="164"/>
      <c r="N21" s="164">
        <f>H21*F21</f>
        <v>0</v>
      </c>
      <c r="O21" s="162">
        <f>I21*F21</f>
        <v>0</v>
      </c>
      <c r="P21" s="162">
        <f>J21*F21</f>
        <v>0</v>
      </c>
      <c r="Q21" s="164">
        <f>G21+L21+M21+N21+O21+P21</f>
        <v>13248</v>
      </c>
      <c r="S21" s="162">
        <f>'Proposed Rates'!B63</f>
        <v>276</v>
      </c>
      <c r="T21" s="164">
        <f t="shared" si="0"/>
        <v>13248</v>
      </c>
    </row>
    <row r="22" spans="2:20">
      <c r="S22" s="162"/>
      <c r="T22" s="164">
        <f t="shared" si="0"/>
        <v>0</v>
      </c>
    </row>
    <row r="23" spans="2:20" hidden="1">
      <c r="C23" s="164"/>
      <c r="D23" s="164"/>
      <c r="E23" s="164"/>
      <c r="F23" s="164"/>
      <c r="G23" s="164"/>
      <c r="H23" s="164"/>
      <c r="I23" s="164"/>
      <c r="J23" s="164"/>
      <c r="K23" s="164"/>
      <c r="L23" s="164"/>
      <c r="M23" s="164"/>
      <c r="N23" s="164"/>
      <c r="O23" s="162"/>
      <c r="P23" s="162"/>
      <c r="Q23" s="164"/>
      <c r="S23" s="162"/>
      <c r="T23" s="164">
        <f t="shared" si="0"/>
        <v>0</v>
      </c>
    </row>
    <row r="24" spans="2:20" hidden="1">
      <c r="C24" s="164"/>
      <c r="D24" s="164"/>
      <c r="E24" s="164"/>
      <c r="F24" s="164"/>
      <c r="G24" s="164"/>
      <c r="H24" s="164"/>
      <c r="I24" s="164"/>
      <c r="J24" s="164"/>
      <c r="K24" s="164"/>
      <c r="L24" s="164"/>
      <c r="M24" s="164"/>
      <c r="N24" s="164"/>
      <c r="O24" s="162"/>
      <c r="P24" s="162"/>
      <c r="Q24" s="164"/>
      <c r="S24" s="162"/>
      <c r="T24" s="164">
        <f t="shared" si="0"/>
        <v>0</v>
      </c>
    </row>
    <row r="25" spans="2:20" hidden="1">
      <c r="C25" s="164"/>
      <c r="D25" s="164"/>
      <c r="E25" s="164"/>
      <c r="F25" s="164"/>
      <c r="G25" s="164"/>
      <c r="H25" s="164"/>
      <c r="I25" s="164"/>
      <c r="J25" s="164"/>
      <c r="K25" s="164"/>
      <c r="L25" s="164"/>
      <c r="M25" s="164"/>
      <c r="N25" s="164"/>
      <c r="O25" s="162"/>
      <c r="P25" s="162"/>
      <c r="Q25" s="164"/>
      <c r="S25" s="162"/>
      <c r="T25" s="164">
        <f t="shared" si="0"/>
        <v>0</v>
      </c>
    </row>
    <row r="26" spans="2:20" hidden="1">
      <c r="C26" s="164"/>
      <c r="D26" s="164"/>
      <c r="E26" s="164"/>
      <c r="F26" s="164"/>
      <c r="G26" s="164"/>
      <c r="H26" s="164"/>
      <c r="I26" s="164"/>
      <c r="J26" s="164"/>
      <c r="K26" s="164"/>
      <c r="L26" s="164"/>
      <c r="M26" s="164"/>
      <c r="N26" s="164"/>
      <c r="O26" s="162"/>
      <c r="P26" s="162"/>
      <c r="Q26" s="164"/>
      <c r="S26" s="162"/>
      <c r="T26" s="164">
        <f t="shared" si="0"/>
        <v>0</v>
      </c>
    </row>
    <row r="27" spans="2:20" hidden="1">
      <c r="C27" s="164"/>
      <c r="D27" s="164"/>
      <c r="E27" s="164"/>
      <c r="F27" s="164"/>
      <c r="G27" s="164"/>
      <c r="H27" s="164"/>
      <c r="I27" s="164"/>
      <c r="J27" s="164"/>
      <c r="K27" s="164"/>
      <c r="L27" s="164"/>
      <c r="M27" s="164"/>
      <c r="N27" s="164"/>
      <c r="O27" s="162"/>
      <c r="P27" s="162"/>
      <c r="Q27" s="164"/>
      <c r="S27" s="162"/>
      <c r="T27" s="164">
        <f t="shared" si="0"/>
        <v>0</v>
      </c>
    </row>
    <row r="28" spans="2:20" hidden="1">
      <c r="C28" s="164"/>
      <c r="D28" s="164"/>
      <c r="E28" s="164"/>
      <c r="F28" s="164"/>
      <c r="G28" s="164"/>
      <c r="H28" s="164"/>
      <c r="I28" s="164"/>
      <c r="J28" s="164"/>
      <c r="K28" s="164"/>
      <c r="L28" s="164"/>
      <c r="M28" s="164"/>
      <c r="N28" s="164"/>
      <c r="O28" s="162"/>
      <c r="P28" s="162"/>
      <c r="Q28" s="164"/>
      <c r="S28" s="162"/>
      <c r="T28" s="164">
        <f t="shared" si="0"/>
        <v>0</v>
      </c>
    </row>
    <row r="29" spans="2:20" hidden="1">
      <c r="C29" s="164"/>
      <c r="D29" s="164"/>
      <c r="E29" s="164"/>
      <c r="F29" s="164"/>
      <c r="G29" s="164"/>
      <c r="H29" s="164"/>
      <c r="I29" s="164"/>
      <c r="J29" s="164"/>
      <c r="K29" s="164"/>
      <c r="L29" s="164"/>
      <c r="M29" s="164"/>
      <c r="N29" s="164"/>
      <c r="Q29" s="164"/>
      <c r="S29" s="162"/>
      <c r="T29" s="164">
        <f t="shared" si="0"/>
        <v>0</v>
      </c>
    </row>
    <row r="30" spans="2:20">
      <c r="B30" s="169" t="s">
        <v>486</v>
      </c>
      <c r="C30" s="170"/>
      <c r="D30" s="170"/>
      <c r="E30" s="170"/>
      <c r="F30" s="170"/>
      <c r="G30" s="531">
        <f>'B&amp;A Surcharges'!U53</f>
        <v>3961.3500000000931</v>
      </c>
      <c r="L30" s="170"/>
      <c r="M30" s="170"/>
      <c r="N30" s="170"/>
      <c r="O30" s="170"/>
      <c r="P30" s="170"/>
      <c r="Q30" s="164">
        <f>VLOOKUP(B7,'B&amp;A Surcharges'!A:U,21,FALSE)</f>
        <v>3961.3500000000931</v>
      </c>
      <c r="S30" s="162"/>
      <c r="T30" s="164">
        <f>Q30</f>
        <v>3961.3500000000931</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417283.1</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-4715.2299999999996</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8485.0540500645166</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72146.950000000012</v>
      </c>
      <c r="H42" s="164"/>
      <c r="I42" s="164"/>
      <c r="J42" s="164"/>
      <c r="K42" s="164"/>
      <c r="L42" s="164">
        <f>VLOOKUP(B7,'Envir FGD adj'!A:F,6,FALSE)</f>
        <v>-46494.002402357095</v>
      </c>
      <c r="M42" s="164"/>
      <c r="N42" s="164"/>
      <c r="Q42" s="164">
        <f t="shared" ref="Q42" si="1">L42+M42+N42+O42</f>
        <v>-46494.002402357095</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53213.723556774188</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74387.759999999995</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48</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-105354.62</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2">SUM(G13:G50)</f>
        <v>1879886.8788068388</v>
      </c>
      <c r="L53" s="168">
        <f t="shared" si="2"/>
        <v>-46494.002402357095</v>
      </c>
      <c r="M53" s="168">
        <f t="shared" si="2"/>
        <v>0</v>
      </c>
      <c r="N53" s="168">
        <f t="shared" si="2"/>
        <v>0</v>
      </c>
      <c r="O53" s="539">
        <f t="shared" si="2"/>
        <v>0</v>
      </c>
      <c r="P53" s="539">
        <f t="shared" si="2"/>
        <v>0</v>
      </c>
      <c r="Q53" s="168">
        <f t="shared" si="2"/>
        <v>1317898.1387976431</v>
      </c>
      <c r="T53" s="168">
        <f>SUM(T13:T50)</f>
        <v>1415669.0116000001</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E57" s="542"/>
      <c r="G57" s="160"/>
      <c r="H57" s="160"/>
      <c r="I57" s="160"/>
      <c r="J57" s="160"/>
      <c r="K57" s="160"/>
      <c r="L57" s="160"/>
      <c r="M57" s="160"/>
    </row>
  </sheetData>
  <mergeCells count="2">
    <mergeCell ref="H8:J8"/>
    <mergeCell ref="L8:P8"/>
  </mergeCells>
  <pageMargins left="0.25" right="0.25" top="0.75" bottom="0.75" header="0.3" footer="0.3"/>
  <pageSetup paperSize="5" scale="1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T57"/>
  <sheetViews>
    <sheetView zoomScale="110" zoomScaleNormal="11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5" style="150" customWidth="1"/>
    <col min="15" max="16" width="15" style="164" customWidth="1"/>
    <col min="17" max="17" width="15" style="150" customWidth="1"/>
    <col min="18" max="18" width="4.28515625" style="150" customWidth="1"/>
    <col min="19" max="20" width="1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5" spans="2:20">
      <c r="G5" s="201"/>
    </row>
    <row r="6" spans="2:20">
      <c r="B6" s="150" t="s">
        <v>502</v>
      </c>
    </row>
    <row r="7" spans="2:20">
      <c r="B7" s="150" t="s">
        <v>381</v>
      </c>
    </row>
    <row r="8" spans="2:20">
      <c r="C8" s="201">
        <f>C13*E13</f>
        <v>8108263.0453999992</v>
      </c>
      <c r="D8" s="201">
        <f>D13*F13</f>
        <v>0</v>
      </c>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Units'!H65</f>
        <v>304821919</v>
      </c>
      <c r="D13" s="164">
        <f>'Bill Units'!I65</f>
        <v>0</v>
      </c>
      <c r="E13" s="203">
        <f>'Rate Input'!H63</f>
        <v>2.6599999999999999E-2</v>
      </c>
      <c r="F13" s="203">
        <f>'Rate Input'!I63</f>
        <v>0</v>
      </c>
      <c r="G13" s="164">
        <f>(C13*E13)+(D13*F13)</f>
        <v>8108263.0453999992</v>
      </c>
      <c r="H13" s="164">
        <f>VLOOKUP($B$7,WNLA!A:B,2,FALSE)*(SUM(C13:D13)/SUM(C13:D13))</f>
        <v>0</v>
      </c>
      <c r="I13" s="164">
        <f>VLOOKUP($B$7,'Monthly # of Customers'!A:R,18,FALSE)*SUM(C13:D13)</f>
        <v>20665892.813559324</v>
      </c>
      <c r="J13" s="162"/>
      <c r="K13" s="164">
        <f>C13+D13+H13+I13+J13</f>
        <v>325487811.81355929</v>
      </c>
      <c r="L13" s="164"/>
      <c r="M13" s="164"/>
      <c r="N13" s="164">
        <f>H13*F13</f>
        <v>0</v>
      </c>
      <c r="O13" s="164">
        <f>I13*E13</f>
        <v>549712.74884067802</v>
      </c>
      <c r="P13" s="164">
        <f>J13*F13</f>
        <v>0</v>
      </c>
      <c r="Q13" s="164">
        <f>G13+L13+M13+N13+O13+P13</f>
        <v>8657975.7942406777</v>
      </c>
      <c r="S13" s="203">
        <f>'Proposed Rates'!C67</f>
        <v>3.0630000000000001E-2</v>
      </c>
      <c r="T13" s="164">
        <f>S13*K13</f>
        <v>9969691.6758493222</v>
      </c>
    </row>
    <row r="14" spans="2:20">
      <c r="B14" s="538" t="s">
        <v>20</v>
      </c>
      <c r="C14" s="164"/>
      <c r="D14" s="164"/>
      <c r="E14" s="203"/>
      <c r="F14" s="203"/>
      <c r="G14" s="164"/>
      <c r="H14" s="164"/>
      <c r="I14" s="164"/>
      <c r="J14" s="162"/>
      <c r="K14" s="164"/>
      <c r="L14" s="164"/>
      <c r="M14" s="164"/>
      <c r="N14" s="164"/>
      <c r="Q14" s="164"/>
      <c r="S14" s="203"/>
      <c r="T14" s="164">
        <f t="shared" ref="T14:T29" si="0">S14*K14</f>
        <v>0</v>
      </c>
    </row>
    <row r="15" spans="2:20">
      <c r="B15" s="538" t="s">
        <v>24</v>
      </c>
      <c r="C15" s="164">
        <f>'Bill Units'!H67</f>
        <v>572328</v>
      </c>
      <c r="D15" s="164">
        <f>'Bill Units'!I67</f>
        <v>0</v>
      </c>
      <c r="E15" s="162">
        <f>'Rate Input'!H65</f>
        <v>22.96</v>
      </c>
      <c r="F15" s="162">
        <f>'Rate Input'!I65</f>
        <v>0</v>
      </c>
      <c r="G15" s="164">
        <f>(C15*E15)+(D15*F15)</f>
        <v>13140650.880000001</v>
      </c>
      <c r="H15" s="164"/>
      <c r="I15" s="164">
        <f>VLOOKUP($B$7,'Monthly # of Customers'!A:R,18,FALSE)*SUM(C15:D15)</f>
        <v>38801.898305084746</v>
      </c>
      <c r="J15" s="164"/>
      <c r="K15" s="164">
        <f>C15+D15+H15+I15+J15</f>
        <v>611129.89830508479</v>
      </c>
      <c r="L15" s="164"/>
      <c r="M15" s="164"/>
      <c r="N15" s="164">
        <f>H15*F15</f>
        <v>0</v>
      </c>
      <c r="O15" s="164">
        <f t="shared" ref="O15:P17" si="1">I15*E15</f>
        <v>890891.58508474578</v>
      </c>
      <c r="P15" s="164">
        <f t="shared" si="1"/>
        <v>0</v>
      </c>
      <c r="Q15" s="164">
        <f>G15+L15+M15+N15+O15+P15</f>
        <v>14031542.465084746</v>
      </c>
      <c r="S15" s="162">
        <f>'Proposed Rates'!D68</f>
        <v>25.310000000000002</v>
      </c>
      <c r="T15" s="164">
        <f t="shared" si="0"/>
        <v>15467697.726101696</v>
      </c>
    </row>
    <row r="16" spans="2:20">
      <c r="B16" s="150" t="s">
        <v>44</v>
      </c>
      <c r="C16" s="164">
        <f>'Bill Units'!H68</f>
        <v>517112</v>
      </c>
      <c r="D16" s="164">
        <f>'Bill Units'!I68</f>
        <v>0</v>
      </c>
      <c r="E16" s="162">
        <f>'Rate Input'!H66</f>
        <v>1.78</v>
      </c>
      <c r="F16" s="162">
        <f>'Rate Input'!I66</f>
        <v>0</v>
      </c>
      <c r="G16" s="164">
        <f>(C16*E16)+(D16*F16)</f>
        <v>920459.36</v>
      </c>
      <c r="H16" s="162"/>
      <c r="I16" s="164">
        <f>VLOOKUP($B$7,'Monthly # of Customers'!A:R,18,FALSE)*SUM(C16:D16)</f>
        <v>35058.4406779661</v>
      </c>
      <c r="J16" s="164"/>
      <c r="K16" s="164">
        <f>C16+D16+H16+I16+J16</f>
        <v>552170.44067796611</v>
      </c>
      <c r="L16" s="164"/>
      <c r="M16" s="164"/>
      <c r="N16" s="164">
        <f>H16*F16</f>
        <v>0</v>
      </c>
      <c r="O16" s="164">
        <f t="shared" si="1"/>
        <v>62404.024406779659</v>
      </c>
      <c r="P16" s="164">
        <f t="shared" si="1"/>
        <v>0</v>
      </c>
      <c r="Q16" s="164">
        <f>G16+L16+M16+N16+O16+P16</f>
        <v>982863.38440677966</v>
      </c>
      <c r="S16" s="162">
        <f>'Proposed Rates'!D69</f>
        <v>1.78</v>
      </c>
      <c r="T16" s="164">
        <f t="shared" si="0"/>
        <v>982863.38440677966</v>
      </c>
    </row>
    <row r="17" spans="2:20">
      <c r="B17" s="150" t="s">
        <v>45</v>
      </c>
      <c r="C17" s="164">
        <f>'Bill Units'!H69</f>
        <v>189960</v>
      </c>
      <c r="D17" s="164">
        <f>'Bill Units'!I69</f>
        <v>0</v>
      </c>
      <c r="E17" s="162">
        <f>'Rate Input'!H67</f>
        <v>25.81</v>
      </c>
      <c r="F17" s="162">
        <f>'Rate Input'!I67</f>
        <v>0</v>
      </c>
      <c r="G17" s="164">
        <f>(C17*E17)+(D17*F17)</f>
        <v>4902867.5999999996</v>
      </c>
      <c r="H17" s="164"/>
      <c r="I17" s="164">
        <f>VLOOKUP($B$7,'Monthly # of Customers'!A:R,18,FALSE)*SUM(C17:D17)</f>
        <v>12878.644067796609</v>
      </c>
      <c r="J17" s="164"/>
      <c r="K17" s="164">
        <f>C17+D17+H17+I17+J17</f>
        <v>202838.64406779662</v>
      </c>
      <c r="L17" s="164"/>
      <c r="M17" s="164"/>
      <c r="N17" s="164">
        <f>H17*F17</f>
        <v>0</v>
      </c>
      <c r="O17" s="164">
        <f t="shared" si="1"/>
        <v>332397.80338983046</v>
      </c>
      <c r="P17" s="164">
        <f t="shared" si="1"/>
        <v>0</v>
      </c>
      <c r="Q17" s="164">
        <f>G17+L17+M17+N17+O17+P17</f>
        <v>5235265.4033898301</v>
      </c>
      <c r="S17" s="162">
        <f>'Proposed Rates'!D70</f>
        <v>24.05</v>
      </c>
      <c r="T17" s="164">
        <f t="shared" si="0"/>
        <v>4878269.3898305092</v>
      </c>
    </row>
    <row r="18" spans="2:20">
      <c r="C18" s="164"/>
      <c r="D18" s="164"/>
      <c r="E18" s="162"/>
      <c r="F18" s="162"/>
      <c r="G18" s="164"/>
      <c r="H18" s="164"/>
      <c r="I18" s="164"/>
      <c r="J18" s="164"/>
      <c r="K18" s="164"/>
      <c r="L18" s="164"/>
      <c r="M18" s="164"/>
      <c r="N18" s="164"/>
      <c r="Q18" s="164"/>
      <c r="S18" s="274"/>
      <c r="T18" s="164">
        <f t="shared" si="0"/>
        <v>0</v>
      </c>
    </row>
    <row r="19" spans="2:20">
      <c r="B19" s="150" t="s">
        <v>342</v>
      </c>
      <c r="C19" s="164">
        <f>'Bill Units'!H70</f>
        <v>140505.13043478262</v>
      </c>
      <c r="D19" s="164">
        <f>'Bill Units'!I70</f>
        <v>0</v>
      </c>
      <c r="E19" s="162">
        <f>'Rate Input'!H68</f>
        <v>0.69</v>
      </c>
      <c r="F19" s="162">
        <f>'Rate Input'!I68</f>
        <v>0</v>
      </c>
      <c r="G19" s="164">
        <f>(C19*E19)+(D19*F19)</f>
        <v>96948.540000000008</v>
      </c>
      <c r="H19" s="164"/>
      <c r="I19" s="164">
        <f>VLOOKUP($B$7,'Monthly # of Customers'!A:R,18,FALSE)*SUM(C19:D19)</f>
        <v>9525.771554900517</v>
      </c>
      <c r="J19" s="164"/>
      <c r="K19" s="164">
        <f>C19+D19+H19+I19+J19</f>
        <v>150030.90198968313</v>
      </c>
      <c r="L19" s="164"/>
      <c r="M19" s="164"/>
      <c r="N19" s="164">
        <f>H19*F19</f>
        <v>0</v>
      </c>
      <c r="O19" s="164">
        <f>I19*E19</f>
        <v>6572.7823728813564</v>
      </c>
      <c r="P19" s="164">
        <f>J19*F19</f>
        <v>0</v>
      </c>
      <c r="Q19" s="164">
        <f>G19+L19+M19+N19+O19+P19</f>
        <v>103521.32237288136</v>
      </c>
      <c r="S19" s="162">
        <f>'Proposed Rates'!E67</f>
        <v>0.69</v>
      </c>
      <c r="T19" s="164">
        <f t="shared" si="0"/>
        <v>103521.32237288135</v>
      </c>
    </row>
    <row r="20" spans="2:20">
      <c r="C20" s="164"/>
      <c r="D20" s="164"/>
      <c r="E20" s="162"/>
      <c r="F20" s="162"/>
      <c r="G20" s="164"/>
      <c r="H20" s="164"/>
      <c r="I20" s="164"/>
      <c r="J20" s="164"/>
      <c r="K20" s="164"/>
      <c r="L20" s="164"/>
      <c r="M20" s="164"/>
      <c r="N20" s="164"/>
      <c r="Q20" s="164"/>
      <c r="S20" s="162"/>
      <c r="T20" s="164">
        <f t="shared" si="0"/>
        <v>0</v>
      </c>
    </row>
    <row r="21" spans="2:20">
      <c r="B21" s="150" t="s">
        <v>12</v>
      </c>
      <c r="C21" s="164">
        <f>'Bill Units'!H71</f>
        <v>472</v>
      </c>
      <c r="D21" s="164">
        <f>'Bill Units'!I71</f>
        <v>0</v>
      </c>
      <c r="E21" s="162">
        <f>'Rate Input'!H69</f>
        <v>276</v>
      </c>
      <c r="F21" s="162">
        <f>'Rate Input'!I69</f>
        <v>0</v>
      </c>
      <c r="G21" s="164">
        <f>(C21*E21)+(D21*F21)</f>
        <v>130272</v>
      </c>
      <c r="H21" s="164"/>
      <c r="I21" s="164">
        <f>VLOOKUP($B$7,'Monthly # of Customers'!A:R,18,FALSE)*SUM(C21:D21)</f>
        <v>32</v>
      </c>
      <c r="J21" s="164"/>
      <c r="K21" s="164">
        <f>C21+D21+H21+I21+J21</f>
        <v>504</v>
      </c>
      <c r="L21" s="164"/>
      <c r="M21" s="164"/>
      <c r="N21" s="164">
        <f>H21*F21</f>
        <v>0</v>
      </c>
      <c r="O21" s="164">
        <f>I21*E21</f>
        <v>8832</v>
      </c>
      <c r="P21" s="164">
        <f>J21*F21</f>
        <v>0</v>
      </c>
      <c r="Q21" s="164">
        <f>G21+L21+M21+N21+O21+P21</f>
        <v>139104</v>
      </c>
      <c r="S21" s="162">
        <f>'Proposed Rates'!B67</f>
        <v>276</v>
      </c>
      <c r="T21" s="164">
        <f t="shared" si="0"/>
        <v>139104</v>
      </c>
    </row>
    <row r="22" spans="2:20">
      <c r="C22" s="164"/>
      <c r="D22" s="164"/>
      <c r="E22" s="162"/>
      <c r="F22" s="162"/>
      <c r="G22" s="164"/>
      <c r="H22" s="164"/>
      <c r="I22" s="164"/>
      <c r="J22" s="164"/>
      <c r="K22" s="164"/>
      <c r="L22" s="164"/>
      <c r="M22" s="164"/>
      <c r="N22" s="164"/>
      <c r="Q22" s="164"/>
      <c r="S22" s="162"/>
      <c r="T22" s="164">
        <f t="shared" si="0"/>
        <v>0</v>
      </c>
    </row>
    <row r="23" spans="2:20">
      <c r="B23" s="150" t="s">
        <v>343</v>
      </c>
      <c r="C23" s="164">
        <f>'Bill Units'!H72</f>
        <v>79835</v>
      </c>
      <c r="D23" s="164">
        <f>'Bill Units'!I72</f>
        <v>0</v>
      </c>
      <c r="E23" s="162">
        <f>'Rate Input'!H70</f>
        <v>-3.68</v>
      </c>
      <c r="F23" s="162">
        <v>-3.68</v>
      </c>
      <c r="G23" s="164">
        <f>(C23*E23)+(D23*F23)</f>
        <v>-293792.8</v>
      </c>
      <c r="H23" s="164"/>
      <c r="I23" s="164">
        <f>VLOOKUP($B$7,'Monthly # of Customers'!A:R,18,FALSE)*SUM(C23:D23)</f>
        <v>5412.5423728813557</v>
      </c>
      <c r="J23" s="164"/>
      <c r="K23" s="164">
        <f>C23+D23+H23+I23+J23</f>
        <v>85247.542372881362</v>
      </c>
      <c r="L23" s="164"/>
      <c r="M23" s="164"/>
      <c r="N23" s="164">
        <f>H23*F23</f>
        <v>0</v>
      </c>
      <c r="O23" s="164">
        <f>I23*E23</f>
        <v>-19918.15593220339</v>
      </c>
      <c r="P23" s="164">
        <f>J23*F23</f>
        <v>0</v>
      </c>
      <c r="Q23" s="164">
        <f>G23+L23+M23+N23+O23+P23</f>
        <v>-313710.95593220339</v>
      </c>
      <c r="S23" s="162">
        <f>F23</f>
        <v>-3.68</v>
      </c>
      <c r="T23" s="164">
        <f>S23*K23</f>
        <v>-313710.95593220345</v>
      </c>
    </row>
    <row r="24" spans="2:20">
      <c r="S24" s="162"/>
      <c r="T24" s="164">
        <f t="shared" si="0"/>
        <v>0</v>
      </c>
    </row>
    <row r="25" spans="2:20">
      <c r="B25" s="150" t="s">
        <v>823</v>
      </c>
      <c r="C25" s="164"/>
      <c r="D25" s="164"/>
      <c r="E25" s="164"/>
      <c r="F25" s="164"/>
      <c r="G25" s="164">
        <f>-158082.47</f>
        <v>-158082.47</v>
      </c>
      <c r="H25" s="164"/>
      <c r="I25" s="164"/>
      <c r="J25" s="164"/>
      <c r="K25" s="164"/>
      <c r="L25" s="164"/>
      <c r="M25" s="164"/>
      <c r="N25" s="164"/>
      <c r="O25" s="162"/>
      <c r="P25" s="162"/>
      <c r="Q25" s="164">
        <f>G25+L25+M25+N25+O25+P25</f>
        <v>-158082.47</v>
      </c>
      <c r="S25" s="162"/>
      <c r="T25" s="164">
        <f>Q25</f>
        <v>-158082.47</v>
      </c>
    </row>
    <row r="26" spans="2:20">
      <c r="C26" s="164"/>
      <c r="D26" s="164"/>
      <c r="E26" s="164"/>
      <c r="F26" s="164"/>
      <c r="G26" s="164"/>
      <c r="H26" s="164"/>
      <c r="I26" s="164"/>
      <c r="J26" s="164"/>
      <c r="K26" s="164"/>
      <c r="L26" s="164"/>
      <c r="M26" s="164"/>
      <c r="N26" s="164"/>
      <c r="O26" s="162"/>
      <c r="P26" s="162"/>
      <c r="Q26" s="164"/>
      <c r="S26" s="162"/>
      <c r="T26" s="164">
        <f t="shared" si="0"/>
        <v>0</v>
      </c>
    </row>
    <row r="27" spans="2:20">
      <c r="C27" s="164"/>
      <c r="D27" s="164"/>
      <c r="E27" s="164"/>
      <c r="F27" s="164"/>
      <c r="G27" s="164"/>
      <c r="H27" s="164"/>
      <c r="I27" s="164"/>
      <c r="J27" s="164"/>
      <c r="K27" s="164"/>
      <c r="L27" s="164"/>
      <c r="M27" s="164"/>
      <c r="N27" s="164"/>
      <c r="O27" s="162"/>
      <c r="P27" s="162"/>
      <c r="Q27" s="164"/>
      <c r="S27" s="162"/>
      <c r="T27" s="164">
        <f t="shared" si="0"/>
        <v>0</v>
      </c>
    </row>
    <row r="28" spans="2:20">
      <c r="C28" s="164"/>
      <c r="D28" s="164"/>
      <c r="E28" s="164"/>
      <c r="F28" s="164"/>
      <c r="G28" s="164"/>
      <c r="H28" s="164"/>
      <c r="I28" s="164"/>
      <c r="J28" s="164"/>
      <c r="K28" s="164"/>
      <c r="L28" s="164"/>
      <c r="M28" s="164"/>
      <c r="N28" s="164"/>
      <c r="O28" s="162"/>
      <c r="P28" s="162"/>
      <c r="Q28" s="164"/>
      <c r="S28" s="162"/>
      <c r="T28" s="164">
        <f t="shared" si="0"/>
        <v>0</v>
      </c>
    </row>
    <row r="29" spans="2:20">
      <c r="C29" s="164"/>
      <c r="D29" s="164"/>
      <c r="E29" s="164"/>
      <c r="F29" s="164"/>
      <c r="G29" s="164"/>
      <c r="H29" s="164"/>
      <c r="I29" s="164"/>
      <c r="J29" s="164"/>
      <c r="K29" s="164"/>
      <c r="L29" s="164"/>
      <c r="M29" s="164"/>
      <c r="N29" s="164"/>
      <c r="Q29" s="164"/>
      <c r="S29" s="162"/>
      <c r="T29" s="164">
        <f t="shared" si="0"/>
        <v>0</v>
      </c>
    </row>
    <row r="30" spans="2:20">
      <c r="B30" s="169" t="s">
        <v>486</v>
      </c>
      <c r="C30" s="170"/>
      <c r="D30" s="170"/>
      <c r="E30" s="170"/>
      <c r="F30" s="170"/>
      <c r="G30" s="531">
        <f>'B&amp;A Surcharges'!U55</f>
        <v>67368.009999997448</v>
      </c>
      <c r="L30" s="170"/>
      <c r="M30" s="170"/>
      <c r="N30" s="170"/>
      <c r="O30" s="170"/>
      <c r="P30" s="170"/>
      <c r="Q30" s="164">
        <f>VLOOKUP(B7,'B&amp;A Surcharges'!A:U,21,FALSE)</f>
        <v>67368.009999997448</v>
      </c>
      <c r="S30" s="162"/>
      <c r="T30" s="164">
        <f>Q30</f>
        <v>67368.009999997448</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7921976.209999999</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-82990.39</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172949.28745599996</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1455387.07</v>
      </c>
      <c r="H42" s="164"/>
      <c r="I42" s="164"/>
      <c r="J42" s="164"/>
      <c r="K42" s="164"/>
      <c r="L42" s="164">
        <f>VLOOKUP(B7,'Envir FGD adj'!A:F,6,FALSE)</f>
        <v>-937902.01704908442</v>
      </c>
      <c r="M42" s="164"/>
      <c r="N42" s="164"/>
      <c r="Q42" s="164">
        <f t="shared" ref="Q42" si="2">L42+M42+N42+O42</f>
        <v>-937902.01704908442</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1237356.2830058064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1506759.8199999998</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472</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-2049618.4999999998</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SUM(G13:G50)</f>
        <v>37077245.945861794</v>
      </c>
      <c r="L53" s="168">
        <f t="shared" ref="L53:P53" si="3">SUM(L13:L50)</f>
        <v>-937902.01704908442</v>
      </c>
      <c r="M53" s="168">
        <f t="shared" si="3"/>
        <v>0</v>
      </c>
      <c r="N53" s="168">
        <f t="shared" si="3"/>
        <v>0</v>
      </c>
      <c r="O53" s="539">
        <f t="shared" si="3"/>
        <v>1830892.7881627118</v>
      </c>
      <c r="P53" s="539">
        <f t="shared" si="3"/>
        <v>0</v>
      </c>
      <c r="Q53" s="168">
        <f>SUM(Q13:Q50)</f>
        <v>27807944.936513621</v>
      </c>
      <c r="T53" s="168">
        <f>SUM(T13:T50)</f>
        <v>31136722.08262898</v>
      </c>
    </row>
    <row r="54" spans="2:20">
      <c r="G54" s="532"/>
      <c r="H54" s="532"/>
      <c r="I54" s="532"/>
      <c r="J54" s="532"/>
      <c r="K54" s="532"/>
      <c r="L54" s="158"/>
      <c r="M54" s="158"/>
      <c r="Q54" s="531"/>
    </row>
    <row r="55" spans="2:20">
      <c r="G55" s="186"/>
      <c r="H55" s="186"/>
      <c r="I55" s="186"/>
      <c r="J55" s="186"/>
      <c r="K55" s="186"/>
      <c r="L55" s="186"/>
      <c r="M55" s="158"/>
    </row>
    <row r="56" spans="2:20">
      <c r="C56" s="532"/>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2:Y62"/>
  <sheetViews>
    <sheetView zoomScale="110" zoomScaleNormal="11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5" style="150" customWidth="1"/>
    <col min="15" max="16" width="15" style="164" customWidth="1"/>
    <col min="17" max="17" width="15" style="150" customWidth="1"/>
    <col min="18" max="18" width="4.28515625" style="150" customWidth="1"/>
    <col min="19" max="20" width="15" style="150" customWidth="1"/>
    <col min="21" max="23" width="9.140625" style="150"/>
    <col min="24" max="24" width="10.7109375" style="150" bestFit="1" customWidth="1"/>
    <col min="25"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503</v>
      </c>
    </row>
    <row r="7" spans="2:20">
      <c r="B7" s="150" t="s">
        <v>382</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Units'!L65-C25</f>
        <v>1606676071</v>
      </c>
      <c r="D13" s="164">
        <f>'Bill Units'!M65</f>
        <v>0</v>
      </c>
      <c r="E13" s="203">
        <f>'Rate Input'!L63</f>
        <v>2.6349999999999998E-2</v>
      </c>
      <c r="F13" s="203">
        <f>'Rate Input'!M63</f>
        <v>0</v>
      </c>
      <c r="G13" s="164">
        <f>(C13*E13)+(D13*F13)</f>
        <v>42335914.470849998</v>
      </c>
      <c r="H13" s="164">
        <f>VLOOKUP($B$7,WNLA!A:B,2,FALSE)*(SUM(C13:D13)/SUM(C13:D13))</f>
        <v>0</v>
      </c>
      <c r="I13" s="164">
        <f>VLOOKUP($B$7,'Monthly # of Customers'!A:R,18,FALSE)*SUM(C13:D13)</f>
        <v>-6062928.5698113209</v>
      </c>
      <c r="J13" s="514"/>
      <c r="K13" s="164">
        <f>C13+D13+H13+I13+J13</f>
        <v>1600613142.4301887</v>
      </c>
      <c r="L13" s="164"/>
      <c r="M13" s="164"/>
      <c r="N13" s="164">
        <f>H13*F13</f>
        <v>0</v>
      </c>
      <c r="O13" s="162">
        <f>I13*E13</f>
        <v>-159758.16781452831</v>
      </c>
      <c r="P13" s="162">
        <f>J13*F13</f>
        <v>0</v>
      </c>
      <c r="Q13" s="164">
        <f>G13+L13+M13+N13+O13+P13</f>
        <v>42176156.303035468</v>
      </c>
      <c r="S13" s="203">
        <f>'Proposed Rates'!C71</f>
        <v>3.0179999999999998E-2</v>
      </c>
      <c r="T13" s="164">
        <f>S13*K13</f>
        <v>48306504.638543092</v>
      </c>
    </row>
    <row r="14" spans="2:20">
      <c r="B14" s="538" t="s">
        <v>20</v>
      </c>
      <c r="C14" s="164"/>
      <c r="D14" s="164"/>
      <c r="E14" s="203"/>
      <c r="F14" s="203"/>
      <c r="G14" s="164"/>
      <c r="H14" s="164"/>
      <c r="I14" s="164"/>
      <c r="J14" s="162"/>
      <c r="K14" s="164"/>
      <c r="L14" s="164"/>
      <c r="M14" s="164"/>
      <c r="N14" s="164"/>
      <c r="O14" s="162"/>
      <c r="P14" s="162"/>
      <c r="Q14" s="164"/>
      <c r="S14" s="203"/>
      <c r="T14" s="164">
        <f t="shared" ref="T14:T30" si="0">S14*K14</f>
        <v>0</v>
      </c>
    </row>
    <row r="15" spans="2:20">
      <c r="B15" s="538" t="s">
        <v>24</v>
      </c>
      <c r="C15" s="164">
        <f>'Bill Units'!L67</f>
        <v>2555957</v>
      </c>
      <c r="D15" s="164">
        <f>'Bill Units'!M67</f>
        <v>0</v>
      </c>
      <c r="E15" s="162">
        <f>'Rate Input'!L65</f>
        <v>16.329999999999998</v>
      </c>
      <c r="F15" s="162">
        <f>'Rate Input'!M65</f>
        <v>0</v>
      </c>
      <c r="G15" s="164">
        <f>(C15*E15)+(D15*F15)</f>
        <v>41738777.809999995</v>
      </c>
      <c r="H15" s="164"/>
      <c r="I15" s="164">
        <f>VLOOKUP($B$7,'Monthly # of Customers'!A:R,18,FALSE)*SUM(C15:D15)</f>
        <v>-9645.1207547169815</v>
      </c>
      <c r="J15" s="164"/>
      <c r="K15" s="164">
        <f>C15+D15+H15+I15+J15</f>
        <v>2546311.8792452831</v>
      </c>
      <c r="L15" s="164"/>
      <c r="M15" s="164"/>
      <c r="N15" s="164">
        <f>H15*F15</f>
        <v>0</v>
      </c>
      <c r="O15" s="162">
        <f t="shared" ref="O15:P17" si="1">I15*E15</f>
        <v>-157504.82192452828</v>
      </c>
      <c r="P15" s="162">
        <f t="shared" si="1"/>
        <v>0</v>
      </c>
      <c r="Q15" s="164">
        <f>G15+L15+M15+N15+O15+P15</f>
        <v>41581272.988075465</v>
      </c>
      <c r="S15" s="162">
        <f>'Proposed Rates'!D72</f>
        <v>17.89</v>
      </c>
      <c r="T15" s="164">
        <f t="shared" si="0"/>
        <v>45553519.519698113</v>
      </c>
    </row>
    <row r="16" spans="2:20">
      <c r="B16" s="150" t="s">
        <v>44</v>
      </c>
      <c r="C16" s="164">
        <f>'Bill Units'!L68</f>
        <v>2542082</v>
      </c>
      <c r="D16" s="164">
        <f>'Bill Units'!M68</f>
        <v>0</v>
      </c>
      <c r="E16" s="162">
        <f>'Rate Input'!L66</f>
        <v>1.76</v>
      </c>
      <c r="F16" s="162">
        <f>'Rate Input'!M66</f>
        <v>0</v>
      </c>
      <c r="G16" s="164">
        <f>(C16*E16)+(D16*F16)</f>
        <v>4474064.32</v>
      </c>
      <c r="H16" s="162"/>
      <c r="I16" s="164">
        <f>VLOOKUP($B$7,'Monthly # of Customers'!A:R,18,FALSE)*SUM(C16:D16)</f>
        <v>-9592.7622641509442</v>
      </c>
      <c r="J16" s="164"/>
      <c r="K16" s="164">
        <f>C16+D16+H16+I16+J16</f>
        <v>2532489.2377358489</v>
      </c>
      <c r="L16" s="164"/>
      <c r="M16" s="164"/>
      <c r="N16" s="164">
        <f>H16*F16</f>
        <v>0</v>
      </c>
      <c r="O16" s="162">
        <f t="shared" si="1"/>
        <v>-16883.261584905664</v>
      </c>
      <c r="P16" s="162">
        <f t="shared" si="1"/>
        <v>0</v>
      </c>
      <c r="Q16" s="164">
        <f>G16+L16+M16+N16+O16+P16</f>
        <v>4457181.0584150944</v>
      </c>
      <c r="S16" s="162">
        <f>'Proposed Rates'!D73</f>
        <v>1.75</v>
      </c>
      <c r="T16" s="164">
        <f t="shared" si="0"/>
        <v>4431856.1660377355</v>
      </c>
    </row>
    <row r="17" spans="2:25">
      <c r="B17" s="150" t="s">
        <v>45</v>
      </c>
      <c r="C17" s="164">
        <f>'Bill Units'!L69</f>
        <v>188191</v>
      </c>
      <c r="D17" s="164">
        <f>'Bill Units'!M69</f>
        <v>0</v>
      </c>
      <c r="E17" s="162">
        <f>'Rate Input'!L67</f>
        <v>19.170000000000002</v>
      </c>
      <c r="F17" s="162">
        <f>'Rate Input'!M67</f>
        <v>0</v>
      </c>
      <c r="G17" s="164">
        <f>(C17*E17)+(D17*F17)</f>
        <v>3607621.47</v>
      </c>
      <c r="H17" s="164"/>
      <c r="I17" s="164">
        <f>VLOOKUP($B$7,'Monthly # of Customers'!A:R,18,FALSE)*SUM(C17:D17)</f>
        <v>-710.15471698113208</v>
      </c>
      <c r="J17" s="164"/>
      <c r="K17" s="164">
        <f>C17+D17+H17+I17+J17</f>
        <v>187480.84528301886</v>
      </c>
      <c r="L17" s="164"/>
      <c r="M17" s="164"/>
      <c r="N17" s="164">
        <f>H17*F17</f>
        <v>0</v>
      </c>
      <c r="O17" s="162">
        <f t="shared" si="1"/>
        <v>-13613.665924528303</v>
      </c>
      <c r="P17" s="162">
        <f t="shared" si="1"/>
        <v>0</v>
      </c>
      <c r="Q17" s="164">
        <f>G17+L17+M17+N17+O17+P17</f>
        <v>3594007.8040754721</v>
      </c>
      <c r="S17" s="162">
        <f>'Proposed Rates'!D74</f>
        <v>16.64</v>
      </c>
      <c r="T17" s="164">
        <f t="shared" si="0"/>
        <v>3119681.265509434</v>
      </c>
    </row>
    <row r="18" spans="2:25">
      <c r="C18" s="164"/>
      <c r="D18" s="164"/>
      <c r="E18" s="162"/>
      <c r="F18" s="162"/>
      <c r="G18" s="164"/>
      <c r="H18" s="164"/>
      <c r="I18" s="164"/>
      <c r="J18" s="164"/>
      <c r="K18" s="164"/>
      <c r="L18" s="164"/>
      <c r="M18" s="164"/>
      <c r="N18" s="164"/>
      <c r="O18" s="162"/>
      <c r="P18" s="162"/>
      <c r="Q18" s="164"/>
      <c r="S18" s="274"/>
      <c r="T18" s="164">
        <f t="shared" si="0"/>
        <v>0</v>
      </c>
    </row>
    <row r="19" spans="2:25">
      <c r="B19" s="150" t="s">
        <v>342</v>
      </c>
      <c r="C19" s="164">
        <f>'Bill Units'!L70</f>
        <v>183161</v>
      </c>
      <c r="D19" s="164">
        <f>'Bill Units'!M70</f>
        <v>0</v>
      </c>
      <c r="E19" s="162">
        <f>'Rate Input'!L68</f>
        <v>0.69</v>
      </c>
      <c r="F19" s="162">
        <f>'Rate Input'!M68</f>
        <v>0</v>
      </c>
      <c r="G19" s="164">
        <f>(C19*E19)+(D19*F19)</f>
        <v>126381.09</v>
      </c>
      <c r="H19" s="164"/>
      <c r="I19" s="164">
        <f>VLOOKUP($B$7,'Monthly # of Customers'!A:R,18,FALSE)*SUM(C19:D19)</f>
        <v>-691.17358490566039</v>
      </c>
      <c r="J19" s="164"/>
      <c r="K19" s="164">
        <f>C19+D19+H19+I19+J19</f>
        <v>182469.82641509434</v>
      </c>
      <c r="L19" s="164"/>
      <c r="M19" s="164"/>
      <c r="N19" s="164">
        <f>H19*F19</f>
        <v>0</v>
      </c>
      <c r="O19" s="162">
        <f>I19*E19</f>
        <v>-476.90977358490562</v>
      </c>
      <c r="P19" s="162">
        <f>J19*F19</f>
        <v>0</v>
      </c>
      <c r="Q19" s="164">
        <f>G19+L19+M19+N19+O19+P19</f>
        <v>125904.18022641509</v>
      </c>
      <c r="S19" s="162">
        <f>'Proposed Rates'!E71</f>
        <v>0.69</v>
      </c>
      <c r="T19" s="164">
        <f t="shared" si="0"/>
        <v>125904.18022641509</v>
      </c>
    </row>
    <row r="20" spans="2:25">
      <c r="C20" s="164"/>
      <c r="D20" s="164"/>
      <c r="E20" s="162"/>
      <c r="F20" s="162"/>
      <c r="G20" s="164"/>
      <c r="H20" s="164"/>
      <c r="I20" s="164"/>
      <c r="J20" s="164"/>
      <c r="K20" s="164"/>
      <c r="L20" s="164"/>
      <c r="M20" s="164"/>
      <c r="N20" s="164"/>
      <c r="O20" s="162"/>
      <c r="P20" s="162"/>
      <c r="Q20" s="164"/>
      <c r="S20" s="162"/>
      <c r="T20" s="164">
        <f t="shared" si="0"/>
        <v>0</v>
      </c>
    </row>
    <row r="21" spans="2:25">
      <c r="B21" s="150" t="s">
        <v>12</v>
      </c>
      <c r="C21" s="164">
        <f>'Bill Units'!L71</f>
        <v>265</v>
      </c>
      <c r="D21" s="164">
        <f>'Bill Units'!M71</f>
        <v>0</v>
      </c>
      <c r="E21" s="162">
        <f>'Rate Input'!L69</f>
        <v>794</v>
      </c>
      <c r="F21" s="162">
        <f>'Rate Input'!M69</f>
        <v>0</v>
      </c>
      <c r="G21" s="164">
        <f>(C21*E21)+(D21*F21)</f>
        <v>210410</v>
      </c>
      <c r="H21" s="164"/>
      <c r="I21" s="164">
        <f>VLOOKUP($B$7,'Monthly # of Customers'!A:R,18,FALSE)*SUM(C21:D21)</f>
        <v>-1</v>
      </c>
      <c r="J21" s="164"/>
      <c r="K21" s="164">
        <f>C21+D21+H21+I21+J21</f>
        <v>264</v>
      </c>
      <c r="L21" s="164"/>
      <c r="M21" s="164"/>
      <c r="N21" s="164">
        <f>H21*F21</f>
        <v>0</v>
      </c>
      <c r="O21" s="162">
        <f>I21*E21</f>
        <v>-794</v>
      </c>
      <c r="P21" s="162">
        <f>J21*F21</f>
        <v>0</v>
      </c>
      <c r="Q21" s="164">
        <f>G21+L21+M21+N21+O21+P21</f>
        <v>209616</v>
      </c>
      <c r="S21" s="162">
        <f>'Proposed Rates'!B71</f>
        <v>794</v>
      </c>
      <c r="T21" s="164">
        <f t="shared" si="0"/>
        <v>209616</v>
      </c>
    </row>
    <row r="22" spans="2:25">
      <c r="C22" s="164"/>
      <c r="D22" s="164"/>
      <c r="E22" s="162"/>
      <c r="F22" s="162"/>
      <c r="G22" s="164"/>
      <c r="H22" s="164"/>
      <c r="I22" s="164"/>
      <c r="J22" s="164"/>
      <c r="K22" s="164"/>
      <c r="L22" s="164"/>
      <c r="M22" s="164"/>
      <c r="N22" s="164"/>
      <c r="O22" s="162"/>
      <c r="P22" s="162"/>
      <c r="Q22" s="164"/>
      <c r="S22" s="162"/>
      <c r="T22" s="164">
        <f t="shared" si="0"/>
        <v>0</v>
      </c>
    </row>
    <row r="23" spans="2:25">
      <c r="B23" s="150" t="s">
        <v>343</v>
      </c>
      <c r="C23" s="164">
        <f>'Bill Units'!L72</f>
        <v>164630</v>
      </c>
      <c r="D23" s="164">
        <f>'Bill Units'!M72</f>
        <v>0</v>
      </c>
      <c r="E23" s="162">
        <f>'Rate Input'!L70</f>
        <v>-3.68</v>
      </c>
      <c r="F23" s="162">
        <f>'Rate Input'!M70</f>
        <v>0</v>
      </c>
      <c r="G23" s="164">
        <f>(C23*E23)+(D23*F23)</f>
        <v>-605838.4</v>
      </c>
      <c r="H23" s="164"/>
      <c r="I23" s="164">
        <f>VLOOKUP($B$7,'Monthly # of Customers'!A:R,18,FALSE)*SUM(C23:D23)</f>
        <v>-621.24528301886789</v>
      </c>
      <c r="J23" s="164"/>
      <c r="K23" s="164">
        <f>C23+D23+H23+I23+J23</f>
        <v>164008.75471698114</v>
      </c>
      <c r="L23" s="164"/>
      <c r="M23" s="164"/>
      <c r="N23" s="164">
        <f>H23*F23</f>
        <v>0</v>
      </c>
      <c r="O23" s="162">
        <f>I23*E23</f>
        <v>2286.1826415094338</v>
      </c>
      <c r="P23" s="162">
        <f>J23*F23</f>
        <v>0</v>
      </c>
      <c r="Q23" s="164">
        <f>G23+L23+M23+N23+O23+P23</f>
        <v>-603552.21735849057</v>
      </c>
      <c r="S23" s="162">
        <f>E23</f>
        <v>-3.68</v>
      </c>
      <c r="T23" s="164">
        <f>S23*K23</f>
        <v>-603552.21735849069</v>
      </c>
    </row>
    <row r="24" spans="2:25">
      <c r="S24" s="162"/>
      <c r="T24" s="164">
        <f t="shared" si="0"/>
        <v>0</v>
      </c>
    </row>
    <row r="25" spans="2:25">
      <c r="B25" s="150" t="s">
        <v>822</v>
      </c>
      <c r="C25" s="164">
        <v>135552000</v>
      </c>
      <c r="D25" s="164"/>
      <c r="E25" s="164"/>
      <c r="F25" s="164"/>
      <c r="G25" s="164">
        <f>6736684-4105268.123</f>
        <v>2631415.8769999999</v>
      </c>
      <c r="H25" s="164"/>
      <c r="I25" s="164"/>
      <c r="J25" s="164"/>
      <c r="K25" s="164">
        <f>C25</f>
        <v>135552000</v>
      </c>
      <c r="L25" s="164"/>
      <c r="M25" s="164"/>
      <c r="N25" s="164"/>
      <c r="O25" s="162"/>
      <c r="P25" s="162"/>
      <c r="Q25" s="164">
        <f>G25+L25+M25+N25+O25+P25</f>
        <v>2631415.8769999999</v>
      </c>
      <c r="S25" s="162"/>
      <c r="T25" s="164">
        <f>Q25+61314.54</f>
        <v>2692730.4169999999</v>
      </c>
      <c r="X25" s="542"/>
      <c r="Y25" s="542"/>
    </row>
    <row r="26" spans="2:25">
      <c r="C26" s="164"/>
      <c r="D26" s="164"/>
      <c r="E26" s="164"/>
      <c r="F26" s="164"/>
      <c r="G26" s="164"/>
      <c r="H26" s="164"/>
      <c r="I26" s="164"/>
      <c r="J26" s="164"/>
      <c r="K26" s="164"/>
      <c r="L26" s="164"/>
      <c r="M26" s="164"/>
      <c r="N26" s="164"/>
      <c r="O26" s="162"/>
      <c r="P26" s="162"/>
      <c r="Q26" s="164"/>
      <c r="S26" s="162"/>
      <c r="T26" s="164">
        <f t="shared" si="0"/>
        <v>0</v>
      </c>
    </row>
    <row r="27" spans="2:25">
      <c r="B27" s="150" t="s">
        <v>823</v>
      </c>
      <c r="C27" s="164"/>
      <c r="D27" s="164"/>
      <c r="E27" s="164"/>
      <c r="F27" s="164"/>
      <c r="G27" s="164">
        <f>-2649163.78</f>
        <v>-2649163.7799999998</v>
      </c>
      <c r="H27" s="164"/>
      <c r="I27" s="164"/>
      <c r="J27" s="164"/>
      <c r="K27" s="164"/>
      <c r="L27" s="164"/>
      <c r="M27" s="164"/>
      <c r="N27" s="164"/>
      <c r="O27" s="162"/>
      <c r="P27" s="162"/>
      <c r="Q27" s="164">
        <f>G27+L27+M27+N27+O27+P27</f>
        <v>-2649163.7799999998</v>
      </c>
      <c r="S27" s="162"/>
      <c r="T27" s="164">
        <f>Q27</f>
        <v>-2649163.7799999998</v>
      </c>
    </row>
    <row r="28" spans="2:25">
      <c r="C28" s="164"/>
      <c r="D28" s="164"/>
      <c r="E28" s="164"/>
      <c r="F28" s="164"/>
      <c r="G28" s="164"/>
      <c r="H28" s="164"/>
      <c r="I28" s="164"/>
      <c r="J28" s="164"/>
      <c r="K28" s="164"/>
      <c r="L28" s="164"/>
      <c r="M28" s="164"/>
      <c r="N28" s="164"/>
      <c r="O28" s="162"/>
      <c r="P28" s="162"/>
      <c r="Q28" s="164"/>
      <c r="S28" s="162"/>
      <c r="T28" s="164">
        <f t="shared" si="0"/>
        <v>0</v>
      </c>
    </row>
    <row r="29" spans="2:25">
      <c r="B29" s="150" t="s">
        <v>828</v>
      </c>
      <c r="C29" s="164"/>
      <c r="D29" s="164"/>
      <c r="E29" s="164"/>
      <c r="F29" s="164"/>
      <c r="G29" s="164">
        <v>-123018.5</v>
      </c>
      <c r="H29" s="164"/>
      <c r="I29" s="164"/>
      <c r="J29" s="164"/>
      <c r="K29" s="164"/>
      <c r="L29" s="164"/>
      <c r="M29" s="164"/>
      <c r="N29" s="164"/>
      <c r="O29" s="162"/>
      <c r="P29" s="162"/>
      <c r="Q29" s="164">
        <f>G29+L29+M29+N29+O29+P29</f>
        <v>-123018.5</v>
      </c>
      <c r="S29" s="162"/>
      <c r="T29" s="164">
        <f>Q29</f>
        <v>-123018.5</v>
      </c>
    </row>
    <row r="30" spans="2:25">
      <c r="C30" s="164"/>
      <c r="D30" s="164"/>
      <c r="E30" s="164"/>
      <c r="F30" s="164"/>
      <c r="G30" s="164"/>
      <c r="H30" s="164"/>
      <c r="I30" s="164"/>
      <c r="J30" s="164"/>
      <c r="K30" s="164"/>
      <c r="L30" s="164"/>
      <c r="M30" s="164"/>
      <c r="N30" s="164"/>
      <c r="Q30" s="164"/>
      <c r="S30" s="162"/>
      <c r="T30" s="164">
        <f t="shared" si="0"/>
        <v>0</v>
      </c>
    </row>
    <row r="31" spans="2:25">
      <c r="B31" s="169" t="s">
        <v>486</v>
      </c>
      <c r="C31" s="170"/>
      <c r="D31" s="170"/>
      <c r="E31" s="170"/>
      <c r="F31" s="170"/>
      <c r="G31" s="531">
        <f>'B&amp;A Surcharges'!U57</f>
        <v>74350.299999990501</v>
      </c>
      <c r="L31" s="170"/>
      <c r="M31" s="170"/>
      <c r="N31" s="170"/>
      <c r="O31" s="170"/>
      <c r="P31" s="170"/>
      <c r="Q31" s="164">
        <f>VLOOKUP(B7,'B&amp;A Surcharges'!A:U,21,FALSE)</f>
        <v>74350.299999990501</v>
      </c>
      <c r="S31" s="162"/>
      <c r="T31" s="164">
        <f>Q31</f>
        <v>74350.299999990501</v>
      </c>
    </row>
    <row r="32" spans="2:25">
      <c r="C32" s="164"/>
      <c r="D32" s="164"/>
      <c r="E32" s="164"/>
      <c r="F32" s="164"/>
      <c r="G32" s="164"/>
      <c r="H32" s="164"/>
      <c r="I32" s="164"/>
      <c r="J32" s="164"/>
      <c r="K32" s="164"/>
      <c r="L32" s="164"/>
      <c r="M32" s="164"/>
      <c r="N32" s="164"/>
      <c r="Q32" s="164"/>
      <c r="S32" s="162"/>
      <c r="T32" s="164"/>
    </row>
    <row r="33" spans="2:20">
      <c r="B33" s="150" t="s">
        <v>14</v>
      </c>
      <c r="C33" s="164"/>
      <c r="D33" s="164"/>
      <c r="E33" s="164"/>
      <c r="F33" s="164"/>
      <c r="G33" s="164">
        <f>VLOOKUP(B7,'B&amp;A Surcharges'!A:U,2,FALSE)</f>
        <v>45549882.919999994</v>
      </c>
      <c r="H33" s="164"/>
      <c r="I33" s="164"/>
      <c r="J33" s="164"/>
      <c r="K33" s="164"/>
      <c r="L33" s="164"/>
      <c r="M33" s="164"/>
      <c r="N33" s="164"/>
      <c r="Q33" s="164"/>
      <c r="S33" s="162"/>
      <c r="T33" s="164"/>
    </row>
    <row r="34" spans="2:20">
      <c r="C34" s="164"/>
      <c r="D34" s="164"/>
      <c r="E34" s="164"/>
      <c r="F34" s="164"/>
      <c r="G34" s="164"/>
      <c r="H34" s="164"/>
      <c r="I34" s="164"/>
      <c r="J34" s="164"/>
      <c r="K34" s="164"/>
      <c r="L34" s="164"/>
      <c r="M34" s="164"/>
      <c r="N34" s="164"/>
      <c r="Q34" s="164"/>
      <c r="S34" s="162"/>
      <c r="T34" s="164"/>
    </row>
    <row r="35" spans="2:20">
      <c r="B35" s="150" t="s">
        <v>208</v>
      </c>
      <c r="C35" s="164"/>
      <c r="D35" s="164"/>
      <c r="E35" s="164"/>
      <c r="F35" s="164"/>
      <c r="G35" s="164">
        <f>VLOOKUP(B7,'B&amp;A Surcharges'!A:U,16,FALSE)</f>
        <v>0</v>
      </c>
      <c r="H35" s="164"/>
      <c r="I35" s="164"/>
      <c r="J35" s="164"/>
      <c r="K35" s="164"/>
      <c r="L35" s="164"/>
      <c r="M35" s="164"/>
      <c r="N35" s="164"/>
      <c r="Q35" s="164"/>
      <c r="S35" s="162"/>
      <c r="T35" s="164"/>
    </row>
    <row r="36" spans="2:20">
      <c r="C36" s="164"/>
      <c r="D36" s="164"/>
      <c r="E36" s="164"/>
      <c r="F36" s="164"/>
      <c r="G36" s="164"/>
      <c r="H36" s="164"/>
      <c r="I36" s="164"/>
      <c r="J36" s="164"/>
      <c r="K36" s="164"/>
      <c r="L36" s="164"/>
      <c r="M36" s="164"/>
      <c r="N36" s="164"/>
      <c r="Q36" s="164"/>
      <c r="S36" s="162"/>
      <c r="T36" s="164"/>
    </row>
    <row r="37" spans="2:20">
      <c r="B37" s="150" t="s">
        <v>16</v>
      </c>
      <c r="C37" s="164"/>
      <c r="D37" s="164"/>
      <c r="E37" s="164"/>
      <c r="F37" s="164"/>
      <c r="G37" s="164">
        <f>VLOOKUP(B7,'B&amp;A Surcharges'!A:U,4,FALSE)</f>
        <v>-448380.83000000007</v>
      </c>
      <c r="H37" s="164"/>
      <c r="I37" s="164"/>
      <c r="J37" s="164"/>
      <c r="K37" s="164"/>
      <c r="L37" s="164"/>
      <c r="M37" s="164"/>
      <c r="N37" s="164"/>
      <c r="Q37" s="164"/>
      <c r="S37" s="162"/>
      <c r="T37" s="164"/>
    </row>
    <row r="38" spans="2:20">
      <c r="C38" s="164"/>
      <c r="D38" s="164"/>
      <c r="E38" s="164"/>
      <c r="F38" s="164"/>
      <c r="G38" s="164"/>
      <c r="H38" s="164"/>
      <c r="I38" s="164"/>
      <c r="J38" s="164"/>
      <c r="K38" s="164"/>
      <c r="L38" s="164"/>
      <c r="M38" s="164"/>
      <c r="N38" s="164"/>
      <c r="Q38" s="164"/>
      <c r="T38" s="164"/>
    </row>
    <row r="39" spans="2:20">
      <c r="B39" s="150" t="s">
        <v>161</v>
      </c>
      <c r="C39" s="164"/>
      <c r="D39" s="164"/>
      <c r="E39" s="164"/>
      <c r="F39" s="164"/>
      <c r="G39" s="164">
        <f>VLOOKUP(B7,'B&amp;A Surcharges'!A:U,6,FALSE)</f>
        <v>974063.31677677436</v>
      </c>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C42" s="164"/>
      <c r="D42" s="164"/>
      <c r="E42" s="164"/>
      <c r="F42" s="164"/>
      <c r="G42" s="164"/>
      <c r="H42" s="164"/>
      <c r="I42" s="164"/>
      <c r="J42" s="164"/>
      <c r="K42" s="164"/>
      <c r="L42" s="164"/>
      <c r="M42" s="164"/>
      <c r="N42" s="164"/>
      <c r="Q42" s="164"/>
      <c r="T42" s="164"/>
    </row>
    <row r="43" spans="2:20">
      <c r="B43" s="150" t="s">
        <v>15</v>
      </c>
      <c r="C43" s="164"/>
      <c r="D43" s="164"/>
      <c r="E43" s="164"/>
      <c r="F43" s="164"/>
      <c r="G43" s="164">
        <f>VLOOKUP(B7,'B&amp;A Surcharges'!A:U,10,FALSE)</f>
        <v>3325642.3099999996</v>
      </c>
      <c r="H43" s="164"/>
      <c r="I43" s="164"/>
      <c r="J43" s="164"/>
      <c r="K43" s="164"/>
      <c r="L43" s="164">
        <f>VLOOKUP(B7,'Envir FGD adj'!A:F,6,FALSE)</f>
        <v>-2143159.5036314125</v>
      </c>
      <c r="M43" s="164"/>
      <c r="N43" s="164"/>
      <c r="Q43" s="164">
        <f t="shared" ref="Q43" si="2">L43+M43+N43+O43</f>
        <v>-2143159.5036314125</v>
      </c>
      <c r="T43" s="164"/>
    </row>
    <row r="44" spans="2:20">
      <c r="C44" s="164"/>
      <c r="D44" s="164"/>
      <c r="E44" s="164"/>
      <c r="F44" s="164"/>
      <c r="G44" s="164"/>
      <c r="H44" s="164"/>
      <c r="I44" s="164"/>
      <c r="J44" s="164"/>
      <c r="K44" s="164"/>
      <c r="L44" s="164"/>
      <c r="M44" s="164"/>
      <c r="N44" s="164"/>
      <c r="Q44" s="164"/>
      <c r="T44" s="164"/>
    </row>
    <row r="45" spans="2:20">
      <c r="B45" s="150" t="s">
        <v>265</v>
      </c>
      <c r="C45" s="164"/>
      <c r="D45" s="164"/>
      <c r="E45" s="164"/>
      <c r="F45" s="164"/>
      <c r="G45" s="164">
        <f>VLOOKUP(B7,'B&amp;A Surcharges'!A:U,12,FALSE)</f>
        <v>4822777.8975935476</v>
      </c>
      <c r="H45" s="164"/>
      <c r="I45" s="164"/>
      <c r="J45" s="164"/>
      <c r="K45" s="164"/>
      <c r="L45" s="164"/>
      <c r="M45" s="164"/>
      <c r="N45" s="164"/>
      <c r="Q45" s="164"/>
      <c r="T45" s="164"/>
    </row>
    <row r="46" spans="2:20">
      <c r="C46" s="164"/>
      <c r="D46" s="164"/>
      <c r="E46" s="164"/>
      <c r="F46" s="164"/>
      <c r="G46" s="164"/>
      <c r="H46" s="164"/>
      <c r="I46" s="164"/>
      <c r="J46" s="164"/>
      <c r="K46" s="164"/>
      <c r="L46" s="164"/>
      <c r="M46" s="164"/>
      <c r="N46" s="164"/>
      <c r="Q46" s="164"/>
      <c r="T46" s="164"/>
    </row>
    <row r="47" spans="2:20">
      <c r="B47" s="150" t="s">
        <v>329</v>
      </c>
      <c r="C47" s="164"/>
      <c r="D47" s="164"/>
      <c r="E47" s="164"/>
      <c r="F47" s="164"/>
      <c r="G47" s="164">
        <f>VLOOKUP(B7,'B&amp;A Surcharges'!A:U,14,FALSE)</f>
        <v>3421371.04</v>
      </c>
      <c r="H47" s="164"/>
      <c r="I47" s="164"/>
      <c r="J47" s="164"/>
      <c r="K47" s="164"/>
      <c r="L47" s="164"/>
      <c r="M47" s="164"/>
      <c r="N47" s="164"/>
      <c r="Q47" s="164"/>
      <c r="T47" s="164"/>
    </row>
    <row r="48" spans="2:20">
      <c r="C48" s="164"/>
      <c r="D48" s="164"/>
      <c r="E48" s="164"/>
      <c r="F48" s="164"/>
      <c r="G48" s="164"/>
      <c r="H48" s="164"/>
      <c r="I48" s="164"/>
      <c r="J48" s="164"/>
      <c r="K48" s="164"/>
      <c r="L48" s="164"/>
      <c r="M48" s="164"/>
      <c r="N48" s="164"/>
      <c r="Q48" s="164"/>
      <c r="T48" s="164"/>
    </row>
    <row r="49" spans="2:20">
      <c r="B49" s="150" t="s">
        <v>264</v>
      </c>
      <c r="C49" s="164"/>
      <c r="D49" s="164"/>
      <c r="E49" s="164"/>
      <c r="F49" s="164"/>
      <c r="G49" s="164">
        <f>VLOOKUP(B7,'B&amp;A Surcharges'!A:U,18,FALSE)</f>
        <v>253</v>
      </c>
      <c r="H49" s="164"/>
      <c r="I49" s="164"/>
      <c r="J49" s="164"/>
      <c r="K49" s="164"/>
      <c r="L49" s="164"/>
      <c r="M49" s="164"/>
      <c r="N49" s="164"/>
      <c r="Q49" s="164"/>
      <c r="T49" s="164"/>
    </row>
    <row r="50" spans="2:20">
      <c r="C50" s="164"/>
      <c r="D50" s="164"/>
      <c r="E50" s="164"/>
      <c r="F50" s="164"/>
      <c r="G50" s="164"/>
      <c r="H50" s="164"/>
      <c r="I50" s="164"/>
      <c r="J50" s="164"/>
      <c r="K50" s="164"/>
      <c r="L50" s="164"/>
      <c r="M50" s="164"/>
      <c r="N50" s="164"/>
      <c r="Q50" s="164"/>
      <c r="T50" s="164"/>
    </row>
    <row r="51" spans="2:20">
      <c r="B51" s="150" t="s">
        <v>346</v>
      </c>
      <c r="C51" s="164"/>
      <c r="D51" s="164"/>
      <c r="E51" s="164"/>
      <c r="F51" s="164"/>
      <c r="G51" s="164">
        <f>VLOOKUP(B7,'B&amp;A Surcharges'!A:U,19,FALSE)</f>
        <v>-10809588.389999999</v>
      </c>
      <c r="H51" s="164"/>
      <c r="I51" s="164"/>
      <c r="J51" s="164"/>
      <c r="K51" s="164"/>
      <c r="L51" s="164"/>
      <c r="M51" s="164"/>
      <c r="N51" s="164"/>
      <c r="Q51" s="164"/>
      <c r="T51" s="164"/>
    </row>
    <row r="52" spans="2:20">
      <c r="B52" s="157"/>
      <c r="C52" s="165"/>
      <c r="D52" s="165"/>
      <c r="E52" s="165"/>
      <c r="F52" s="165"/>
      <c r="G52" s="165"/>
      <c r="H52" s="165"/>
      <c r="I52" s="165"/>
      <c r="J52" s="165"/>
      <c r="K52" s="165"/>
      <c r="L52" s="165"/>
      <c r="M52" s="165"/>
      <c r="N52" s="165"/>
      <c r="O52" s="165"/>
      <c r="P52" s="165"/>
      <c r="Q52" s="165"/>
      <c r="T52" s="165"/>
    </row>
    <row r="54" spans="2:20" s="168" customFormat="1">
      <c r="B54" s="168" t="s">
        <v>17</v>
      </c>
      <c r="G54" s="168">
        <f>SUM(G13:G51)</f>
        <v>138656935.92222032</v>
      </c>
      <c r="L54" s="168">
        <f t="shared" ref="L54:Q54" si="3">SUM(L13:L51)</f>
        <v>-2143159.5036314125</v>
      </c>
      <c r="M54" s="168">
        <f t="shared" si="3"/>
        <v>0</v>
      </c>
      <c r="N54" s="168">
        <f t="shared" si="3"/>
        <v>0</v>
      </c>
      <c r="O54" s="539">
        <f t="shared" si="3"/>
        <v>-346744.64438056602</v>
      </c>
      <c r="P54" s="539">
        <f t="shared" si="3"/>
        <v>0</v>
      </c>
      <c r="Q54" s="168">
        <f t="shared" si="3"/>
        <v>89331010.509838015</v>
      </c>
      <c r="T54" s="168">
        <f>SUM(T13:T51)</f>
        <v>101138427.9896563</v>
      </c>
    </row>
    <row r="55" spans="2:20">
      <c r="G55" s="532"/>
      <c r="H55" s="532"/>
      <c r="I55" s="532"/>
      <c r="J55" s="532"/>
      <c r="K55" s="532"/>
      <c r="L55" s="158"/>
      <c r="M55" s="158"/>
      <c r="Q55" s="531"/>
    </row>
    <row r="56" spans="2:20">
      <c r="G56" s="186"/>
      <c r="H56" s="186"/>
      <c r="I56" s="186"/>
      <c r="J56" s="186"/>
      <c r="K56" s="186"/>
      <c r="L56" s="186"/>
      <c r="M56" s="158"/>
    </row>
    <row r="57" spans="2:20">
      <c r="G57" s="158"/>
      <c r="H57" s="158"/>
      <c r="I57" s="158"/>
      <c r="J57" s="158"/>
      <c r="K57" s="158"/>
      <c r="L57" s="158"/>
      <c r="M57" s="158"/>
    </row>
    <row r="58" spans="2:20">
      <c r="G58" s="160"/>
      <c r="H58" s="160"/>
      <c r="I58" s="160"/>
      <c r="J58" s="160"/>
      <c r="K58" s="160"/>
      <c r="L58" s="160"/>
      <c r="M58" s="160"/>
    </row>
    <row r="62" spans="2:20">
      <c r="G62" s="544"/>
    </row>
  </sheetData>
  <mergeCells count="2">
    <mergeCell ref="H8:J8"/>
    <mergeCell ref="L8:P8"/>
  </mergeCells>
  <pageMargins left="0.25" right="0.25" top="0.75" bottom="0.75" header="0.3" footer="0.3"/>
  <pageSetup paperSize="5" scale="1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T57"/>
  <sheetViews>
    <sheetView zoomScale="110" zoomScaleNormal="110" workbookViewId="0">
      <pane xSplit="2" ySplit="12" topLeftCell="G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3" width="12.85546875" style="150" customWidth="1"/>
    <col min="4" max="14" width="15" style="150" customWidth="1"/>
    <col min="15" max="16" width="15" style="164" customWidth="1"/>
    <col min="17" max="17" width="15" style="150" customWidth="1"/>
    <col min="18" max="18" width="4.28515625" style="150" customWidth="1"/>
    <col min="19" max="20" width="1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504</v>
      </c>
    </row>
    <row r="7" spans="2:20">
      <c r="B7" s="150" t="s">
        <v>383</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21</v>
      </c>
      <c r="C13" s="164">
        <f>'Bill Units'!P65</f>
        <v>245809083</v>
      </c>
      <c r="D13" s="164">
        <f>'Bill Units'!Q65</f>
        <v>0</v>
      </c>
      <c r="E13" s="203">
        <f>'Rate Input'!P63</f>
        <v>2.6120000000000001E-2</v>
      </c>
      <c r="F13" s="203">
        <f>'Rate Input'!Q63</f>
        <v>0</v>
      </c>
      <c r="G13" s="164">
        <f>(C13*E13)+(D13*F13)</f>
        <v>6420533.2479600003</v>
      </c>
      <c r="H13" s="164">
        <f>VLOOKUP($B$7,WNLA!A:B,2,FALSE)*(SUM(C13:D13)/SUM(C13:D13))</f>
        <v>0</v>
      </c>
      <c r="I13" s="164">
        <f>VLOOKUP($B$7,'Monthly # of Customers'!A:R,18,FALSE)*SUM(C13:D13)</f>
        <v>0</v>
      </c>
      <c r="J13" s="162"/>
      <c r="K13" s="164">
        <f>C13+D13+H13+I13+J13</f>
        <v>245809083</v>
      </c>
      <c r="L13" s="164"/>
      <c r="M13" s="164"/>
      <c r="N13" s="164">
        <f>H13*F13</f>
        <v>0</v>
      </c>
      <c r="O13" s="162">
        <f>I13*E13</f>
        <v>0</v>
      </c>
      <c r="P13" s="162">
        <f>J13*F13</f>
        <v>0</v>
      </c>
      <c r="Q13" s="164">
        <f>G13+L13+M13+N13+O13+P13</f>
        <v>6420533.2479600003</v>
      </c>
      <c r="S13" s="203">
        <f>'Proposed Rates'!C75</f>
        <v>2.981E-2</v>
      </c>
      <c r="T13" s="164">
        <f>S13*K13</f>
        <v>7327568.7642299999</v>
      </c>
    </row>
    <row r="14" spans="2:20">
      <c r="B14" s="538" t="s">
        <v>20</v>
      </c>
      <c r="C14" s="164"/>
      <c r="D14" s="164"/>
      <c r="E14" s="203"/>
      <c r="F14" s="203"/>
      <c r="G14" s="164"/>
      <c r="H14" s="164"/>
      <c r="I14" s="164"/>
      <c r="J14" s="162"/>
      <c r="K14" s="164"/>
      <c r="L14" s="164"/>
      <c r="M14" s="164"/>
      <c r="N14" s="164"/>
      <c r="O14" s="162"/>
      <c r="P14" s="162"/>
      <c r="Q14" s="164"/>
      <c r="S14" s="203"/>
      <c r="T14" s="164">
        <f t="shared" ref="T14:T29" si="0">S14*K14</f>
        <v>0</v>
      </c>
    </row>
    <row r="15" spans="2:20">
      <c r="B15" s="538" t="s">
        <v>24</v>
      </c>
      <c r="C15" s="164">
        <f>'Bill Units'!P67</f>
        <v>424787.00000000006</v>
      </c>
      <c r="D15" s="164">
        <f>'Bill Units'!Q67</f>
        <v>0</v>
      </c>
      <c r="E15" s="162">
        <f>'Rate Input'!P65</f>
        <v>16.079999999999998</v>
      </c>
      <c r="F15" s="162">
        <f>'Rate Input'!Q65</f>
        <v>0</v>
      </c>
      <c r="G15" s="164">
        <f>(C15*E15)+(D15*F15)</f>
        <v>6830574.96</v>
      </c>
      <c r="H15" s="164"/>
      <c r="I15" s="164">
        <f>VLOOKUP($B$7,'Monthly # of Customers'!A:R,18,FALSE)*SUM(C15:D15)</f>
        <v>0</v>
      </c>
      <c r="J15" s="164"/>
      <c r="K15" s="164">
        <f>C15+D15+H15+I15+J15</f>
        <v>424787.00000000006</v>
      </c>
      <c r="L15" s="164"/>
      <c r="M15" s="164"/>
      <c r="N15" s="164">
        <f>H15*F15</f>
        <v>0</v>
      </c>
      <c r="O15" s="162">
        <f t="shared" ref="O15:P17" si="1">I15*E15</f>
        <v>0</v>
      </c>
      <c r="P15" s="162">
        <f t="shared" si="1"/>
        <v>0</v>
      </c>
      <c r="Q15" s="164">
        <f>G15+L15+M15+N15+O15+P15</f>
        <v>6830574.96</v>
      </c>
      <c r="S15" s="162">
        <f>'Proposed Rates'!D76</f>
        <v>17.52</v>
      </c>
      <c r="T15" s="164">
        <f t="shared" si="0"/>
        <v>7442268.2400000012</v>
      </c>
    </row>
    <row r="16" spans="2:20">
      <c r="B16" s="150" t="s">
        <v>44</v>
      </c>
      <c r="C16" s="164">
        <f>'Bill Units'!P68</f>
        <v>417408</v>
      </c>
      <c r="D16" s="164">
        <f>'Bill Units'!Q68</f>
        <v>0</v>
      </c>
      <c r="E16" s="162">
        <f>'Rate Input'!P66</f>
        <v>1.75</v>
      </c>
      <c r="F16" s="162">
        <f>'Rate Input'!Q66</f>
        <v>0</v>
      </c>
      <c r="G16" s="164">
        <f>(C16*E16)+(D16*F16)</f>
        <v>730464</v>
      </c>
      <c r="H16" s="162"/>
      <c r="I16" s="164">
        <f>VLOOKUP($B$7,'Monthly # of Customers'!A:R,18,FALSE)*SUM(C16:D16)</f>
        <v>0</v>
      </c>
      <c r="J16" s="164"/>
      <c r="K16" s="164">
        <f>C16+D16+H16+I16+J16</f>
        <v>417408</v>
      </c>
      <c r="L16" s="164"/>
      <c r="M16" s="164"/>
      <c r="N16" s="164">
        <f>H16*F16</f>
        <v>0</v>
      </c>
      <c r="O16" s="162">
        <f t="shared" si="1"/>
        <v>0</v>
      </c>
      <c r="P16" s="162">
        <f t="shared" si="1"/>
        <v>0</v>
      </c>
      <c r="Q16" s="164">
        <f>G16+L16+M16+N16+O16+P16</f>
        <v>730464</v>
      </c>
      <c r="S16" s="162">
        <f>'Proposed Rates'!D77</f>
        <v>1.73</v>
      </c>
      <c r="T16" s="164">
        <f t="shared" si="0"/>
        <v>722115.84</v>
      </c>
    </row>
    <row r="17" spans="2:20">
      <c r="B17" s="150" t="s">
        <v>45</v>
      </c>
      <c r="C17" s="164">
        <f>'Bill Units'!P69</f>
        <v>11524</v>
      </c>
      <c r="D17" s="164">
        <f>'Bill Units'!Q69</f>
        <v>0</v>
      </c>
      <c r="E17" s="162">
        <f>'Rate Input'!P67</f>
        <v>18.88</v>
      </c>
      <c r="F17" s="162">
        <f>'Rate Input'!Q67</f>
        <v>0</v>
      </c>
      <c r="G17" s="164">
        <f>(C17*E17)+(D17*F17)</f>
        <v>217573.12</v>
      </c>
      <c r="H17" s="164"/>
      <c r="I17" s="164">
        <f>VLOOKUP($B$7,'Monthly # of Customers'!A:R,18,FALSE)*SUM(C17:D17)</f>
        <v>0</v>
      </c>
      <c r="J17" s="164"/>
      <c r="K17" s="164">
        <f>C17+D17+H17+I17+J17</f>
        <v>11524</v>
      </c>
      <c r="L17" s="164"/>
      <c r="M17" s="164"/>
      <c r="N17" s="164">
        <f>H17*F17</f>
        <v>0</v>
      </c>
      <c r="O17" s="162">
        <f t="shared" si="1"/>
        <v>0</v>
      </c>
      <c r="P17" s="162">
        <f t="shared" si="1"/>
        <v>0</v>
      </c>
      <c r="Q17" s="164">
        <f>G17+L17+M17+N17+O17+P17</f>
        <v>217573.12</v>
      </c>
      <c r="S17" s="162">
        <f>'Proposed Rates'!D78</f>
        <v>16.29</v>
      </c>
      <c r="T17" s="164">
        <f t="shared" si="0"/>
        <v>187725.96</v>
      </c>
    </row>
    <row r="18" spans="2:20">
      <c r="C18" s="164"/>
      <c r="D18" s="164"/>
      <c r="E18" s="162"/>
      <c r="F18" s="162"/>
      <c r="G18" s="164"/>
      <c r="H18" s="164"/>
      <c r="I18" s="164"/>
      <c r="J18" s="164"/>
      <c r="K18" s="164"/>
      <c r="L18" s="164"/>
      <c r="M18" s="164"/>
      <c r="N18" s="164"/>
      <c r="O18" s="162"/>
      <c r="P18" s="162"/>
      <c r="Q18" s="164"/>
      <c r="S18" s="274"/>
      <c r="T18" s="164">
        <f t="shared" si="0"/>
        <v>0</v>
      </c>
    </row>
    <row r="19" spans="2:20">
      <c r="B19" s="150" t="s">
        <v>342</v>
      </c>
      <c r="C19" s="164">
        <f>'Bill Units'!P70</f>
        <v>47214</v>
      </c>
      <c r="D19" s="164">
        <f>'Bill Units'!Q70</f>
        <v>0</v>
      </c>
      <c r="E19" s="162">
        <f>'Rate Input'!P68</f>
        <v>0.69</v>
      </c>
      <c r="F19" s="162">
        <f>'Rate Input'!Q68</f>
        <v>0</v>
      </c>
      <c r="G19" s="164">
        <f>(C19*E19)+(D19*F19)</f>
        <v>32577.659999999996</v>
      </c>
      <c r="H19" s="164"/>
      <c r="I19" s="164">
        <f>VLOOKUP($B$7,'Monthly # of Customers'!A:R,18,FALSE)*SUM(C19:D19)</f>
        <v>0</v>
      </c>
      <c r="J19" s="164"/>
      <c r="K19" s="164">
        <f>C19+D19+H19+I19+J19</f>
        <v>47214</v>
      </c>
      <c r="L19" s="164"/>
      <c r="M19" s="164"/>
      <c r="N19" s="164">
        <f>H19*F19</f>
        <v>0</v>
      </c>
      <c r="O19" s="162">
        <f>I19*E19</f>
        <v>0</v>
      </c>
      <c r="P19" s="162">
        <f>J19*F19</f>
        <v>0</v>
      </c>
      <c r="Q19" s="164">
        <f>G19+L19+M19+N19+O19+P19</f>
        <v>32577.659999999996</v>
      </c>
      <c r="S19" s="162">
        <f>'Proposed Rates'!E75</f>
        <v>0.69</v>
      </c>
      <c r="T19" s="164">
        <f t="shared" si="0"/>
        <v>32577.659999999996</v>
      </c>
    </row>
    <row r="20" spans="2:20">
      <c r="C20" s="164"/>
      <c r="D20" s="164"/>
      <c r="E20" s="162"/>
      <c r="F20" s="162"/>
      <c r="G20" s="164"/>
      <c r="H20" s="164"/>
      <c r="I20" s="164"/>
      <c r="J20" s="164"/>
      <c r="K20" s="164"/>
      <c r="L20" s="164"/>
      <c r="M20" s="164"/>
      <c r="N20" s="164"/>
      <c r="O20" s="162"/>
      <c r="P20" s="162"/>
      <c r="Q20" s="164"/>
      <c r="S20" s="162"/>
      <c r="T20" s="164">
        <f t="shared" si="0"/>
        <v>0</v>
      </c>
    </row>
    <row r="21" spans="2:20">
      <c r="B21" s="150" t="s">
        <v>12</v>
      </c>
      <c r="C21" s="164">
        <f>'Bill Units'!P71</f>
        <v>36</v>
      </c>
      <c r="D21" s="164">
        <f>'Bill Units'!Q71</f>
        <v>0</v>
      </c>
      <c r="E21" s="162">
        <f>'Rate Input'!P69</f>
        <v>1353</v>
      </c>
      <c r="F21" s="162">
        <f>'Rate Input'!Q69</f>
        <v>0</v>
      </c>
      <c r="G21" s="164">
        <f>(C21*E21)+(D21*F21)</f>
        <v>48708</v>
      </c>
      <c r="H21" s="164"/>
      <c r="I21" s="164">
        <f>VLOOKUP($B$7,'Monthly # of Customers'!A:R,18,FALSE)*SUM(C21:D21)</f>
        <v>0</v>
      </c>
      <c r="J21" s="164"/>
      <c r="K21" s="164">
        <f>C21+D21+H21+I21+J21</f>
        <v>36</v>
      </c>
      <c r="L21" s="164"/>
      <c r="M21" s="164"/>
      <c r="N21" s="164">
        <f>H21*F21</f>
        <v>0</v>
      </c>
      <c r="O21" s="162">
        <f>I21*E21</f>
        <v>0</v>
      </c>
      <c r="P21" s="162">
        <f>J21*F21</f>
        <v>0</v>
      </c>
      <c r="Q21" s="164">
        <f>G21+L21+M21+N21+O21+P21</f>
        <v>48708</v>
      </c>
      <c r="S21" s="162">
        <f>'Proposed Rates'!B75</f>
        <v>1353</v>
      </c>
      <c r="T21" s="164">
        <f t="shared" si="0"/>
        <v>48708</v>
      </c>
    </row>
    <row r="22" spans="2:20">
      <c r="C22" s="164"/>
      <c r="D22" s="164"/>
      <c r="E22" s="162"/>
      <c r="F22" s="162"/>
      <c r="G22" s="164"/>
      <c r="H22" s="164"/>
      <c r="I22" s="164"/>
      <c r="J22" s="164"/>
      <c r="K22" s="164"/>
      <c r="L22" s="164"/>
      <c r="M22" s="164"/>
      <c r="N22" s="164"/>
      <c r="O22" s="162"/>
      <c r="P22" s="162"/>
      <c r="Q22" s="164"/>
      <c r="S22" s="162"/>
      <c r="T22" s="164">
        <f t="shared" si="0"/>
        <v>0</v>
      </c>
    </row>
    <row r="23" spans="2:20">
      <c r="B23" s="150" t="s">
        <v>343</v>
      </c>
      <c r="C23" s="164">
        <f>'Bill Units'!P72</f>
        <v>34158</v>
      </c>
      <c r="D23" s="164">
        <f>'Bill Units'!Q72</f>
        <v>0</v>
      </c>
      <c r="E23" s="162">
        <f>'Rate Input'!P70</f>
        <v>-3.68</v>
      </c>
      <c r="F23" s="162">
        <f>'Rate Input'!Q70</f>
        <v>0</v>
      </c>
      <c r="G23" s="164">
        <f>(C23*E23)+(D23*F23)</f>
        <v>-125701.44</v>
      </c>
      <c r="H23" s="164"/>
      <c r="I23" s="164">
        <f>VLOOKUP($B$7,'Monthly # of Customers'!A:R,18,FALSE)*SUM(C23:D23)</f>
        <v>0</v>
      </c>
      <c r="J23" s="164"/>
      <c r="K23" s="164">
        <f>C23+D23+H23+I23+J23</f>
        <v>34158</v>
      </c>
      <c r="L23" s="164"/>
      <c r="M23" s="164"/>
      <c r="N23" s="164">
        <f>H23*F23</f>
        <v>0</v>
      </c>
      <c r="O23" s="162">
        <f>I23*E23</f>
        <v>0</v>
      </c>
      <c r="P23" s="162">
        <f>J23*F23</f>
        <v>0</v>
      </c>
      <c r="Q23" s="164">
        <f>G23+L23+M23+N23+O23+P23</f>
        <v>-125701.44</v>
      </c>
      <c r="S23" s="162">
        <f>E23</f>
        <v>-3.68</v>
      </c>
      <c r="T23" s="164">
        <f t="shared" si="0"/>
        <v>-125701.44</v>
      </c>
    </row>
    <row r="24" spans="2:20">
      <c r="S24" s="162"/>
      <c r="T24" s="164">
        <f t="shared" si="0"/>
        <v>0</v>
      </c>
    </row>
    <row r="25" spans="2:20">
      <c r="B25" s="150" t="s">
        <v>823</v>
      </c>
      <c r="C25" s="164"/>
      <c r="D25" s="164"/>
      <c r="E25" s="164"/>
      <c r="F25" s="164"/>
      <c r="G25" s="164"/>
      <c r="H25" s="164"/>
      <c r="I25" s="164"/>
      <c r="J25" s="164"/>
      <c r="K25" s="164"/>
      <c r="L25" s="164"/>
      <c r="M25" s="164"/>
      <c r="N25" s="164"/>
      <c r="O25" s="162"/>
      <c r="P25" s="162"/>
      <c r="Q25" s="164"/>
      <c r="S25" s="162"/>
      <c r="T25" s="164">
        <f t="shared" si="0"/>
        <v>0</v>
      </c>
    </row>
    <row r="26" spans="2:20">
      <c r="C26" s="164"/>
      <c r="D26" s="164"/>
      <c r="E26" s="164"/>
      <c r="F26" s="164"/>
      <c r="G26" s="164"/>
      <c r="H26" s="164"/>
      <c r="I26" s="164"/>
      <c r="J26" s="164"/>
      <c r="K26" s="164"/>
      <c r="L26" s="164"/>
      <c r="M26" s="164"/>
      <c r="N26" s="164"/>
      <c r="O26" s="162"/>
      <c r="P26" s="162"/>
      <c r="Q26" s="164"/>
      <c r="S26" s="162"/>
      <c r="T26" s="164">
        <f t="shared" si="0"/>
        <v>0</v>
      </c>
    </row>
    <row r="27" spans="2:20">
      <c r="C27" s="164"/>
      <c r="D27" s="164"/>
      <c r="E27" s="164"/>
      <c r="F27" s="164"/>
      <c r="G27" s="164"/>
      <c r="H27" s="164"/>
      <c r="I27" s="164"/>
      <c r="J27" s="164"/>
      <c r="K27" s="164"/>
      <c r="L27" s="164"/>
      <c r="M27" s="164"/>
      <c r="N27" s="164"/>
      <c r="O27" s="162"/>
      <c r="P27" s="162"/>
      <c r="Q27" s="164"/>
      <c r="S27" s="162"/>
      <c r="T27" s="164">
        <f t="shared" si="0"/>
        <v>0</v>
      </c>
    </row>
    <row r="28" spans="2:20">
      <c r="C28" s="164"/>
      <c r="D28" s="164"/>
      <c r="E28" s="164"/>
      <c r="F28" s="164"/>
      <c r="G28" s="164"/>
      <c r="H28" s="164"/>
      <c r="I28" s="164"/>
      <c r="J28" s="164"/>
      <c r="K28" s="164"/>
      <c r="L28" s="164"/>
      <c r="M28" s="164"/>
      <c r="N28" s="164"/>
      <c r="O28" s="162"/>
      <c r="P28" s="162"/>
      <c r="Q28" s="164"/>
      <c r="S28" s="162"/>
      <c r="T28" s="164">
        <f t="shared" si="0"/>
        <v>0</v>
      </c>
    </row>
    <row r="29" spans="2:20">
      <c r="C29" s="164"/>
      <c r="D29" s="164"/>
      <c r="E29" s="164"/>
      <c r="F29" s="164"/>
      <c r="G29" s="164"/>
      <c r="H29" s="164"/>
      <c r="I29" s="164"/>
      <c r="J29" s="164"/>
      <c r="K29" s="164"/>
      <c r="L29" s="164"/>
      <c r="M29" s="164"/>
      <c r="N29" s="164"/>
      <c r="Q29" s="164"/>
      <c r="S29" s="162"/>
      <c r="T29" s="164">
        <f t="shared" si="0"/>
        <v>0</v>
      </c>
    </row>
    <row r="30" spans="2:20">
      <c r="B30" s="169" t="s">
        <v>486</v>
      </c>
      <c r="C30" s="170"/>
      <c r="D30" s="170"/>
      <c r="E30" s="170"/>
      <c r="F30" s="170"/>
      <c r="G30" s="531">
        <f>'B&amp;A Surcharges'!U59</f>
        <v>343078.96999999974</v>
      </c>
      <c r="L30" s="170"/>
      <c r="M30" s="170"/>
      <c r="N30" s="170"/>
      <c r="O30" s="170"/>
      <c r="P30" s="170"/>
      <c r="Q30" s="164">
        <f>VLOOKUP(B7,'B&amp;A Surcharges'!A:U,21,FALSE)</f>
        <v>343078.96999999974</v>
      </c>
      <c r="S30" s="162"/>
      <c r="T30" s="164">
        <f>Q30</f>
        <v>343078.96999999974</v>
      </c>
    </row>
    <row r="31" spans="2:20">
      <c r="C31" s="164"/>
      <c r="D31" s="164"/>
      <c r="E31" s="164"/>
      <c r="F31" s="164"/>
      <c r="G31" s="164"/>
      <c r="H31" s="164"/>
      <c r="I31" s="164"/>
      <c r="J31" s="164"/>
      <c r="K31" s="164"/>
      <c r="L31" s="164"/>
      <c r="M31" s="164"/>
      <c r="N31" s="164"/>
      <c r="Q31" s="164"/>
      <c r="S31" s="162"/>
      <c r="T31" s="164"/>
    </row>
    <row r="32" spans="2:20">
      <c r="B32" s="150" t="s">
        <v>14</v>
      </c>
      <c r="C32" s="164"/>
      <c r="D32" s="164"/>
      <c r="E32" s="164"/>
      <c r="F32" s="164"/>
      <c r="G32" s="164">
        <f>VLOOKUP(B7,'B&amp;A Surcharges'!A:U,2,FALSE)</f>
        <v>6222077.3299999991</v>
      </c>
      <c r="H32" s="164"/>
      <c r="I32" s="164"/>
      <c r="J32" s="164"/>
      <c r="K32" s="164"/>
      <c r="L32" s="164"/>
      <c r="M32" s="164"/>
      <c r="N32" s="164"/>
      <c r="Q32" s="164"/>
      <c r="S32" s="162"/>
      <c r="T32" s="164"/>
    </row>
    <row r="33" spans="2:20">
      <c r="C33" s="164"/>
      <c r="D33" s="164"/>
      <c r="E33" s="164"/>
      <c r="F33" s="164"/>
      <c r="G33" s="164"/>
      <c r="H33" s="164"/>
      <c r="I33" s="164"/>
      <c r="J33" s="164"/>
      <c r="K33" s="164"/>
      <c r="L33" s="164"/>
      <c r="M33" s="164"/>
      <c r="N33" s="164"/>
      <c r="Q33" s="164"/>
      <c r="S33" s="162"/>
      <c r="T33" s="164"/>
    </row>
    <row r="34" spans="2:20">
      <c r="B34" s="150" t="s">
        <v>208</v>
      </c>
      <c r="C34" s="164"/>
      <c r="D34" s="164"/>
      <c r="E34" s="164"/>
      <c r="F34" s="164"/>
      <c r="G34" s="164">
        <f>VLOOKUP(B7,'B&amp;A Surcharges'!A:U,16,FALSE)</f>
        <v>0</v>
      </c>
      <c r="H34" s="164"/>
      <c r="I34" s="164"/>
      <c r="J34" s="164"/>
      <c r="K34" s="164"/>
      <c r="L34" s="164"/>
      <c r="M34" s="164"/>
      <c r="N34" s="164"/>
      <c r="Q34" s="164"/>
      <c r="S34" s="162"/>
      <c r="T34" s="164"/>
    </row>
    <row r="35" spans="2:20">
      <c r="C35" s="164"/>
      <c r="D35" s="164"/>
      <c r="E35" s="164"/>
      <c r="F35" s="164"/>
      <c r="G35" s="164"/>
      <c r="H35" s="164"/>
      <c r="I35" s="164"/>
      <c r="J35" s="164"/>
      <c r="K35" s="164"/>
      <c r="L35" s="164"/>
      <c r="M35" s="164"/>
      <c r="N35" s="164"/>
      <c r="Q35" s="164"/>
      <c r="S35" s="162"/>
      <c r="T35" s="164"/>
    </row>
    <row r="36" spans="2:20">
      <c r="B36" s="150" t="s">
        <v>16</v>
      </c>
      <c r="C36" s="164"/>
      <c r="D36" s="164"/>
      <c r="E36" s="164"/>
      <c r="F36" s="164"/>
      <c r="G36" s="164">
        <f>VLOOKUP(B7,'B&amp;A Surcharges'!A:U,4,FALSE)</f>
        <v>-70321.97</v>
      </c>
      <c r="H36" s="164"/>
      <c r="I36" s="164"/>
      <c r="J36" s="164"/>
      <c r="K36" s="164"/>
      <c r="L36" s="164"/>
      <c r="M36" s="164"/>
      <c r="N36" s="164"/>
      <c r="Q36" s="164"/>
      <c r="S36" s="162"/>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134818.05781367741</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C40" s="164"/>
      <c r="D40" s="164"/>
      <c r="E40" s="164"/>
      <c r="F40" s="164"/>
      <c r="G40" s="164"/>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548612.85</v>
      </c>
      <c r="H42" s="164"/>
      <c r="I42" s="164"/>
      <c r="J42" s="164"/>
      <c r="K42" s="164"/>
      <c r="L42" s="164">
        <f>VLOOKUP(B7,'Envir FGD adj'!A:F,6,FALSE)</f>
        <v>-353545.19027989358</v>
      </c>
      <c r="M42" s="164"/>
      <c r="N42" s="164"/>
      <c r="Q42" s="164">
        <f t="shared" ref="Q42" si="2">L42+M42+N42+O42</f>
        <v>-353545.19027989358</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719508.31060064514</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VLOOKUP(B7,'B&amp;A Surcharges'!A:U,14,FALSE)</f>
        <v>586619.08000000007</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36</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-1676851.7499999998</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Q53" si="3">SUM(G13:G50)</f>
        <v>20962306.426374324</v>
      </c>
      <c r="L53" s="168">
        <f t="shared" si="3"/>
        <v>-353545.19027989358</v>
      </c>
      <c r="M53" s="168">
        <f t="shared" si="3"/>
        <v>0</v>
      </c>
      <c r="N53" s="168">
        <f t="shared" si="3"/>
        <v>0</v>
      </c>
      <c r="O53" s="539">
        <f t="shared" si="3"/>
        <v>0</v>
      </c>
      <c r="P53" s="539">
        <f t="shared" si="3"/>
        <v>0</v>
      </c>
      <c r="Q53" s="168">
        <f t="shared" si="3"/>
        <v>14144263.327680107</v>
      </c>
      <c r="T53" s="168">
        <f>SUM(T13:T50)</f>
        <v>15978341.994230002</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E84"/>
  <sheetViews>
    <sheetView tabSelected="1" topLeftCell="A4" zoomScaleNormal="100" workbookViewId="0">
      <pane xSplit="1" ySplit="5" topLeftCell="Q9" activePane="bottomRight" state="frozen"/>
      <selection activeCell="A4" sqref="A4"/>
      <selection pane="topRight" activeCell="B4" sqref="B4"/>
      <selection pane="bottomLeft" activeCell="A9" sqref="A9"/>
      <selection pane="bottomRight" activeCell="B4" sqref="B1:F1048576"/>
    </sheetView>
  </sheetViews>
  <sheetFormatPr defaultColWidth="8.7109375" defaultRowHeight="11.25"/>
  <cols>
    <col min="1" max="1" width="21.140625" style="140" customWidth="1"/>
    <col min="2" max="12" width="19.28515625" style="140" customWidth="1"/>
    <col min="13" max="13" width="19.28515625" style="473" customWidth="1"/>
    <col min="14" max="20" width="19.28515625" style="140" customWidth="1"/>
    <col min="21" max="21" width="11.5703125" style="140" bestFit="1" customWidth="1"/>
    <col min="22" max="23" width="9.28515625" style="140" bestFit="1" customWidth="1"/>
    <col min="24" max="24" width="8.5703125" style="140" bestFit="1" customWidth="1"/>
    <col min="25" max="25" width="14.7109375" style="140" customWidth="1"/>
    <col min="26" max="27" width="16.85546875" style="140" bestFit="1" customWidth="1"/>
    <col min="28" max="29" width="16.42578125" style="140" customWidth="1"/>
    <col min="30" max="30" width="12.7109375" style="140" customWidth="1"/>
    <col min="31" max="31" width="19.28515625" style="140" customWidth="1"/>
    <col min="32" max="16384" width="8.7109375" style="140"/>
  </cols>
  <sheetData>
    <row r="1" spans="1:31">
      <c r="A1" s="140" t="str">
        <f>+RS!B2</f>
        <v>KENTUCKY POWER BILLING ANALYSIS</v>
      </c>
    </row>
    <row r="2" spans="1:31">
      <c r="A2" s="140" t="str">
        <f>+RS!B4</f>
        <v>TEST YEAR ENDED MARCH 31, 2023</v>
      </c>
    </row>
    <row r="3" spans="1:31">
      <c r="A3" s="140" t="s">
        <v>169</v>
      </c>
    </row>
    <row r="5" spans="1:31">
      <c r="U5" s="474"/>
      <c r="V5" s="475"/>
      <c r="W5" s="475"/>
      <c r="X5" s="475"/>
    </row>
    <row r="6" spans="1:31">
      <c r="B6" s="142" t="s">
        <v>353</v>
      </c>
      <c r="C6" s="142"/>
      <c r="D6" s="142"/>
      <c r="E6" s="142" t="s">
        <v>302</v>
      </c>
      <c r="F6" s="142"/>
      <c r="G6" s="142"/>
      <c r="H6" s="142"/>
      <c r="I6" s="142"/>
      <c r="J6" s="142"/>
      <c r="K6" s="142"/>
      <c r="L6" s="142" t="s">
        <v>358</v>
      </c>
      <c r="M6" s="142" t="s">
        <v>108</v>
      </c>
      <c r="N6" s="142" t="s">
        <v>361</v>
      </c>
      <c r="O6" s="142" t="s">
        <v>213</v>
      </c>
      <c r="P6" s="142" t="s">
        <v>134</v>
      </c>
      <c r="Q6" s="142" t="s">
        <v>134</v>
      </c>
      <c r="R6" s="142" t="s">
        <v>123</v>
      </c>
      <c r="S6" s="142" t="s">
        <v>170</v>
      </c>
      <c r="V6" s="142"/>
      <c r="W6" s="142" t="s">
        <v>851</v>
      </c>
      <c r="X6" s="142"/>
      <c r="Z6" s="142" t="s">
        <v>73</v>
      </c>
      <c r="AA6" s="142" t="s">
        <v>73</v>
      </c>
      <c r="AB6" s="142"/>
      <c r="AC6" s="142"/>
      <c r="AE6" s="142" t="s">
        <v>480</v>
      </c>
    </row>
    <row r="7" spans="1:31">
      <c r="B7" s="142" t="s">
        <v>107</v>
      </c>
      <c r="C7" s="142" t="s">
        <v>514</v>
      </c>
      <c r="D7" s="142" t="s">
        <v>302</v>
      </c>
      <c r="E7" s="142" t="s">
        <v>352</v>
      </c>
      <c r="F7" s="142" t="s">
        <v>302</v>
      </c>
      <c r="G7" s="142" t="s">
        <v>302</v>
      </c>
      <c r="H7" s="142" t="s">
        <v>302</v>
      </c>
      <c r="I7" s="142" t="s">
        <v>356</v>
      </c>
      <c r="J7" s="142" t="s">
        <v>302</v>
      </c>
      <c r="K7" s="142" t="s">
        <v>302</v>
      </c>
      <c r="L7" s="142" t="s">
        <v>359</v>
      </c>
      <c r="M7" s="142" t="s">
        <v>487</v>
      </c>
      <c r="N7" s="142" t="s">
        <v>482</v>
      </c>
      <c r="O7" s="142" t="s">
        <v>214</v>
      </c>
      <c r="P7" s="142" t="s">
        <v>118</v>
      </c>
      <c r="Q7" s="142" t="s">
        <v>165</v>
      </c>
      <c r="R7" s="142" t="s">
        <v>354</v>
      </c>
      <c r="S7" s="142" t="s">
        <v>594</v>
      </c>
      <c r="T7" s="142" t="s">
        <v>170</v>
      </c>
      <c r="U7" s="142" t="s">
        <v>850</v>
      </c>
      <c r="V7" s="142" t="s">
        <v>171</v>
      </c>
      <c r="W7" s="142" t="s">
        <v>852</v>
      </c>
      <c r="X7" s="142"/>
      <c r="Y7" s="142" t="s">
        <v>170</v>
      </c>
      <c r="Z7" s="142" t="s">
        <v>173</v>
      </c>
      <c r="AA7" s="142" t="s">
        <v>170</v>
      </c>
      <c r="AB7" s="142"/>
      <c r="AC7" s="142"/>
      <c r="AE7" s="142" t="s">
        <v>481</v>
      </c>
    </row>
    <row r="8" spans="1:31">
      <c r="A8" s="143" t="s">
        <v>2</v>
      </c>
      <c r="B8" s="143" t="s">
        <v>6</v>
      </c>
      <c r="C8" s="143" t="s">
        <v>103</v>
      </c>
      <c r="D8" s="143" t="s">
        <v>355</v>
      </c>
      <c r="E8" s="143" t="s">
        <v>314</v>
      </c>
      <c r="F8" s="143" t="s">
        <v>109</v>
      </c>
      <c r="G8" s="143" t="s">
        <v>161</v>
      </c>
      <c r="H8" s="143" t="s">
        <v>247</v>
      </c>
      <c r="I8" s="143" t="s">
        <v>357</v>
      </c>
      <c r="J8" s="143" t="s">
        <v>329</v>
      </c>
      <c r="K8" s="143" t="s">
        <v>346</v>
      </c>
      <c r="L8" s="143" t="s">
        <v>6</v>
      </c>
      <c r="M8" s="143" t="s">
        <v>488</v>
      </c>
      <c r="N8" s="143" t="s">
        <v>6</v>
      </c>
      <c r="O8" s="143" t="s">
        <v>6</v>
      </c>
      <c r="P8" s="143" t="s">
        <v>6</v>
      </c>
      <c r="Q8" s="143" t="s">
        <v>6</v>
      </c>
      <c r="R8" s="143" t="s">
        <v>211</v>
      </c>
      <c r="S8" s="143" t="s">
        <v>173</v>
      </c>
      <c r="T8" s="143" t="s">
        <v>594</v>
      </c>
      <c r="U8" s="143" t="s">
        <v>849</v>
      </c>
      <c r="V8" s="143" t="s">
        <v>76</v>
      </c>
      <c r="W8" s="143" t="s">
        <v>76</v>
      </c>
      <c r="X8" s="143" t="s">
        <v>853</v>
      </c>
      <c r="Y8" s="142" t="s">
        <v>848</v>
      </c>
      <c r="Z8" s="142" t="s">
        <v>888</v>
      </c>
      <c r="AA8" s="142" t="s">
        <v>888</v>
      </c>
      <c r="AB8" s="142"/>
      <c r="AC8" s="142"/>
      <c r="AE8" s="143" t="s">
        <v>6</v>
      </c>
    </row>
    <row r="9" spans="1:31">
      <c r="A9" s="143"/>
      <c r="M9" s="140"/>
      <c r="T9" s="256"/>
    </row>
    <row r="10" spans="1:31">
      <c r="A10" s="140" t="s">
        <v>224</v>
      </c>
      <c r="B10" s="144">
        <f>RS!$G$53</f>
        <v>301101949.16364413</v>
      </c>
      <c r="C10" s="144"/>
      <c r="D10" s="144">
        <f>RS!$G$32</f>
        <v>51775427.170000002</v>
      </c>
      <c r="E10" s="144">
        <f>RS!$G$34+RS!$G$48</f>
        <v>474969.3</v>
      </c>
      <c r="F10" s="144">
        <f>RS!$G$36</f>
        <v>-584195.91999999993</v>
      </c>
      <c r="G10" s="144">
        <f>RS!$G$38</f>
        <v>1910864.4893393549</v>
      </c>
      <c r="H10" s="144">
        <f>RS!$G$42</f>
        <v>14051154.719999999</v>
      </c>
      <c r="I10" s="144">
        <f>RS!$G$44</f>
        <v>9688356.6954393554</v>
      </c>
      <c r="J10" s="144">
        <f>RS!$G$46</f>
        <v>14069674.970000001</v>
      </c>
      <c r="K10" s="144">
        <f>RS!$G$50</f>
        <v>-16494384.799999997</v>
      </c>
      <c r="L10" s="144">
        <f>B10+C10-SUM(D10:K10)</f>
        <v>226210082.53886545</v>
      </c>
      <c r="M10" s="144">
        <f>RS!$L$42</f>
        <v>-9055052.5186105724</v>
      </c>
      <c r="N10" s="144">
        <f>RS!$M$53</f>
        <v>0</v>
      </c>
      <c r="O10" s="144">
        <f>RS!$N$53</f>
        <v>10627948.211062847</v>
      </c>
      <c r="P10" s="144">
        <f>RS!$O$53</f>
        <v>-562233.19475079619</v>
      </c>
      <c r="Q10" s="144">
        <f>RS!$P$53</f>
        <v>0</v>
      </c>
      <c r="R10" s="144">
        <f>SUM(L10:Q10)</f>
        <v>227220745.03656694</v>
      </c>
      <c r="S10" s="257">
        <f>T10-R10</f>
        <v>54841871.919143111</v>
      </c>
      <c r="T10" s="256">
        <f>RS!$T$53</f>
        <v>282062616.95571005</v>
      </c>
      <c r="V10" s="144"/>
      <c r="W10" s="144"/>
      <c r="X10" s="144"/>
      <c r="Y10" s="144">
        <f>(RS!K17+RS!K18)*0.1</f>
        <v>157932</v>
      </c>
      <c r="Z10" s="476">
        <f>S10+Y10</f>
        <v>54999803.919143111</v>
      </c>
      <c r="AA10" s="477">
        <f>B10+Z10</f>
        <v>356101753.08278728</v>
      </c>
      <c r="AB10" s="477"/>
      <c r="AC10" s="477"/>
      <c r="AE10" s="144">
        <f>RS!$Q$30</f>
        <v>-1395979.6980995839</v>
      </c>
    </row>
    <row r="11" spans="1:31">
      <c r="A11" s="174" t="s">
        <v>225</v>
      </c>
      <c r="B11" s="144">
        <f>'RS LMTOD'!$G$53</f>
        <v>435972.90087085578</v>
      </c>
      <c r="C11" s="144"/>
      <c r="D11" s="144">
        <f>'RS LMTOD'!$G$32</f>
        <v>79137.2</v>
      </c>
      <c r="E11" s="144">
        <f>'RS LMTOD'!$G$34+'RS LMTOD'!$G$48</f>
        <v>532.19999999999993</v>
      </c>
      <c r="F11" s="144">
        <f>'RS LMTOD'!$G$36</f>
        <v>-907.94</v>
      </c>
      <c r="G11" s="144">
        <f>'RS LMTOD'!$G$38</f>
        <v>2751.3423277419352</v>
      </c>
      <c r="H11" s="144">
        <f>'RS LMTOD'!$G$42</f>
        <v>20407.409999999996</v>
      </c>
      <c r="I11" s="144">
        <f>'RS LMTOD'!$G$44</f>
        <v>14314.753627741935</v>
      </c>
      <c r="J11" s="144">
        <f>'RS LMTOD'!$G$46</f>
        <v>20246.18</v>
      </c>
      <c r="K11" s="144">
        <f>'RS LMTOD'!$G$50</f>
        <v>-26320.739999999998</v>
      </c>
      <c r="L11" s="144">
        <f>B11+C11-SUM(D11:K11)</f>
        <v>325812.49491537188</v>
      </c>
      <c r="M11" s="144">
        <f>'RS LMTOD'!$L$42</f>
        <v>-13151.244363980541</v>
      </c>
      <c r="N11" s="144">
        <f>'RS LMTOD'!$M$53</f>
        <v>0</v>
      </c>
      <c r="O11" s="144">
        <f>'RS LMTOD'!$N$53</f>
        <v>16922.243429494993</v>
      </c>
      <c r="P11" s="144">
        <f>'RS LMTOD'!$O$53</f>
        <v>-8523.8442574971814</v>
      </c>
      <c r="Q11" s="144">
        <f>'RS LMTOD'!$P$53</f>
        <v>0</v>
      </c>
      <c r="R11" s="144">
        <f>SUM(L11:Q11)</f>
        <v>321059.64972338913</v>
      </c>
      <c r="S11" s="257">
        <f>T11-R11</f>
        <v>74780.597573657054</v>
      </c>
      <c r="T11" s="256">
        <f>'RS LMTOD'!$T$53</f>
        <v>395840.24729704618</v>
      </c>
      <c r="V11" s="144"/>
      <c r="W11" s="144"/>
      <c r="X11" s="144"/>
      <c r="Y11" s="144">
        <f>('RS LMTOD'!K19+'RS LMTOD'!K20)*0.1</f>
        <v>182.15107102593012</v>
      </c>
      <c r="Z11" s="476">
        <f t="shared" ref="Z11:Z12" si="0">S11+Y11</f>
        <v>74962.748644682986</v>
      </c>
      <c r="AA11" s="477">
        <f t="shared" ref="AA11:AA12" si="1">B11+Z11</f>
        <v>510935.64951553877</v>
      </c>
      <c r="AB11" s="477"/>
      <c r="AC11" s="477"/>
      <c r="AE11" s="144">
        <f>'RS LMTOD'!$Q$30</f>
        <v>-2911.4118846280408</v>
      </c>
    </row>
    <row r="12" spans="1:31">
      <c r="A12" s="176" t="s">
        <v>226</v>
      </c>
      <c r="B12" s="146">
        <f>'RS TOD'!$G$53</f>
        <v>16737.518022438999</v>
      </c>
      <c r="C12" s="146"/>
      <c r="D12" s="146">
        <f>'RS TOD'!$G$32</f>
        <v>3188.9799999999996</v>
      </c>
      <c r="E12" s="146">
        <f>'RS TOD'!$G$34+'RS TOD'!$G$48</f>
        <v>17.700000000000003</v>
      </c>
      <c r="F12" s="146">
        <f>'RS TOD'!$G$36</f>
        <v>-41.18</v>
      </c>
      <c r="G12" s="146">
        <f>'RS TOD'!$G$38</f>
        <v>96.595976774193531</v>
      </c>
      <c r="H12" s="146">
        <f>'RS TOD'!$G$42</f>
        <v>769.1099999999999</v>
      </c>
      <c r="I12" s="146">
        <f>'RS TOD'!$G$44</f>
        <v>549.41137677419351</v>
      </c>
      <c r="J12" s="146">
        <f>'RS TOD'!$G$46</f>
        <v>771.42</v>
      </c>
      <c r="K12" s="146">
        <f>'RS TOD'!$G$50</f>
        <v>-1244.0899999999999</v>
      </c>
      <c r="L12" s="146">
        <f>B12+C12-SUM(D12:K12)</f>
        <v>12629.570668890612</v>
      </c>
      <c r="M12" s="146">
        <f>'RS TOD'!$L$42</f>
        <v>-495.64121820363653</v>
      </c>
      <c r="N12" s="146">
        <f>'RS TOD'!$M$53</f>
        <v>0</v>
      </c>
      <c r="O12" s="146">
        <f>'RS TOD'!$N$53</f>
        <v>852.57287722612227</v>
      </c>
      <c r="P12" s="146">
        <f>'RS TOD'!$O$53</f>
        <v>2771.0268233898305</v>
      </c>
      <c r="Q12" s="146">
        <f>'RS TOD'!$P$53</f>
        <v>0</v>
      </c>
      <c r="R12" s="146">
        <f>SUM(L12:Q12)</f>
        <v>15757.52915130293</v>
      </c>
      <c r="S12" s="146">
        <f>T12-R12</f>
        <v>3451.3124024322678</v>
      </c>
      <c r="T12" s="478">
        <f>'RS TOD'!$T$53</f>
        <v>19208.841553735198</v>
      </c>
      <c r="U12" s="145"/>
      <c r="V12" s="146"/>
      <c r="W12" s="146"/>
      <c r="X12" s="146"/>
      <c r="Y12" s="146">
        <f>'RS TOD'!K16*0.1</f>
        <v>7.2</v>
      </c>
      <c r="Z12" s="479">
        <f t="shared" si="0"/>
        <v>3458.5124024322677</v>
      </c>
      <c r="AA12" s="480">
        <f t="shared" si="1"/>
        <v>20196.030424871267</v>
      </c>
      <c r="AB12" s="481"/>
      <c r="AC12" s="481"/>
      <c r="AE12" s="146">
        <f>'RS TOD'!$Q$30</f>
        <v>53.372008890612562</v>
      </c>
    </row>
    <row r="13" spans="1:31">
      <c r="A13" s="175" t="s">
        <v>174</v>
      </c>
      <c r="B13" s="144">
        <f t="shared" ref="B13:T13" si="2">SUM(B10:B12)</f>
        <v>301554659.58253741</v>
      </c>
      <c r="C13" s="144"/>
      <c r="D13" s="144">
        <f>SUM(D10:D12)</f>
        <v>51857753.350000001</v>
      </c>
      <c r="E13" s="144">
        <f>SUM(E10:E12)</f>
        <v>475519.2</v>
      </c>
      <c r="F13" s="144">
        <f t="shared" si="2"/>
        <v>-585145.03999999992</v>
      </c>
      <c r="G13" s="144">
        <f t="shared" si="2"/>
        <v>1913712.4276438709</v>
      </c>
      <c r="H13" s="144">
        <f t="shared" si="2"/>
        <v>14072331.239999998</v>
      </c>
      <c r="I13" s="144">
        <f>SUM(I10:I12)</f>
        <v>9703220.8604438715</v>
      </c>
      <c r="J13" s="141">
        <f t="shared" si="2"/>
        <v>14090692.57</v>
      </c>
      <c r="K13" s="144">
        <f t="shared" si="2"/>
        <v>-16521949.629999997</v>
      </c>
      <c r="L13" s="144">
        <f t="shared" si="2"/>
        <v>226548524.60444969</v>
      </c>
      <c r="M13" s="144">
        <f t="shared" ref="M13:N13" si="3">SUM(M10:M12)</f>
        <v>-9068699.4041927569</v>
      </c>
      <c r="N13" s="144">
        <f t="shared" si="3"/>
        <v>0</v>
      </c>
      <c r="O13" s="144">
        <f t="shared" si="2"/>
        <v>10645723.027369568</v>
      </c>
      <c r="P13" s="144">
        <f t="shared" si="2"/>
        <v>-567986.01218490361</v>
      </c>
      <c r="Q13" s="144">
        <f t="shared" ref="Q13" si="4">SUM(Q10:Q12)</f>
        <v>0</v>
      </c>
      <c r="R13" s="144">
        <f t="shared" si="2"/>
        <v>227557562.21544161</v>
      </c>
      <c r="S13" s="144">
        <f t="shared" si="2"/>
        <v>54920103.829119205</v>
      </c>
      <c r="T13" s="144">
        <f t="shared" si="2"/>
        <v>282477666.04456085</v>
      </c>
      <c r="U13" s="144">
        <v>282479538.28135502</v>
      </c>
      <c r="V13" s="144">
        <f>U13-T13</f>
        <v>1872.2367941737175</v>
      </c>
      <c r="W13" s="144">
        <v>1870</v>
      </c>
      <c r="X13" s="144">
        <f>V13-W13</f>
        <v>2.2367941737174988</v>
      </c>
      <c r="Y13" s="144">
        <f>SUM(Y10:Y12)</f>
        <v>158121.35107102594</v>
      </c>
      <c r="Z13" s="144">
        <f t="shared" ref="Z13:AA13" si="5">SUM(Z10:Z12)</f>
        <v>55078225.18019022</v>
      </c>
      <c r="AA13" s="144">
        <f t="shared" si="5"/>
        <v>356632884.76272768</v>
      </c>
      <c r="AB13" s="144"/>
      <c r="AC13" s="144"/>
      <c r="AE13" s="144">
        <f>SUM(AE10:AE12)</f>
        <v>-1398837.7379753212</v>
      </c>
    </row>
    <row r="14" spans="1:31">
      <c r="C14" s="144"/>
      <c r="M14" s="140"/>
      <c r="T14" s="256"/>
      <c r="V14" s="144"/>
      <c r="W14" s="144"/>
      <c r="X14" s="144"/>
      <c r="Z14" s="144"/>
      <c r="AA14" s="144"/>
      <c r="AB14" s="144"/>
      <c r="AC14" s="144"/>
    </row>
    <row r="15" spans="1:31">
      <c r="C15" s="144"/>
      <c r="M15" s="140"/>
      <c r="T15" s="256"/>
      <c r="U15" s="144"/>
      <c r="Z15" s="144"/>
      <c r="AA15" s="144"/>
      <c r="AB15" s="144"/>
      <c r="AC15" s="144"/>
    </row>
    <row r="16" spans="1:31">
      <c r="A16" s="140" t="s">
        <v>366</v>
      </c>
      <c r="B16" s="144">
        <f>'GS-SEC'!$G$53</f>
        <v>102943116.4365176</v>
      </c>
      <c r="C16" s="144"/>
      <c r="D16" s="144">
        <f>'GS-SEC'!$G$32</f>
        <v>15653843.91</v>
      </c>
      <c r="E16" s="144">
        <f>'GS-SEC'!$G$34+'GS-SEC'!$G$48</f>
        <v>348522</v>
      </c>
      <c r="F16" s="144">
        <f>'GS-SEC'!$G$36</f>
        <v>-161790.5</v>
      </c>
      <c r="G16" s="144">
        <f>'GS-SEC'!$G$38</f>
        <v>654672.10458193556</v>
      </c>
      <c r="H16" s="144">
        <f>'GS-SEC'!$G$42</f>
        <v>4956793.0999999996</v>
      </c>
      <c r="I16" s="144">
        <f>'GS-SEC'!$G$44</f>
        <v>2550438.3435535482</v>
      </c>
      <c r="J16" s="144">
        <f>'GS-SEC'!$G$46</f>
        <v>5077702.5199999996</v>
      </c>
      <c r="K16" s="144">
        <f>'GS-SEC'!$G$50</f>
        <v>-3890519.3200000003</v>
      </c>
      <c r="L16" s="144">
        <f t="shared" ref="L16:L22" si="6">B16+C16-SUM(D16:K16)</f>
        <v>77753454.278382123</v>
      </c>
      <c r="M16" s="144">
        <f>'GS-SEC'!$L$42</f>
        <v>-3194329.7713817013</v>
      </c>
      <c r="N16" s="144">
        <f>'GS-SEC'!$M$53</f>
        <v>0</v>
      </c>
      <c r="O16" s="144">
        <f>'GS-SEC'!$N$53</f>
        <v>1047130.9296609261</v>
      </c>
      <c r="P16" s="144">
        <f>'GS-SEC'!$O$53</f>
        <v>224082.58038907318</v>
      </c>
      <c r="Q16" s="144">
        <f>'GS-SEC'!$P$53</f>
        <v>0</v>
      </c>
      <c r="R16" s="144">
        <f t="shared" ref="R16:R22" si="7">SUM(L16:Q16)</f>
        <v>75830338.017050415</v>
      </c>
      <c r="S16" s="257">
        <f t="shared" ref="S16:S22" si="8">T16-R16</f>
        <v>13175793.144585773</v>
      </c>
      <c r="T16" s="256">
        <f>'GS-SEC'!$T$53</f>
        <v>89006131.161636189</v>
      </c>
      <c r="V16" s="144"/>
      <c r="W16" s="144"/>
      <c r="X16" s="144"/>
      <c r="Y16" s="144">
        <v>0</v>
      </c>
      <c r="Z16" s="144">
        <f t="shared" ref="Z16:Z23" si="9">S16+Y16</f>
        <v>13175793.144585773</v>
      </c>
      <c r="AA16" s="144">
        <f t="shared" ref="AA16:AA23" si="10">B16+Z16</f>
        <v>116118909.58110337</v>
      </c>
      <c r="AB16" s="144"/>
      <c r="AC16" s="144"/>
      <c r="AE16" s="144">
        <f>'GS-SEC'!$Q$30</f>
        <v>-188371.15311543451</v>
      </c>
    </row>
    <row r="17" spans="1:31">
      <c r="A17" s="140" t="s">
        <v>365</v>
      </c>
      <c r="B17" s="144">
        <f>'GS-NM'!$G$53</f>
        <v>742763.41644480964</v>
      </c>
      <c r="C17" s="144"/>
      <c r="D17" s="144">
        <f>'GS-NM'!$G$32</f>
        <v>82755.320000000007</v>
      </c>
      <c r="E17" s="144">
        <f>'GS-NM'!$G$34+'GS-NM'!$G$48</f>
        <v>11376</v>
      </c>
      <c r="F17" s="144">
        <f>'GS-NM'!$G$36</f>
        <v>-967.64</v>
      </c>
      <c r="G17" s="144">
        <f>'GS-NM'!$G$38</f>
        <v>3534.6275858064514</v>
      </c>
      <c r="H17" s="144">
        <f>'GS-NM'!$G$42</f>
        <v>40224.14</v>
      </c>
      <c r="I17" s="144">
        <f>'GS-NM'!$G$44</f>
        <v>13977.348020645162</v>
      </c>
      <c r="J17" s="144">
        <f>'GS-NM'!$G$46</f>
        <v>40433.909999999989</v>
      </c>
      <c r="K17" s="144">
        <f>'GS-NM'!$G$50</f>
        <v>-21266.69</v>
      </c>
      <c r="L17" s="144">
        <f t="shared" si="6"/>
        <v>572696.40083835809</v>
      </c>
      <c r="M17" s="144">
        <f>'GS-NM'!$L$42</f>
        <v>-25921.83400397034</v>
      </c>
      <c r="N17" s="144">
        <f>'GS-NM'!$M$53</f>
        <v>0</v>
      </c>
      <c r="O17" s="144">
        <f>'GS-NM'!$N$53</f>
        <v>1369.5028741413994</v>
      </c>
      <c r="P17" s="144">
        <f>'GS-NM'!$O$53</f>
        <v>-7240.5813799504922</v>
      </c>
      <c r="Q17" s="144">
        <f>'GS-NM'!$P$53</f>
        <v>0</v>
      </c>
      <c r="R17" s="144">
        <f t="shared" si="7"/>
        <v>540903.48832857865</v>
      </c>
      <c r="S17" s="257">
        <f t="shared" si="8"/>
        <v>66875.580992624629</v>
      </c>
      <c r="T17" s="256">
        <f>'GS-NM'!$T$53</f>
        <v>607779.06932120328</v>
      </c>
      <c r="V17" s="144"/>
      <c r="W17" s="144"/>
      <c r="X17" s="144"/>
      <c r="Y17" s="144">
        <v>0</v>
      </c>
      <c r="Z17" s="144">
        <f t="shared" si="9"/>
        <v>66875.580992624629</v>
      </c>
      <c r="AA17" s="144">
        <f t="shared" si="10"/>
        <v>809638.99743743427</v>
      </c>
      <c r="AB17" s="144"/>
      <c r="AC17" s="144"/>
      <c r="AE17" s="144">
        <f>'GS-NM'!$Q$30</f>
        <v>690.47182226908956</v>
      </c>
    </row>
    <row r="18" spans="1:31" s="174" customFormat="1">
      <c r="A18" s="174" t="s">
        <v>202</v>
      </c>
      <c r="B18" s="144">
        <f>'SGS TOD'!$G$53</f>
        <v>1508460.4142761033</v>
      </c>
      <c r="C18" s="144"/>
      <c r="D18" s="144">
        <f>'SGS TOD'!$G$32</f>
        <v>206192.06999999998</v>
      </c>
      <c r="E18" s="144">
        <f>'SGS TOD'!$G$34+'SGS TOD'!$G$48</f>
        <v>5975</v>
      </c>
      <c r="F18" s="144">
        <f>'SGS TOD'!$G$36</f>
        <v>-2078.4</v>
      </c>
      <c r="G18" s="144">
        <f>'SGS TOD'!$G$38</f>
        <v>9521.1311264516116</v>
      </c>
      <c r="H18" s="144">
        <f>'SGS TOD'!$G$42</f>
        <v>75056.05</v>
      </c>
      <c r="I18" s="144">
        <f>'SGS TOD'!$G$44</f>
        <v>35815.637925161289</v>
      </c>
      <c r="J18" s="144">
        <f>'SGS TOD'!$G$46</f>
        <v>77296.040000000008</v>
      </c>
      <c r="K18" s="144">
        <f>'SGS TOD'!$G$50</f>
        <v>-53417.359999999993</v>
      </c>
      <c r="L18" s="144">
        <f t="shared" si="6"/>
        <v>1154100.2452244903</v>
      </c>
      <c r="M18" s="144">
        <f>'SGS TOD'!$L$42</f>
        <v>-48368.727562446278</v>
      </c>
      <c r="N18" s="144">
        <f>'SGS TOD'!$M$53</f>
        <v>0</v>
      </c>
      <c r="O18" s="144">
        <f>'SGS TOD'!$N$53</f>
        <v>0</v>
      </c>
      <c r="P18" s="144">
        <f>'SGS TOD'!$O$53</f>
        <v>4841.5326624686186</v>
      </c>
      <c r="Q18" s="144">
        <f>'SGS TOD'!$P$53</f>
        <v>0</v>
      </c>
      <c r="R18" s="144">
        <f t="shared" si="7"/>
        <v>1110573.0503245126</v>
      </c>
      <c r="S18" s="257">
        <f t="shared" si="8"/>
        <v>96856.54489466385</v>
      </c>
      <c r="T18" s="256">
        <f>'SGS TOD'!$T$53</f>
        <v>1207429.5952191765</v>
      </c>
      <c r="U18" s="140"/>
      <c r="V18" s="144"/>
      <c r="W18" s="144"/>
      <c r="X18" s="144"/>
      <c r="Y18" s="144">
        <v>0</v>
      </c>
      <c r="Z18" s="144">
        <f t="shared" si="9"/>
        <v>96856.54489466385</v>
      </c>
      <c r="AA18" s="144">
        <f t="shared" si="10"/>
        <v>1605316.9591707671</v>
      </c>
      <c r="AB18" s="144"/>
      <c r="AC18" s="144"/>
      <c r="AD18" s="140"/>
      <c r="AE18" s="144">
        <f>'SGS TOD'!$Q$30</f>
        <v>-3026.0611055097816</v>
      </c>
    </row>
    <row r="19" spans="1:31">
      <c r="A19" s="140" t="s">
        <v>367</v>
      </c>
      <c r="B19" s="144">
        <f>'GS-AF'!$G$53</f>
        <v>231033.74409271474</v>
      </c>
      <c r="C19" s="144"/>
      <c r="D19" s="144">
        <f>'GS-AF'!$G$32</f>
        <v>33196.54</v>
      </c>
      <c r="E19" s="144">
        <f>'GS-AF'!$G$34+'GS-AF'!$G$48</f>
        <v>1015</v>
      </c>
      <c r="F19" s="144">
        <f>'GS-AF'!$G$36</f>
        <v>-441.33999999999992</v>
      </c>
      <c r="G19" s="144">
        <f>'GS-AF'!$G$38</f>
        <v>1537.6695483870965</v>
      </c>
      <c r="H19" s="144">
        <f>'GS-AF'!$G$42</f>
        <v>10738.039999999999</v>
      </c>
      <c r="I19" s="144">
        <f>'GS-AF'!$G$44</f>
        <v>6158.7688387096778</v>
      </c>
      <c r="J19" s="144">
        <f>'GS-AF'!$G$46</f>
        <v>11465.939999999999</v>
      </c>
      <c r="K19" s="144">
        <f>'GS-AF'!$G$50</f>
        <v>-9400.6200000000008</v>
      </c>
      <c r="L19" s="144">
        <f t="shared" si="6"/>
        <v>176763.74570561797</v>
      </c>
      <c r="M19" s="144">
        <f>'GS-AF'!$L$42</f>
        <v>-6919.9662294332111</v>
      </c>
      <c r="N19" s="144">
        <f>'GS-AF'!$M$53</f>
        <v>0</v>
      </c>
      <c r="O19" s="144">
        <f>'GS-AF'!$N$53</f>
        <v>0</v>
      </c>
      <c r="P19" s="144">
        <f>'GS-AF'!$O$53</f>
        <v>2951.9003082167483</v>
      </c>
      <c r="Q19" s="144">
        <f>'GS-AF'!$P$53</f>
        <v>0</v>
      </c>
      <c r="R19" s="144">
        <f t="shared" si="7"/>
        <v>172795.67978440149</v>
      </c>
      <c r="S19" s="257">
        <f t="shared" si="8"/>
        <v>45371.888599324797</v>
      </c>
      <c r="T19" s="256">
        <f>'GS-AF'!$T$53</f>
        <v>218167.56838372629</v>
      </c>
      <c r="V19" s="144"/>
      <c r="W19" s="144"/>
      <c r="X19" s="144"/>
      <c r="Y19" s="144">
        <v>0</v>
      </c>
      <c r="Z19" s="144">
        <f t="shared" si="9"/>
        <v>45371.888599324797</v>
      </c>
      <c r="AA19" s="144">
        <f t="shared" si="10"/>
        <v>276405.63269203954</v>
      </c>
      <c r="AB19" s="144"/>
      <c r="AC19" s="144"/>
      <c r="AE19" s="144">
        <f>'GS-AF'!$Q$30</f>
        <v>517.93318561794479</v>
      </c>
    </row>
    <row r="20" spans="1:31">
      <c r="A20" s="140" t="s">
        <v>369</v>
      </c>
      <c r="B20" s="144">
        <f>GSLMTOD!$G$53</f>
        <v>272990.60104513046</v>
      </c>
      <c r="C20" s="144"/>
      <c r="D20" s="144">
        <f>GSLMTOD!$G$32</f>
        <v>45953.7</v>
      </c>
      <c r="E20" s="144">
        <f>GSLMTOD!$G$34+GSLMTOD!$G$48</f>
        <v>806</v>
      </c>
      <c r="F20" s="144">
        <f>GSLMTOD!$G$36</f>
        <v>-519.1099999999999</v>
      </c>
      <c r="G20" s="144">
        <f>GSLMTOD!$G$38</f>
        <v>1757.0908167741934</v>
      </c>
      <c r="H20" s="144">
        <f>GSLMTOD!$G$42</f>
        <v>12637.22</v>
      </c>
      <c r="I20" s="144">
        <f>GSLMTOD!$G$44</f>
        <v>7167.5005574193547</v>
      </c>
      <c r="J20" s="144">
        <f>GSLMTOD!$G$46</f>
        <v>12883.14</v>
      </c>
      <c r="K20" s="144">
        <f>GSLMTOD!$G$50</f>
        <v>-11149.04</v>
      </c>
      <c r="L20" s="144">
        <f t="shared" si="6"/>
        <v>203454.09967093691</v>
      </c>
      <c r="M20" s="144">
        <f>GSLMTOD!$L$42</f>
        <v>-8143.8638367819431</v>
      </c>
      <c r="N20" s="144">
        <f>GSLMTOD!$M$53</f>
        <v>0</v>
      </c>
      <c r="O20" s="144">
        <f>GSLMTOD!$N$53</f>
        <v>19420.144213292748</v>
      </c>
      <c r="P20" s="144">
        <f>GSLMTOD!$O$53</f>
        <v>-6630.4515945161293</v>
      </c>
      <c r="Q20" s="144">
        <f>GSLMTOD!$P$53</f>
        <v>0</v>
      </c>
      <c r="R20" s="144">
        <f t="shared" si="7"/>
        <v>208099.92845293158</v>
      </c>
      <c r="S20" s="257">
        <f t="shared" si="8"/>
        <v>36291.200137851381</v>
      </c>
      <c r="T20" s="256">
        <f>GSLMTOD!$T$53</f>
        <v>244391.12859078296</v>
      </c>
      <c r="V20" s="144"/>
      <c r="W20" s="144"/>
      <c r="X20" s="144"/>
      <c r="Y20" s="144">
        <v>0</v>
      </c>
      <c r="Z20" s="144">
        <f t="shared" si="9"/>
        <v>36291.200137851381</v>
      </c>
      <c r="AA20" s="144">
        <f t="shared" si="10"/>
        <v>309281.80118298181</v>
      </c>
      <c r="AB20" s="144"/>
      <c r="AC20" s="144"/>
      <c r="AE20" s="144">
        <f>GSLMTOD!$Q$30</f>
        <v>-2089.8997590631411</v>
      </c>
    </row>
    <row r="21" spans="1:31">
      <c r="A21" s="140" t="s">
        <v>370</v>
      </c>
      <c r="B21" s="144">
        <f>MGSTOD!$G$53</f>
        <v>1295690.5928825852</v>
      </c>
      <c r="C21" s="144"/>
      <c r="D21" s="144">
        <f>MGSTOD!$G$32</f>
        <v>223919.77</v>
      </c>
      <c r="E21" s="144">
        <f>MGSTOD!$G$34+MGSTOD!$G$48</f>
        <v>1672</v>
      </c>
      <c r="F21" s="144">
        <f>MGSTOD!$G$36</f>
        <v>-2415.2700000000004</v>
      </c>
      <c r="G21" s="144">
        <f>MGSTOD!$G$38</f>
        <v>9428.3266787096763</v>
      </c>
      <c r="H21" s="144">
        <f>MGSTOD!$G$42</f>
        <v>59331.409999999996</v>
      </c>
      <c r="I21" s="144">
        <f>MGSTOD!$G$44</f>
        <v>36839.913230967744</v>
      </c>
      <c r="J21" s="144">
        <f>MGSTOD!$G$46</f>
        <v>60220.76999999999</v>
      </c>
      <c r="K21" s="144">
        <f>MGSTOD!$G$50</f>
        <v>-56011.420000000006</v>
      </c>
      <c r="L21" s="144">
        <f t="shared" si="6"/>
        <v>962705.0929729077</v>
      </c>
      <c r="M21" s="144">
        <f>MGSTOD!$L$42</f>
        <v>-38235.222959185841</v>
      </c>
      <c r="N21" s="144">
        <f>MGSTOD!$M$53</f>
        <v>0</v>
      </c>
      <c r="O21" s="144">
        <f>MGSTOD!$N$53</f>
        <v>0</v>
      </c>
      <c r="P21" s="144">
        <f>MGSTOD!$O$53</f>
        <v>18486.66003770335</v>
      </c>
      <c r="Q21" s="144">
        <f>MGSTOD!$P$53</f>
        <v>0</v>
      </c>
      <c r="R21" s="144">
        <f t="shared" si="7"/>
        <v>942956.53005142522</v>
      </c>
      <c r="S21" s="257">
        <f t="shared" si="8"/>
        <v>165592.77188889927</v>
      </c>
      <c r="T21" s="256">
        <f>MGSTOD!$T$53</f>
        <v>1108549.3019403245</v>
      </c>
      <c r="V21" s="144"/>
      <c r="W21" s="144"/>
      <c r="X21" s="144"/>
      <c r="Y21" s="144">
        <v>0</v>
      </c>
      <c r="Z21" s="144">
        <f t="shared" si="9"/>
        <v>165592.77188889927</v>
      </c>
      <c r="AA21" s="144">
        <f t="shared" si="10"/>
        <v>1461283.3647714844</v>
      </c>
      <c r="AB21" s="144"/>
      <c r="AC21" s="144"/>
      <c r="AE21" s="144">
        <f>MGSTOD!$Q$30</f>
        <v>-3222.8939970918891</v>
      </c>
    </row>
    <row r="22" spans="1:31">
      <c r="A22" s="140" t="s">
        <v>368</v>
      </c>
      <c r="B22" s="144">
        <f>'GS-PRI'!$G$53</f>
        <v>1314726.8183044656</v>
      </c>
      <c r="C22" s="144"/>
      <c r="D22" s="144">
        <f>'GS-PRI'!$G$32</f>
        <v>228481.62000000002</v>
      </c>
      <c r="E22" s="144">
        <f>'GS-PRI'!$G$34+'GS-PRI'!$G$48</f>
        <v>890</v>
      </c>
      <c r="F22" s="144">
        <f>'GS-PRI'!$G$36</f>
        <v>-2613.7999999999997</v>
      </c>
      <c r="G22" s="144">
        <f>'GS-PRI'!$G$38</f>
        <v>9118.5151522580636</v>
      </c>
      <c r="H22" s="144">
        <f>'GS-PRI'!$G$42</f>
        <v>59853.53</v>
      </c>
      <c r="I22" s="144">
        <f>'GS-PRI'!$G$44</f>
        <v>36210.813705806453</v>
      </c>
      <c r="J22" s="144">
        <f>'GS-PRI'!$G$46</f>
        <v>61121.619999999995</v>
      </c>
      <c r="K22" s="144">
        <f>'GS-PRI'!$G$50</f>
        <v>-54778.540000000008</v>
      </c>
      <c r="L22" s="144">
        <f t="shared" si="6"/>
        <v>976443.05944640108</v>
      </c>
      <c r="M22" s="144">
        <f>'GS-PRI'!$L$42</f>
        <v>-38571.695236036336</v>
      </c>
      <c r="N22" s="144">
        <f>'GS-PRI'!$M$53</f>
        <v>0</v>
      </c>
      <c r="O22" s="144">
        <f>'GS-PRI'!$N$53</f>
        <v>5431.0328975323009</v>
      </c>
      <c r="P22" s="144">
        <f>'GS-PRI'!$O$53</f>
        <v>-28835.535900847695</v>
      </c>
      <c r="Q22" s="144">
        <f>'GS-PRI'!$P$53</f>
        <v>0</v>
      </c>
      <c r="R22" s="144">
        <f t="shared" si="7"/>
        <v>914466.86120704934</v>
      </c>
      <c r="S22" s="257">
        <f t="shared" si="8"/>
        <v>162776.63269047835</v>
      </c>
      <c r="T22" s="256">
        <f>'GS-PRI'!$T$53</f>
        <v>1077243.4938975277</v>
      </c>
      <c r="V22" s="144"/>
      <c r="W22" s="144"/>
      <c r="X22" s="144"/>
      <c r="Y22" s="144">
        <v>0</v>
      </c>
      <c r="Z22" s="144">
        <f t="shared" si="9"/>
        <v>162776.63269047835</v>
      </c>
      <c r="AA22" s="144">
        <f t="shared" si="10"/>
        <v>1477503.450994944</v>
      </c>
      <c r="AB22" s="144"/>
      <c r="AC22" s="144"/>
      <c r="AE22" s="144">
        <f>'GS-PRI'!$Q$30</f>
        <v>-10619.515621077491</v>
      </c>
    </row>
    <row r="23" spans="1:31">
      <c r="A23" s="145" t="s">
        <v>371</v>
      </c>
      <c r="B23" s="146">
        <f>'GS-SUB'!$G$53</f>
        <v>67974.08929814586</v>
      </c>
      <c r="C23" s="146"/>
      <c r="D23" s="146">
        <f>'GS-SUB'!$G$32</f>
        <v>10244.879999999999</v>
      </c>
      <c r="E23" s="146">
        <f>'GS-SUB'!$G$34+'GS-SUB'!$G$48</f>
        <v>37</v>
      </c>
      <c r="F23" s="146">
        <f>'GS-SUB'!$G$36</f>
        <v>-87.580000000000013</v>
      </c>
      <c r="G23" s="146">
        <f>'GS-SUB'!$G$38</f>
        <v>499.35019741935491</v>
      </c>
      <c r="H23" s="146">
        <f>'GS-SUB'!$G$42</f>
        <v>3284.9599999999996</v>
      </c>
      <c r="I23" s="146">
        <f>'GS-SUB'!$G$44</f>
        <v>1843.235821935484</v>
      </c>
      <c r="J23" s="146">
        <f>'GS-SUB'!$G$46</f>
        <v>3382.79</v>
      </c>
      <c r="K23" s="146">
        <f>'GS-SUB'!$G$50</f>
        <v>-2770.32</v>
      </c>
      <c r="L23" s="146">
        <f>B23+C23-SUM(D23:K23)</f>
        <v>51539.773278791021</v>
      </c>
      <c r="M23" s="146">
        <f>'GS-SUB'!$L$42</f>
        <v>-2116.9424089534891</v>
      </c>
      <c r="N23" s="146">
        <f>'GS-SUB'!$M$53</f>
        <v>0</v>
      </c>
      <c r="O23" s="146">
        <f>'GS-SUB'!$N$53</f>
        <v>0</v>
      </c>
      <c r="P23" s="146">
        <f>'GS-SUB'!$O$53</f>
        <v>-1431.1480956756757</v>
      </c>
      <c r="Q23" s="146">
        <f>'GS-SUB'!$P$53</f>
        <v>0</v>
      </c>
      <c r="R23" s="146">
        <f>SUM(L23:Q23)</f>
        <v>47991.682774161854</v>
      </c>
      <c r="S23" s="146">
        <f>T23-R23</f>
        <v>7972.8337293693185</v>
      </c>
      <c r="T23" s="478">
        <f>'GS-SUB'!$T$53</f>
        <v>55964.516503531173</v>
      </c>
      <c r="U23" s="145"/>
      <c r="V23" s="146"/>
      <c r="W23" s="146"/>
      <c r="X23" s="146"/>
      <c r="Y23" s="146">
        <v>0</v>
      </c>
      <c r="Z23" s="146">
        <f t="shared" si="9"/>
        <v>7972.8337293693185</v>
      </c>
      <c r="AA23" s="146">
        <f t="shared" si="10"/>
        <v>75946.923027515179</v>
      </c>
      <c r="AB23" s="141"/>
      <c r="AC23" s="141"/>
      <c r="AE23" s="146">
        <f>'GS-SUB'!$Q$30</f>
        <v>-1412.7062612089535</v>
      </c>
    </row>
    <row r="24" spans="1:31">
      <c r="A24" s="140" t="s">
        <v>351</v>
      </c>
      <c r="B24" s="144">
        <f>SUM(B16:B23)</f>
        <v>108376756.11286156</v>
      </c>
      <c r="C24" s="144"/>
      <c r="D24" s="144">
        <f>SUM(D16:D23)</f>
        <v>16484587.809999999</v>
      </c>
      <c r="E24" s="144">
        <f t="shared" ref="E24:P24" si="11">SUM(E16:E23)</f>
        <v>370293</v>
      </c>
      <c r="F24" s="144">
        <f t="shared" si="11"/>
        <v>-170913.63999999996</v>
      </c>
      <c r="G24" s="144">
        <f t="shared" si="11"/>
        <v>690068.81568774208</v>
      </c>
      <c r="H24" s="144">
        <f t="shared" si="11"/>
        <v>5217918.4499999993</v>
      </c>
      <c r="I24" s="144">
        <f>SUM(I16:I23)</f>
        <v>2688451.5616541938</v>
      </c>
      <c r="J24" s="144">
        <f t="shared" si="11"/>
        <v>5344506.7299999995</v>
      </c>
      <c r="K24" s="144">
        <f t="shared" ref="K24:O24" si="12">SUM(K16:K23)</f>
        <v>-4099313.31</v>
      </c>
      <c r="L24" s="144">
        <f t="shared" si="12"/>
        <v>81851156.695519611</v>
      </c>
      <c r="M24" s="144">
        <f t="shared" si="12"/>
        <v>-3362608.0236185091</v>
      </c>
      <c r="N24" s="144">
        <f t="shared" si="12"/>
        <v>0</v>
      </c>
      <c r="O24" s="144">
        <f t="shared" si="12"/>
        <v>1073351.6096458926</v>
      </c>
      <c r="P24" s="144">
        <f t="shared" si="11"/>
        <v>206224.95642647188</v>
      </c>
      <c r="Q24" s="144">
        <f t="shared" ref="Q24" si="13">SUM(Q16:Q23)</f>
        <v>0</v>
      </c>
      <c r="R24" s="144">
        <f>SUM(R16:R23)</f>
        <v>79768125.237973481</v>
      </c>
      <c r="S24" s="144">
        <f t="shared" ref="S24:T24" si="14">SUM(S16:S23)</f>
        <v>13757530.597518984</v>
      </c>
      <c r="T24" s="144">
        <f t="shared" si="14"/>
        <v>93525655.835492447</v>
      </c>
      <c r="U24" s="144">
        <v>93529668.576349989</v>
      </c>
      <c r="V24" s="144">
        <f>U24-T24</f>
        <v>4012.7408575415611</v>
      </c>
      <c r="W24" s="144">
        <v>4004</v>
      </c>
      <c r="X24" s="144">
        <f>V24-W24</f>
        <v>8.7408575415611267</v>
      </c>
      <c r="Y24" s="400">
        <f t="shared" ref="Y24:AA24" si="15">SUM(Y16:Y23)</f>
        <v>0</v>
      </c>
      <c r="Z24" s="144">
        <f t="shared" si="15"/>
        <v>13757530.597518984</v>
      </c>
      <c r="AA24" s="144">
        <f t="shared" si="15"/>
        <v>122134286.71038054</v>
      </c>
      <c r="AB24" s="144"/>
      <c r="AC24" s="144"/>
      <c r="AE24" s="144">
        <f>SUM(AE16:AE23)</f>
        <v>-207533.82485149876</v>
      </c>
    </row>
    <row r="25" spans="1:31">
      <c r="C25" s="144"/>
      <c r="M25" s="144"/>
      <c r="N25" s="144"/>
      <c r="O25" s="144"/>
      <c r="T25" s="256"/>
      <c r="U25" s="144"/>
      <c r="V25" s="144"/>
      <c r="W25" s="144"/>
      <c r="X25" s="144"/>
      <c r="Y25" s="400"/>
      <c r="Z25" s="144"/>
      <c r="AA25" s="144"/>
      <c r="AB25" s="144"/>
      <c r="AC25" s="144"/>
      <c r="AE25" s="144"/>
    </row>
    <row r="26" spans="1:31">
      <c r="A26" s="140" t="s">
        <v>372</v>
      </c>
      <c r="B26" s="144">
        <f>'LGS-SEC'!$G$53</f>
        <v>43800119.723797604</v>
      </c>
      <c r="C26" s="144"/>
      <c r="D26" s="144">
        <f>'LGS-SEC'!$G$32</f>
        <v>7831711.1599999992</v>
      </c>
      <c r="E26" s="144">
        <f>'LGS-SEC'!$G$34+'LGS-SEC'!$G$48</f>
        <v>4320</v>
      </c>
      <c r="F26" s="144">
        <f>'LGS-SEC'!$G$36</f>
        <v>-81598.740000000005</v>
      </c>
      <c r="G26" s="144">
        <f>'LGS-SEC'!$G$38</f>
        <v>344642.06380516122</v>
      </c>
      <c r="H26" s="144">
        <f>'LGS-SEC'!$G$42</f>
        <v>1941340.2</v>
      </c>
      <c r="I26" s="144">
        <f>'LGS-SEC'!$G$44</f>
        <v>1092712.417536129</v>
      </c>
      <c r="J26" s="144">
        <f>'LGS-SEC'!$G$46</f>
        <v>1994130.82</v>
      </c>
      <c r="K26" s="144">
        <f>'LGS-SEC'!$G$50</f>
        <v>-1987891.89</v>
      </c>
      <c r="L26" s="144">
        <f t="shared" ref="L26:L31" si="16">B26+C26-SUM(D26:K26)</f>
        <v>32660753.692456316</v>
      </c>
      <c r="M26" s="144">
        <f>'LGS-SEC'!$L$42</f>
        <v>-1251067.1057139961</v>
      </c>
      <c r="N26" s="144">
        <f>'LGS-SEC'!$M$53</f>
        <v>0</v>
      </c>
      <c r="O26" s="144">
        <f>'LGS-SEC'!$N$53</f>
        <v>383191.7619030691</v>
      </c>
      <c r="P26" s="144">
        <f>'LGS-SEC'!$O$53</f>
        <v>362776.7955315556</v>
      </c>
      <c r="Q26" s="144">
        <f>'LGS-SEC'!$P$53</f>
        <v>0</v>
      </c>
      <c r="R26" s="144">
        <f t="shared" ref="R26:R31" si="17">SUM(L26:Q26)</f>
        <v>32155655.144176945</v>
      </c>
      <c r="S26" s="257">
        <f t="shared" ref="S26:S31" si="18">T26-R26</f>
        <v>3753462.7188737467</v>
      </c>
      <c r="T26" s="256">
        <f>'LGS-SEC'!$T$53</f>
        <v>35909117.863050692</v>
      </c>
      <c r="V26" s="144"/>
      <c r="W26" s="144"/>
      <c r="X26" s="144"/>
      <c r="Y26" s="144">
        <v>0</v>
      </c>
      <c r="Z26" s="144">
        <f t="shared" ref="Z26:Z32" si="19">S26+Y26</f>
        <v>3753462.7188737467</v>
      </c>
      <c r="AA26" s="144">
        <f t="shared" ref="AA26:AA32" si="20">B26+Z26</f>
        <v>47553582.442671351</v>
      </c>
      <c r="AB26" s="144"/>
      <c r="AC26" s="144"/>
      <c r="AE26" s="144">
        <f>'LGS-SEC'!$Q$30</f>
        <v>10842.09461631066</v>
      </c>
    </row>
    <row r="27" spans="1:31">
      <c r="A27" s="140" t="s">
        <v>376</v>
      </c>
      <c r="B27" s="144">
        <f>LGSLMTOD!$G$53</f>
        <v>264428.90459788358</v>
      </c>
      <c r="C27" s="144"/>
      <c r="D27" s="144">
        <f>LGSLMTOD!$G$32</f>
        <v>50209.88</v>
      </c>
      <c r="E27" s="144">
        <f>LGSLMTOD!$G$34+LGSLMTOD!$G$48</f>
        <v>84</v>
      </c>
      <c r="F27" s="144">
        <f>LGSLMTOD!$G$36</f>
        <v>-562.78000000000009</v>
      </c>
      <c r="G27" s="144">
        <f>LGSLMTOD!$G$38</f>
        <v>2267.393545806452</v>
      </c>
      <c r="H27" s="144">
        <f>LGSLMTOD!$G$42</f>
        <v>12588.4</v>
      </c>
      <c r="I27" s="144">
        <f>LGSLMTOD!$G$44</f>
        <v>7607.8929058064514</v>
      </c>
      <c r="J27" s="144">
        <f>LGSLMTOD!$G$46</f>
        <v>11839.430000000002</v>
      </c>
      <c r="K27" s="144">
        <f>LGSLMTOD!$G$50</f>
        <v>-11711.470000000001</v>
      </c>
      <c r="L27" s="144">
        <f t="shared" si="16"/>
        <v>192106.15814627067</v>
      </c>
      <c r="M27" s="144">
        <f>LGSLMTOD!$L$42</f>
        <v>-8112.4025318025488</v>
      </c>
      <c r="N27" s="144">
        <f>LGSLMTOD!$M$53</f>
        <v>0</v>
      </c>
      <c r="O27" s="144">
        <f>LGSLMTOD!$N$53</f>
        <v>0</v>
      </c>
      <c r="P27" s="144">
        <f>LGSLMTOD!$O$53</f>
        <v>0</v>
      </c>
      <c r="Q27" s="144">
        <f>LGSLMTOD!$P$53</f>
        <v>0</v>
      </c>
      <c r="R27" s="144">
        <f t="shared" si="17"/>
        <v>183993.75561446813</v>
      </c>
      <c r="S27" s="257">
        <f t="shared" si="18"/>
        <v>21037.210741802555</v>
      </c>
      <c r="T27" s="256">
        <f>LGSLMTOD!$T$53</f>
        <v>205030.96635627068</v>
      </c>
      <c r="V27" s="144"/>
      <c r="W27" s="144"/>
      <c r="X27" s="144"/>
      <c r="Y27" s="144">
        <v>0</v>
      </c>
      <c r="Z27" s="144">
        <f t="shared" si="19"/>
        <v>21037.210741802555</v>
      </c>
      <c r="AA27" s="144">
        <f t="shared" si="20"/>
        <v>285466.11533968616</v>
      </c>
      <c r="AB27" s="144"/>
      <c r="AC27" s="144"/>
      <c r="AE27" s="144">
        <f>LGSLMTOD!$Q$30</f>
        <v>-530.81467372933082</v>
      </c>
    </row>
    <row r="28" spans="1:31">
      <c r="A28" s="140" t="s">
        <v>377</v>
      </c>
      <c r="B28" s="144">
        <f>'LGS-SEC TOD'!$G$53</f>
        <v>661824.0494181586</v>
      </c>
      <c r="C28" s="144"/>
      <c r="D28" s="144">
        <f>'LGS-SEC TOD'!$G$32</f>
        <v>130839.35</v>
      </c>
      <c r="E28" s="144">
        <f>'LGS-SEC TOD'!$G$34+'LGS-SEC TOD'!$G$48</f>
        <v>50</v>
      </c>
      <c r="F28" s="144">
        <f>'LGS-SEC TOD'!$G$36</f>
        <v>-1445.9299999999998</v>
      </c>
      <c r="G28" s="144">
        <f>'LGS-SEC TOD'!$G$38</f>
        <v>5803.873482580645</v>
      </c>
      <c r="H28" s="144">
        <f>'LGS-SEC TOD'!$G$42</f>
        <v>27616.070000000003</v>
      </c>
      <c r="I28" s="144">
        <f>'LGS-SEC TOD'!$G$44</f>
        <v>12442.292697419354</v>
      </c>
      <c r="J28" s="144">
        <f>'LGS-SEC TOD'!$G$46</f>
        <v>28120.19</v>
      </c>
      <c r="K28" s="144">
        <f>'LGS-SEC TOD'!$G$50</f>
        <v>-33832.720000000001</v>
      </c>
      <c r="L28" s="144">
        <f t="shared" si="16"/>
        <v>492230.92323815858</v>
      </c>
      <c r="M28" s="144">
        <f>'LGS-SEC TOD'!$L$42</f>
        <v>-17796.755440440123</v>
      </c>
      <c r="N28" s="144">
        <f>'LGS-SEC TOD'!$M$53</f>
        <v>0</v>
      </c>
      <c r="O28" s="144">
        <f>'LGS-SEC TOD'!$N$53</f>
        <v>0</v>
      </c>
      <c r="P28" s="144">
        <f>'LGS-SEC TOD'!$O$53</f>
        <v>98005.866808000006</v>
      </c>
      <c r="Q28" s="144">
        <f>'LGS-SEC TOD'!$P$53</f>
        <v>0</v>
      </c>
      <c r="R28" s="144">
        <f t="shared" si="17"/>
        <v>572440.03460571845</v>
      </c>
      <c r="S28" s="257">
        <f t="shared" si="18"/>
        <v>65531.590324440156</v>
      </c>
      <c r="T28" s="256">
        <f>'LGS-SEC TOD'!$T$53</f>
        <v>637971.62493015861</v>
      </c>
      <c r="V28" s="144"/>
      <c r="W28" s="144"/>
      <c r="X28" s="144"/>
      <c r="Y28" s="144">
        <v>0</v>
      </c>
      <c r="Z28" s="144">
        <f t="shared" si="19"/>
        <v>65531.590324440156</v>
      </c>
      <c r="AA28" s="144">
        <f t="shared" si="20"/>
        <v>727355.63974259875</v>
      </c>
      <c r="AB28" s="144"/>
      <c r="AC28" s="144"/>
      <c r="AE28" s="144">
        <f>'LGS-SEC TOD'!$Q$30</f>
        <v>2201.5891981586451</v>
      </c>
    </row>
    <row r="29" spans="1:31">
      <c r="A29" s="140" t="s">
        <v>378</v>
      </c>
      <c r="B29" s="144">
        <f>'LGS-PRI TOD'!$G$53</f>
        <v>311861.25814510748</v>
      </c>
      <c r="C29" s="144"/>
      <c r="D29" s="144">
        <f>'LGS-PRI TOD'!$G$32</f>
        <v>53586.76</v>
      </c>
      <c r="E29" s="144">
        <f>'LGS-PRI TOD'!$G$34+'LGS-PRI TOD'!$G$48</f>
        <v>24</v>
      </c>
      <c r="F29" s="144">
        <f>'LGS-PRI TOD'!$G$36</f>
        <v>-311.25</v>
      </c>
      <c r="G29" s="144">
        <f>'LGS-PRI TOD'!$G$38</f>
        <v>3297.0140464516135</v>
      </c>
      <c r="H29" s="144">
        <f>'LGS-PRI TOD'!$G$42</f>
        <v>14581.479999999998</v>
      </c>
      <c r="I29" s="144">
        <f>'LGS-PRI TOD'!$G$44</f>
        <v>9267.7401187096766</v>
      </c>
      <c r="J29" s="144">
        <f>'LGS-PRI TOD'!$G$46</f>
        <v>13658.09</v>
      </c>
      <c r="K29" s="144">
        <f>'LGS-PRI TOD'!$G$50</f>
        <v>-15518.19</v>
      </c>
      <c r="L29" s="144">
        <f t="shared" si="16"/>
        <v>233275.61397994618</v>
      </c>
      <c r="M29" s="144">
        <f>'LGS-PRI TOD'!$L$42</f>
        <v>-9396.8125631079583</v>
      </c>
      <c r="N29" s="144">
        <f>'LGS-PRI TOD'!$M$53</f>
        <v>0</v>
      </c>
      <c r="O29" s="144">
        <f>'LGS-PRI TOD'!$N$53</f>
        <v>0</v>
      </c>
      <c r="P29" s="144">
        <f>'LGS-PRI TOD'!$O$53</f>
        <v>0</v>
      </c>
      <c r="Q29" s="144">
        <f>'LGS-PRI TOD'!$P$53</f>
        <v>0</v>
      </c>
      <c r="R29" s="144">
        <f t="shared" si="17"/>
        <v>223878.80141683822</v>
      </c>
      <c r="S29" s="257">
        <f t="shared" si="18"/>
        <v>27327.122883107921</v>
      </c>
      <c r="T29" s="256">
        <f>'LGS-PRI TOD'!$T$53</f>
        <v>251205.92429994614</v>
      </c>
      <c r="V29" s="144"/>
      <c r="W29" s="144"/>
      <c r="X29" s="144"/>
      <c r="Y29" s="144">
        <v>0</v>
      </c>
      <c r="Z29" s="144">
        <f t="shared" si="19"/>
        <v>27327.122883107921</v>
      </c>
      <c r="AA29" s="144">
        <f t="shared" si="20"/>
        <v>339188.3810282154</v>
      </c>
      <c r="AB29" s="144"/>
      <c r="AC29" s="144"/>
      <c r="AE29" s="144">
        <f>'LGS-PRI TOD'!$Q$30</f>
        <v>1877.1232599461844</v>
      </c>
    </row>
    <row r="30" spans="1:31">
      <c r="A30" s="140" t="s">
        <v>373</v>
      </c>
      <c r="B30" s="144">
        <f>'LGS-PRI'!$G$53</f>
        <v>12020766.633925119</v>
      </c>
      <c r="C30" s="144"/>
      <c r="D30" s="144">
        <f>'LGS-PRI'!$G$32</f>
        <v>2150496.62</v>
      </c>
      <c r="E30" s="144">
        <f>'LGS-PRI'!$G$34+'LGS-PRI'!$G$48</f>
        <v>801</v>
      </c>
      <c r="F30" s="144">
        <f>'LGS-PRI'!$G$36</f>
        <v>-24695.47</v>
      </c>
      <c r="G30" s="144">
        <f>'LGS-PRI'!$G$38</f>
        <v>91062.11635612903</v>
      </c>
      <c r="H30" s="144">
        <f>'LGS-PRI'!$G$42</f>
        <v>529058.53</v>
      </c>
      <c r="I30" s="144">
        <f>'LGS-PRI'!$G$44</f>
        <v>415026.61754451616</v>
      </c>
      <c r="J30" s="144">
        <f>'LGS-PRI'!$G$46</f>
        <v>548647.49</v>
      </c>
      <c r="K30" s="144">
        <f>'LGS-PRI'!$G$50</f>
        <v>-549353.56000000006</v>
      </c>
      <c r="L30" s="144">
        <f t="shared" si="16"/>
        <v>8859723.2900244743</v>
      </c>
      <c r="M30" s="144">
        <f>'LGS-PRI'!$L$42</f>
        <v>-340943.70676525496</v>
      </c>
      <c r="N30" s="144">
        <f>'LGS-PRI'!$M$53</f>
        <v>0</v>
      </c>
      <c r="O30" s="144">
        <f>'LGS-PRI'!$N$53</f>
        <v>108146.38405088639</v>
      </c>
      <c r="P30" s="144">
        <f>'LGS-PRI'!$O$53</f>
        <v>299561.77455101127</v>
      </c>
      <c r="Q30" s="144">
        <f>'LGS-PRI'!$P$53</f>
        <v>0</v>
      </c>
      <c r="R30" s="144">
        <f t="shared" si="17"/>
        <v>8926487.741861118</v>
      </c>
      <c r="S30" s="257">
        <f t="shared" si="18"/>
        <v>1140203.9707956426</v>
      </c>
      <c r="T30" s="256">
        <f>'LGS-PRI'!$T$53</f>
        <v>10066691.712656761</v>
      </c>
      <c r="V30" s="144"/>
      <c r="W30" s="144"/>
      <c r="X30" s="144"/>
      <c r="Y30" s="144">
        <v>0</v>
      </c>
      <c r="Z30" s="144">
        <f t="shared" si="19"/>
        <v>1140203.9707956426</v>
      </c>
      <c r="AA30" s="144">
        <f t="shared" si="20"/>
        <v>13160970.604720762</v>
      </c>
      <c r="AB30" s="144"/>
      <c r="AC30" s="144"/>
      <c r="AE30" s="144">
        <f>'LGS-PRI'!$Q$30</f>
        <v>8207.1183444747785</v>
      </c>
    </row>
    <row r="31" spans="1:31" s="174" customFormat="1">
      <c r="A31" s="174" t="s">
        <v>374</v>
      </c>
      <c r="B31" s="144">
        <f>'LGS-SUB'!$G$53</f>
        <v>1321791.8395351367</v>
      </c>
      <c r="C31" s="144"/>
      <c r="D31" s="144">
        <f>'LGS-SUB'!$G$32</f>
        <v>336293.85</v>
      </c>
      <c r="E31" s="144">
        <f>'LGS-SUB'!$G$34+'LGS-SUB'!$G$48</f>
        <v>78</v>
      </c>
      <c r="F31" s="144">
        <f>'LGS-SUB'!$G$36</f>
        <v>-3028.0200000000004</v>
      </c>
      <c r="G31" s="144">
        <f>'LGS-SUB'!$G$38</f>
        <v>15730.434932903227</v>
      </c>
      <c r="H31" s="144">
        <f>'LGS-SUB'!$G$42</f>
        <v>44280.760000000009</v>
      </c>
      <c r="I31" s="144">
        <f>'LGS-SUB'!$G$44</f>
        <v>39762.718507741927</v>
      </c>
      <c r="J31" s="144">
        <f>'LGS-SUB'!$G$46</f>
        <v>46300.05</v>
      </c>
      <c r="K31" s="144">
        <f>'LGS-SUB'!$G$50</f>
        <v>-87201.49000000002</v>
      </c>
      <c r="L31" s="144">
        <f t="shared" si="16"/>
        <v>929575.5360944916</v>
      </c>
      <c r="M31" s="144">
        <f>'LGS-SUB'!$L$42</f>
        <v>-28536.060939765273</v>
      </c>
      <c r="N31" s="144">
        <f>'LGS-SUB'!$M$53</f>
        <v>0</v>
      </c>
      <c r="O31" s="144">
        <f>'LGS-SUB'!$N$53</f>
        <v>0</v>
      </c>
      <c r="P31" s="144">
        <f>'LGS-SUB'!$O$53</f>
        <v>71661.171453846153</v>
      </c>
      <c r="Q31" s="144">
        <f>'LGS-SUB'!$P$53</f>
        <v>0</v>
      </c>
      <c r="R31" s="144">
        <f t="shared" si="17"/>
        <v>972700.64660857245</v>
      </c>
      <c r="S31" s="257">
        <f t="shared" si="18"/>
        <v>101527.23131668824</v>
      </c>
      <c r="T31" s="256">
        <f>'LGS-SUB'!$T$53</f>
        <v>1074227.8779252607</v>
      </c>
      <c r="U31" s="140"/>
      <c r="V31" s="144"/>
      <c r="W31" s="144"/>
      <c r="X31" s="144"/>
      <c r="Y31" s="144">
        <v>0</v>
      </c>
      <c r="Z31" s="144">
        <f t="shared" si="19"/>
        <v>101527.23131668824</v>
      </c>
      <c r="AA31" s="144">
        <f t="shared" si="20"/>
        <v>1423319.0708518249</v>
      </c>
      <c r="AB31" s="144"/>
      <c r="AC31" s="144"/>
      <c r="AD31" s="140"/>
      <c r="AE31" s="144">
        <f>'LGS-SUB'!$Q$30</f>
        <v>-2019.6928055086423</v>
      </c>
    </row>
    <row r="32" spans="1:31">
      <c r="A32" s="145" t="s">
        <v>375</v>
      </c>
      <c r="B32" s="146">
        <f>'LGS-TRAN'!$G$53</f>
        <v>0</v>
      </c>
      <c r="C32" s="146"/>
      <c r="D32" s="146">
        <f>'LGS-TRAN'!$G$32</f>
        <v>0</v>
      </c>
      <c r="E32" s="146">
        <f>'LGS-TRAN'!$G$34+'LGS-TRAN'!$G$48</f>
        <v>0</v>
      </c>
      <c r="F32" s="146">
        <f>'LGS-TRAN'!$G$36</f>
        <v>0</v>
      </c>
      <c r="G32" s="146">
        <f>'LGS-TRAN'!$G$38</f>
        <v>0</v>
      </c>
      <c r="H32" s="146">
        <f>'LGS-TRAN'!$G$42</f>
        <v>0</v>
      </c>
      <c r="I32" s="146">
        <f>'LGS-TRAN'!$G$44</f>
        <v>0</v>
      </c>
      <c r="J32" s="146">
        <f>'LGS-TRAN'!$G$46</f>
        <v>0</v>
      </c>
      <c r="K32" s="146">
        <f>'LGS-TRAN'!$G$50</f>
        <v>0</v>
      </c>
      <c r="L32" s="146">
        <f>B32+C32-SUM(D32:K32)</f>
        <v>0</v>
      </c>
      <c r="M32" s="146">
        <f>'LGS-TRAN'!$L$42</f>
        <v>0</v>
      </c>
      <c r="N32" s="146">
        <f>'LGS-TRAN'!$M$53</f>
        <v>0</v>
      </c>
      <c r="O32" s="146">
        <f>'LGS-TRAN'!$N$53</f>
        <v>0</v>
      </c>
      <c r="P32" s="146">
        <f>'LGS-TRAN'!$O$53</f>
        <v>0</v>
      </c>
      <c r="Q32" s="146">
        <f>'LGS-TRAN'!$P$53</f>
        <v>0</v>
      </c>
      <c r="R32" s="146">
        <f>SUM(L32:Q32)</f>
        <v>0</v>
      </c>
      <c r="S32" s="146">
        <f>T32-R32</f>
        <v>0</v>
      </c>
      <c r="T32" s="478">
        <f>'LGS-TRAN'!$T$53</f>
        <v>0</v>
      </c>
      <c r="U32" s="145"/>
      <c r="V32" s="146"/>
      <c r="W32" s="146"/>
      <c r="X32" s="146"/>
      <c r="Y32" s="146">
        <v>0</v>
      </c>
      <c r="Z32" s="146">
        <f t="shared" si="19"/>
        <v>0</v>
      </c>
      <c r="AA32" s="146">
        <f t="shared" si="20"/>
        <v>0</v>
      </c>
      <c r="AB32" s="141"/>
      <c r="AC32" s="141"/>
      <c r="AE32" s="146">
        <f>'LGS-TRAN'!$Q$30</f>
        <v>0</v>
      </c>
    </row>
    <row r="33" spans="1:31">
      <c r="A33" s="140" t="s">
        <v>175</v>
      </c>
      <c r="B33" s="144">
        <f>SUM(B26:B32)</f>
        <v>58380792.409419015</v>
      </c>
      <c r="C33" s="144"/>
      <c r="D33" s="144">
        <f>SUM(D26:D32)</f>
        <v>10553137.619999999</v>
      </c>
      <c r="E33" s="144">
        <f t="shared" ref="E33:G33" si="21">SUM(E26:E32)</f>
        <v>5357</v>
      </c>
      <c r="F33" s="144">
        <f t="shared" si="21"/>
        <v>-111642.19</v>
      </c>
      <c r="G33" s="144">
        <f t="shared" si="21"/>
        <v>462802.89616903214</v>
      </c>
      <c r="H33" s="144">
        <f>SUM(H26:H32)</f>
        <v>2569465.4399999995</v>
      </c>
      <c r="I33" s="144">
        <f>SUM(I26:I32)</f>
        <v>1576819.6793103227</v>
      </c>
      <c r="J33" s="144">
        <f>SUM(J26:J32)</f>
        <v>2642696.0699999998</v>
      </c>
      <c r="K33" s="144">
        <f t="shared" ref="K33:T33" si="22">SUM(K26:K32)</f>
        <v>-2685509.3200000003</v>
      </c>
      <c r="L33" s="144">
        <f t="shared" si="22"/>
        <v>43367665.213939659</v>
      </c>
      <c r="M33" s="144">
        <f t="shared" ref="M33:N33" si="23">SUM(M26:M32)</f>
        <v>-1655852.8439543671</v>
      </c>
      <c r="N33" s="144">
        <f t="shared" si="23"/>
        <v>0</v>
      </c>
      <c r="O33" s="144">
        <f t="shared" si="22"/>
        <v>491338.14595395548</v>
      </c>
      <c r="P33" s="144">
        <f t="shared" si="22"/>
        <v>832005.60834441311</v>
      </c>
      <c r="Q33" s="144">
        <f t="shared" ref="Q33" si="24">SUM(Q26:Q32)</f>
        <v>0</v>
      </c>
      <c r="R33" s="144">
        <f t="shared" si="22"/>
        <v>43035156.124283656</v>
      </c>
      <c r="S33" s="144">
        <f t="shared" si="22"/>
        <v>5109089.8449354284</v>
      </c>
      <c r="T33" s="144">
        <f t="shared" si="22"/>
        <v>48144245.969219089</v>
      </c>
      <c r="U33" s="144">
        <v>48281642.113520361</v>
      </c>
      <c r="V33" s="144">
        <f>U33-T33</f>
        <v>137396.14430127293</v>
      </c>
      <c r="W33" s="144">
        <v>3933</v>
      </c>
      <c r="X33" s="144">
        <f>V33-W33</f>
        <v>133463.14430127293</v>
      </c>
      <c r="Y33" s="400">
        <f t="shared" ref="Y33:AA33" si="25">SUM(Y26:Y32)</f>
        <v>0</v>
      </c>
      <c r="Z33" s="144">
        <f t="shared" si="25"/>
        <v>5109089.8449354284</v>
      </c>
      <c r="AA33" s="144">
        <f t="shared" si="25"/>
        <v>63489882.25435444</v>
      </c>
      <c r="AB33" s="144"/>
      <c r="AC33" s="144"/>
      <c r="AE33" s="144">
        <f>SUM(AE26:AE32)</f>
        <v>20577.417939652292</v>
      </c>
    </row>
    <row r="34" spans="1:31">
      <c r="C34" s="144"/>
      <c r="M34" s="144"/>
      <c r="N34" s="144"/>
      <c r="O34" s="144"/>
      <c r="T34" s="256"/>
      <c r="U34" s="144"/>
      <c r="V34" s="144"/>
      <c r="W34" s="144"/>
      <c r="X34" s="144"/>
      <c r="Y34" s="400"/>
      <c r="Z34" s="144"/>
      <c r="AA34" s="144"/>
      <c r="AB34" s="144"/>
      <c r="AC34" s="144"/>
      <c r="AE34" s="144"/>
    </row>
    <row r="35" spans="1:31">
      <c r="A35" s="175" t="s">
        <v>379</v>
      </c>
      <c r="B35" s="144">
        <f>'PS-SEC'!$G$53</f>
        <v>13706280.113662591</v>
      </c>
      <c r="C35" s="144"/>
      <c r="D35" s="144">
        <f>'PS-SEC'!$G$32</f>
        <v>2225501.1799999997</v>
      </c>
      <c r="E35" s="144">
        <f>'PS-SEC'!$G$34+'PS-SEC'!$G$48</f>
        <v>1641</v>
      </c>
      <c r="F35" s="144">
        <f>'PS-SEC'!$G$36</f>
        <v>-24147.030000000002</v>
      </c>
      <c r="G35" s="144">
        <f>'PS-SEC'!$G$38</f>
        <v>97054.12482838711</v>
      </c>
      <c r="H35" s="144">
        <f>'PS-SEC'!$G$42</f>
        <v>631702.44999999995</v>
      </c>
      <c r="I35" s="144">
        <f>'PS-SEC'!$G$44</f>
        <v>437493.29519225808</v>
      </c>
      <c r="J35" s="144">
        <f>'PS-SEC'!$G$46</f>
        <v>654278.19000000006</v>
      </c>
      <c r="K35" s="144">
        <f>'PS-SEC'!$G$50</f>
        <v>-570854.86</v>
      </c>
      <c r="L35" s="144">
        <f>B35+C35-SUM(D35:K35)</f>
        <v>10253611.763641946</v>
      </c>
      <c r="M35" s="144">
        <f>'PS-SEC'!$L$42</f>
        <v>-407091.01670791151</v>
      </c>
      <c r="N35" s="144">
        <f>'PS-SEC'!$M$53</f>
        <v>0</v>
      </c>
      <c r="O35" s="144">
        <f>'PS-SEC'!$N$53</f>
        <v>120359.14904508587</v>
      </c>
      <c r="P35" s="144">
        <f>'PS-SEC'!$O$53</f>
        <v>94034.963542961603</v>
      </c>
      <c r="Q35" s="144">
        <f>'PS-SEC'!$P$53</f>
        <v>0</v>
      </c>
      <c r="R35" s="144">
        <f>SUM(L35:Q35)</f>
        <v>10060914.859522082</v>
      </c>
      <c r="S35" s="257">
        <f>T35-R35</f>
        <v>1291032.3363450468</v>
      </c>
      <c r="T35" s="256">
        <f>'PS-SEC'!$T$53</f>
        <v>11351947.195867129</v>
      </c>
      <c r="V35" s="144"/>
      <c r="W35" s="144"/>
      <c r="X35" s="144"/>
      <c r="Y35" s="144">
        <v>0</v>
      </c>
      <c r="Z35" s="144">
        <f t="shared" ref="Z35:Z36" si="26">S35+Y35</f>
        <v>1291032.3363450468</v>
      </c>
      <c r="AA35" s="144">
        <f t="shared" ref="AA35:AA36" si="27">B35+Z35</f>
        <v>14997312.450007638</v>
      </c>
      <c r="AB35" s="144"/>
      <c r="AC35" s="144"/>
      <c r="AE35" s="144">
        <f>'PS-SEC'!$Q$30</f>
        <v>-33813.247958055326</v>
      </c>
    </row>
    <row r="36" spans="1:31">
      <c r="A36" s="176" t="s">
        <v>380</v>
      </c>
      <c r="B36" s="146">
        <f>'PS-PRI'!$G$53</f>
        <v>241714.90533349622</v>
      </c>
      <c r="C36" s="146"/>
      <c r="D36" s="146">
        <f>'PS-PRI'!$G$32</f>
        <v>47753.919999999998</v>
      </c>
      <c r="E36" s="146">
        <f>'PS-PRI'!$G$34+'PS-PRI'!$G$48</f>
        <v>12</v>
      </c>
      <c r="F36" s="146">
        <f>'PS-PRI'!$G$36</f>
        <v>-566.03</v>
      </c>
      <c r="G36" s="146">
        <f>'PS-PRI'!$G$38</f>
        <v>1736.8933858064515</v>
      </c>
      <c r="H36" s="146">
        <f>'PS-PRI'!$G$42</f>
        <v>10170.959999999999</v>
      </c>
      <c r="I36" s="146">
        <f>'PS-PRI'!$G$44</f>
        <v>8275.0933909677424</v>
      </c>
      <c r="J36" s="146">
        <f>'PS-PRI'!$G$46</f>
        <v>10471.74</v>
      </c>
      <c r="K36" s="146">
        <f>'PS-PRI'!$G$50</f>
        <v>-11303.48</v>
      </c>
      <c r="L36" s="146">
        <f>B36+C36-SUM(D36:K36)</f>
        <v>175163.80855672201</v>
      </c>
      <c r="M36" s="146">
        <f>'PS-PRI'!$L$42</f>
        <v>-6554.5201657766238</v>
      </c>
      <c r="N36" s="146">
        <f>'PS-PRI'!$M$53</f>
        <v>0</v>
      </c>
      <c r="O36" s="146">
        <f>'PS-PRI'!$N$53</f>
        <v>2995.0718508308209</v>
      </c>
      <c r="P36" s="146">
        <f>'PS-PRI'!$O$53</f>
        <v>0</v>
      </c>
      <c r="Q36" s="146">
        <f>'PS-PRI'!$P$53</f>
        <v>0</v>
      </c>
      <c r="R36" s="146">
        <f>SUM(L36:Q36)</f>
        <v>171604.36024177622</v>
      </c>
      <c r="S36" s="146">
        <f>T36-R36</f>
        <v>22316.544126594294</v>
      </c>
      <c r="T36" s="478">
        <f>'PS-PRI'!$T$53</f>
        <v>193920.90436837051</v>
      </c>
      <c r="U36" s="145"/>
      <c r="V36" s="146"/>
      <c r="W36" s="146"/>
      <c r="X36" s="146"/>
      <c r="Y36" s="146">
        <v>0</v>
      </c>
      <c r="Z36" s="146">
        <f t="shared" si="26"/>
        <v>22316.544126594294</v>
      </c>
      <c r="AA36" s="146">
        <f t="shared" si="27"/>
        <v>264031.44946009049</v>
      </c>
      <c r="AB36" s="141"/>
      <c r="AC36" s="141"/>
      <c r="AE36" s="146">
        <f>'PS-PRI'!$Q$30</f>
        <v>-1851.5914432779618</v>
      </c>
    </row>
    <row r="37" spans="1:31">
      <c r="A37" s="175" t="s">
        <v>292</v>
      </c>
      <c r="B37" s="177">
        <f>SUM(B35:B36)</f>
        <v>13947995.018996088</v>
      </c>
      <c r="C37" s="144"/>
      <c r="D37" s="177">
        <f>SUM(D35:D36)</f>
        <v>2273255.0999999996</v>
      </c>
      <c r="E37" s="177">
        <f t="shared" ref="E37:T37" si="28">SUM(E35:E36)</f>
        <v>1653</v>
      </c>
      <c r="F37" s="177">
        <f t="shared" si="28"/>
        <v>-24713.06</v>
      </c>
      <c r="G37" s="177">
        <f t="shared" si="28"/>
        <v>98791.018214193566</v>
      </c>
      <c r="H37" s="177">
        <f t="shared" si="28"/>
        <v>641873.40999999992</v>
      </c>
      <c r="I37" s="177">
        <f>SUM(I35:I36)</f>
        <v>445768.38858322584</v>
      </c>
      <c r="J37" s="177">
        <f t="shared" si="28"/>
        <v>664749.93000000005</v>
      </c>
      <c r="K37" s="177">
        <f t="shared" si="28"/>
        <v>-582158.34</v>
      </c>
      <c r="L37" s="177">
        <f t="shared" si="28"/>
        <v>10428775.572198668</v>
      </c>
      <c r="M37" s="177">
        <f t="shared" ref="M37:N37" si="29">SUM(M35:M36)</f>
        <v>-413645.53687368811</v>
      </c>
      <c r="N37" s="177">
        <f t="shared" si="29"/>
        <v>0</v>
      </c>
      <c r="O37" s="177">
        <f t="shared" si="28"/>
        <v>123354.22089591669</v>
      </c>
      <c r="P37" s="177">
        <f t="shared" si="28"/>
        <v>94034.963542961603</v>
      </c>
      <c r="Q37" s="177">
        <f t="shared" ref="Q37" si="30">SUM(Q35:Q36)</f>
        <v>0</v>
      </c>
      <c r="R37" s="177">
        <f t="shared" si="28"/>
        <v>10232519.219763858</v>
      </c>
      <c r="S37" s="177">
        <f t="shared" si="28"/>
        <v>1313348.880471641</v>
      </c>
      <c r="T37" s="177">
        <f t="shared" si="28"/>
        <v>11545868.100235499</v>
      </c>
      <c r="U37" s="144">
        <v>11412402.96968485</v>
      </c>
      <c r="V37" s="144">
        <f>U37-T37</f>
        <v>-133465.13055064902</v>
      </c>
      <c r="W37" s="144"/>
      <c r="X37" s="144">
        <f>V37-W37</f>
        <v>-133465.13055064902</v>
      </c>
      <c r="Y37" s="400">
        <f t="shared" ref="Y37:AA37" si="31">SUM(Y35:Y36)</f>
        <v>0</v>
      </c>
      <c r="Z37" s="144">
        <f t="shared" si="31"/>
        <v>1313348.880471641</v>
      </c>
      <c r="AA37" s="144">
        <f t="shared" si="31"/>
        <v>15261343.899467729</v>
      </c>
      <c r="AB37" s="144"/>
      <c r="AC37" s="144"/>
      <c r="AE37" s="177">
        <f>SUM(AE35:AE36)</f>
        <v>-35664.839401333287</v>
      </c>
    </row>
    <row r="38" spans="1:31">
      <c r="C38" s="144"/>
      <c r="M38" s="144"/>
      <c r="N38" s="144"/>
      <c r="O38" s="144"/>
      <c r="T38" s="256"/>
      <c r="U38" s="144"/>
      <c r="V38" s="144"/>
      <c r="W38" s="144"/>
      <c r="X38" s="144"/>
      <c r="Y38" s="400"/>
      <c r="Z38" s="144"/>
      <c r="AA38" s="144"/>
      <c r="AB38" s="144"/>
      <c r="AC38" s="144"/>
      <c r="AE38" s="144"/>
    </row>
    <row r="39" spans="1:31">
      <c r="A39" s="175" t="s">
        <v>384</v>
      </c>
      <c r="B39" s="144">
        <f>'IGS-SEC'!$G$53</f>
        <v>1879886.8788068388</v>
      </c>
      <c r="C39" s="144"/>
      <c r="D39" s="144">
        <f>'IGS-SEC'!$G$32</f>
        <v>417283.1</v>
      </c>
      <c r="E39" s="144">
        <f>'IGS-SEC'!$G$34+'IGS-SEC'!$G$48</f>
        <v>48</v>
      </c>
      <c r="F39" s="144">
        <f>'IGS-SEC'!$G$36</f>
        <v>-4715.2299999999996</v>
      </c>
      <c r="G39" s="144">
        <f>'IGS-SEC'!$G$38</f>
        <v>8485.0540500645166</v>
      </c>
      <c r="H39" s="144">
        <f>'IGS-SEC'!$G$42</f>
        <v>72146.950000000012</v>
      </c>
      <c r="I39" s="144">
        <f>'IGS-SEC'!$G$44</f>
        <v>53213.723556774188</v>
      </c>
      <c r="J39" s="144">
        <f>'IGS-SEC'!$G$46</f>
        <v>74387.759999999995</v>
      </c>
      <c r="K39" s="144">
        <f>'IGS-SEC'!$G$50</f>
        <v>-105354.62</v>
      </c>
      <c r="L39" s="144">
        <f t="shared" ref="L39:L41" si="32">B39+C39-SUM(D39:K39)</f>
        <v>1364392.1412</v>
      </c>
      <c r="M39" s="144">
        <f>'IGS-SEC'!$L$42</f>
        <v>-46494.002402357095</v>
      </c>
      <c r="N39" s="144">
        <f>'IGS-SEC'!$M$53</f>
        <v>0</v>
      </c>
      <c r="O39" s="144">
        <f>'IGS-SEC'!$N$53</f>
        <v>0</v>
      </c>
      <c r="P39" s="144">
        <f>'IGS-SEC'!$O$53</f>
        <v>0</v>
      </c>
      <c r="Q39" s="144">
        <f>'IGS-SEC'!$P$53</f>
        <v>0</v>
      </c>
      <c r="R39" s="144">
        <f t="shared" ref="R39:R41" si="33">SUM(L39:Q39)</f>
        <v>1317898.1387976429</v>
      </c>
      <c r="S39" s="257">
        <f t="shared" ref="S39:S41" si="34">T39-R39</f>
        <v>97770.872802357189</v>
      </c>
      <c r="T39" s="256">
        <f>'IGS-SEC'!$T$53</f>
        <v>1415669.0116000001</v>
      </c>
      <c r="U39" s="474"/>
      <c r="V39" s="474"/>
      <c r="W39" s="474"/>
      <c r="X39" s="474"/>
      <c r="Y39" s="144">
        <v>0</v>
      </c>
      <c r="Z39" s="144">
        <f t="shared" ref="Z39:Z42" si="35">S39+Y39</f>
        <v>97770.872802357189</v>
      </c>
      <c r="AA39" s="144">
        <f t="shared" ref="AA39:AA42" si="36">B39+Z39</f>
        <v>1977657.751609196</v>
      </c>
      <c r="AB39" s="144"/>
      <c r="AC39" s="144"/>
      <c r="AE39" s="144">
        <f>'IGS-SEC'!$Q$30</f>
        <v>3961.3500000000931</v>
      </c>
    </row>
    <row r="40" spans="1:31" s="174" customFormat="1">
      <c r="A40" s="175" t="s">
        <v>381</v>
      </c>
      <c r="B40" s="144">
        <f>'IGS-PRI'!$G$53</f>
        <v>37077245.945861794</v>
      </c>
      <c r="C40" s="144"/>
      <c r="D40" s="144">
        <f>'IGS-PRI'!$G$32</f>
        <v>7921976.209999999</v>
      </c>
      <c r="E40" s="144">
        <f>'IGS-PRI'!$G$34+'IGS-PRI'!$G$48</f>
        <v>472</v>
      </c>
      <c r="F40" s="144">
        <f>'IGS-PRI'!$G$36</f>
        <v>-82990.39</v>
      </c>
      <c r="G40" s="144">
        <f>'IGS-PRI'!$G$38</f>
        <v>172949.28745599996</v>
      </c>
      <c r="H40" s="144">
        <f>'IGS-PRI'!$G$42</f>
        <v>1455387.07</v>
      </c>
      <c r="I40" s="144">
        <f>'IGS-PRI'!$G$44</f>
        <v>1237356.2830058064</v>
      </c>
      <c r="J40" s="144">
        <f>'IGS-PRI'!$G$46</f>
        <v>1506759.8199999998</v>
      </c>
      <c r="K40" s="144">
        <f>'IGS-PRI'!$G$50</f>
        <v>-2049618.4999999998</v>
      </c>
      <c r="L40" s="144">
        <f t="shared" si="32"/>
        <v>26914954.165399991</v>
      </c>
      <c r="M40" s="144">
        <f>'IGS-PRI'!$L$42</f>
        <v>-937902.01704908442</v>
      </c>
      <c r="N40" s="144">
        <f>'IGS-PRI'!$M$53</f>
        <v>0</v>
      </c>
      <c r="O40" s="144">
        <f>'IGS-PRI'!$N$53</f>
        <v>0</v>
      </c>
      <c r="P40" s="144">
        <f>'IGS-PRI'!$O$53</f>
        <v>1830892.7881627118</v>
      </c>
      <c r="Q40" s="144">
        <f>'IGS-PRI'!$P$53</f>
        <v>0</v>
      </c>
      <c r="R40" s="144">
        <f t="shared" si="33"/>
        <v>27807944.936513618</v>
      </c>
      <c r="S40" s="257">
        <f t="shared" si="34"/>
        <v>3328777.1461153626</v>
      </c>
      <c r="T40" s="256">
        <f>'IGS-PRI'!$T$53</f>
        <v>31136722.08262898</v>
      </c>
      <c r="U40" s="474"/>
      <c r="V40" s="474"/>
      <c r="W40" s="474"/>
      <c r="X40" s="474"/>
      <c r="Y40" s="144">
        <v>0</v>
      </c>
      <c r="Z40" s="144">
        <f t="shared" si="35"/>
        <v>3328777.1461153626</v>
      </c>
      <c r="AA40" s="144">
        <f t="shared" si="36"/>
        <v>40406023.091977157</v>
      </c>
      <c r="AB40" s="144"/>
      <c r="AC40" s="144"/>
      <c r="AD40" s="140"/>
      <c r="AE40" s="144">
        <f>'IGS-PRI'!$Q$30</f>
        <v>67368.009999997448</v>
      </c>
    </row>
    <row r="41" spans="1:31">
      <c r="A41" s="175" t="s">
        <v>382</v>
      </c>
      <c r="B41" s="144">
        <f>'IGS-SUB'!$G$54</f>
        <v>138656935.92222032</v>
      </c>
      <c r="C41" s="144"/>
      <c r="D41" s="144">
        <f>'IGS-SUB'!$G$33</f>
        <v>45549882.919999994</v>
      </c>
      <c r="E41" s="144">
        <f>'IGS-SUB'!$G$35+'IGS-SUB'!$G$49</f>
        <v>253</v>
      </c>
      <c r="F41" s="144">
        <f>'IGS-SUB'!$G$37</f>
        <v>-448380.83000000007</v>
      </c>
      <c r="G41" s="144">
        <f>'IGS-SUB'!$G$39</f>
        <v>974063.31677677436</v>
      </c>
      <c r="H41" s="144">
        <f>'IGS-SUB'!$G$43</f>
        <v>3325642.3099999996</v>
      </c>
      <c r="I41" s="144">
        <f>'IGS-SUB'!$G$45</f>
        <v>4822777.8975935476</v>
      </c>
      <c r="J41" s="144">
        <f>'IGS-SUB'!$G$47</f>
        <v>3421371.04</v>
      </c>
      <c r="K41" s="144">
        <f>'IGS-SUB'!$G$51</f>
        <v>-10809588.389999999</v>
      </c>
      <c r="L41" s="144">
        <f t="shared" si="32"/>
        <v>91820914.657849997</v>
      </c>
      <c r="M41" s="144">
        <f>'IGS-SUB'!$L$43</f>
        <v>-2143159.5036314125</v>
      </c>
      <c r="N41" s="144">
        <f>'IGS-SUB'!$M$54</f>
        <v>0</v>
      </c>
      <c r="O41" s="144">
        <f>'IGS-SUB'!$N$54</f>
        <v>0</v>
      </c>
      <c r="P41" s="144">
        <f>'IGS-SUB'!$O$54</f>
        <v>-346744.64438056602</v>
      </c>
      <c r="Q41" s="144">
        <f>'IGS-SUB'!$P$54</f>
        <v>0</v>
      </c>
      <c r="R41" s="144">
        <f t="shared" si="33"/>
        <v>89331010.509838015</v>
      </c>
      <c r="S41" s="257">
        <f t="shared" si="34"/>
        <v>11807417.479818285</v>
      </c>
      <c r="T41" s="256">
        <f>'IGS-SUB'!$T$54</f>
        <v>101138427.9896563</v>
      </c>
      <c r="U41" s="474"/>
      <c r="V41" s="474"/>
      <c r="W41" s="474"/>
      <c r="X41" s="474"/>
      <c r="Y41" s="144">
        <v>0</v>
      </c>
      <c r="Z41" s="144">
        <f t="shared" si="35"/>
        <v>11807417.479818285</v>
      </c>
      <c r="AA41" s="144">
        <f t="shared" si="36"/>
        <v>150464353.4020386</v>
      </c>
      <c r="AB41" s="144"/>
      <c r="AC41" s="144"/>
      <c r="AD41" s="482"/>
      <c r="AE41" s="144">
        <f>'IGS-SUB'!$Q$31</f>
        <v>74350.299999990501</v>
      </c>
    </row>
    <row r="42" spans="1:31">
      <c r="A42" s="176" t="s">
        <v>383</v>
      </c>
      <c r="B42" s="146">
        <f>'IGS-TRAN'!$G$53</f>
        <v>20962306.426374324</v>
      </c>
      <c r="C42" s="146"/>
      <c r="D42" s="146">
        <f>'IGS-TRAN'!$G$32</f>
        <v>6222077.3299999991</v>
      </c>
      <c r="E42" s="146">
        <f>'IGS-TRAN'!$G$34+'IGS-TRAN'!$G$48</f>
        <v>36</v>
      </c>
      <c r="F42" s="146">
        <f>'IGS-TRAN'!$G$36</f>
        <v>-70321.97</v>
      </c>
      <c r="G42" s="146">
        <f>'IGS-TRAN'!$G$38</f>
        <v>134818.05781367741</v>
      </c>
      <c r="H42" s="146">
        <f>'IGS-TRAN'!$G$42</f>
        <v>548612.85</v>
      </c>
      <c r="I42" s="146">
        <f>'IGS-TRAN'!$G$44</f>
        <v>719508.31060064514</v>
      </c>
      <c r="J42" s="146">
        <f>'IGS-TRAN'!$G$46</f>
        <v>586619.08000000007</v>
      </c>
      <c r="K42" s="146">
        <f>'IGS-TRAN'!$G$50</f>
        <v>-1676851.7499999998</v>
      </c>
      <c r="L42" s="146">
        <f>B42+C42-SUM(D42:K42)</f>
        <v>14497808.517960003</v>
      </c>
      <c r="M42" s="146">
        <f>'IGS-TRAN'!$L$42</f>
        <v>-353545.19027989358</v>
      </c>
      <c r="N42" s="146">
        <f>'IGS-TRAN'!$M$53</f>
        <v>0</v>
      </c>
      <c r="O42" s="146">
        <f>'IGS-TRAN'!$N$53</f>
        <v>0</v>
      </c>
      <c r="P42" s="146">
        <f>'IGS-TRAN'!$O$53</f>
        <v>0</v>
      </c>
      <c r="Q42" s="146">
        <f>'IGS-TRAN'!$P$53</f>
        <v>0</v>
      </c>
      <c r="R42" s="146">
        <f>SUM(L42:Q42)</f>
        <v>14144263.327680109</v>
      </c>
      <c r="S42" s="146">
        <f>T42-R42</f>
        <v>1834078.6665498931</v>
      </c>
      <c r="T42" s="478">
        <f>'IGS-TRAN'!$T$53</f>
        <v>15978341.994230002</v>
      </c>
      <c r="U42" s="483"/>
      <c r="V42" s="483"/>
      <c r="W42" s="483"/>
      <c r="X42" s="483"/>
      <c r="Y42" s="146">
        <v>0</v>
      </c>
      <c r="Z42" s="146">
        <f t="shared" si="35"/>
        <v>1834078.6665498931</v>
      </c>
      <c r="AA42" s="146">
        <f t="shared" si="36"/>
        <v>22796385.092924215</v>
      </c>
      <c r="AB42" s="141"/>
      <c r="AC42" s="141"/>
      <c r="AE42" s="146">
        <f>'IGS-TRAN'!$Q$30</f>
        <v>343078.96999999974</v>
      </c>
    </row>
    <row r="43" spans="1:31">
      <c r="A43" s="140" t="s">
        <v>324</v>
      </c>
      <c r="B43" s="144">
        <f t="shared" ref="B43:T43" si="37">SUM(B39:B42)</f>
        <v>198576375.17326325</v>
      </c>
      <c r="C43" s="144"/>
      <c r="D43" s="144">
        <f>SUM(D39:D42)</f>
        <v>60111219.559999987</v>
      </c>
      <c r="E43" s="144">
        <f t="shared" si="37"/>
        <v>809</v>
      </c>
      <c r="F43" s="144">
        <f t="shared" si="37"/>
        <v>-606408.42000000004</v>
      </c>
      <c r="G43" s="144">
        <f t="shared" si="37"/>
        <v>1290315.7160965162</v>
      </c>
      <c r="H43" s="144">
        <f t="shared" si="37"/>
        <v>5401789.1799999997</v>
      </c>
      <c r="I43" s="144">
        <f>SUM(I39:I42)</f>
        <v>6832856.2147567729</v>
      </c>
      <c r="J43" s="177">
        <f t="shared" si="37"/>
        <v>5589137.7000000002</v>
      </c>
      <c r="K43" s="144">
        <f t="shared" si="37"/>
        <v>-14641413.259999998</v>
      </c>
      <c r="L43" s="144">
        <f>SUM(L39:L42)</f>
        <v>134598069.48240998</v>
      </c>
      <c r="M43" s="144">
        <f t="shared" ref="M43:N43" si="38">SUM(M39:M42)</f>
        <v>-3481100.7133627478</v>
      </c>
      <c r="N43" s="144">
        <f t="shared" si="38"/>
        <v>0</v>
      </c>
      <c r="O43" s="144">
        <f t="shared" si="37"/>
        <v>0</v>
      </c>
      <c r="P43" s="144">
        <f t="shared" si="37"/>
        <v>1484148.1437821458</v>
      </c>
      <c r="Q43" s="144">
        <f t="shared" ref="Q43" si="39">SUM(Q39:Q42)</f>
        <v>0</v>
      </c>
      <c r="R43" s="144">
        <f t="shared" si="37"/>
        <v>132601116.91282938</v>
      </c>
      <c r="S43" s="144">
        <f t="shared" si="37"/>
        <v>17068044.1652859</v>
      </c>
      <c r="T43" s="144">
        <f t="shared" si="37"/>
        <v>149669161.07811528</v>
      </c>
      <c r="U43" s="144">
        <v>149668669.99565619</v>
      </c>
      <c r="V43" s="144">
        <f>U43-T43</f>
        <v>-491.0824590921402</v>
      </c>
      <c r="W43" s="144">
        <v>-504</v>
      </c>
      <c r="X43" s="144">
        <f>V43-W43</f>
        <v>12.917540907859802</v>
      </c>
      <c r="Y43" s="144">
        <f t="shared" ref="Y43:AA43" si="40">SUM(Y39:Y42)</f>
        <v>0</v>
      </c>
      <c r="Z43" s="144">
        <f t="shared" si="40"/>
        <v>17068044.1652859</v>
      </c>
      <c r="AA43" s="144">
        <f t="shared" si="40"/>
        <v>215644419.33854917</v>
      </c>
      <c r="AB43" s="144"/>
      <c r="AC43" s="144"/>
      <c r="AE43" s="144">
        <f>SUM(AE39:AE42)</f>
        <v>488758.62999998778</v>
      </c>
    </row>
    <row r="44" spans="1:31">
      <c r="B44" s="144"/>
      <c r="C44" s="144"/>
      <c r="D44" s="144"/>
      <c r="E44" s="144"/>
      <c r="F44" s="144"/>
      <c r="G44" s="144"/>
      <c r="H44" s="144"/>
      <c r="I44" s="144"/>
      <c r="J44" s="144"/>
      <c r="K44" s="144"/>
      <c r="L44" s="144"/>
      <c r="M44" s="144"/>
      <c r="N44" s="144"/>
      <c r="O44" s="144"/>
      <c r="P44" s="144"/>
      <c r="Q44" s="144"/>
      <c r="R44" s="144"/>
      <c r="S44" s="144"/>
      <c r="T44" s="256"/>
      <c r="U44" s="144"/>
      <c r="V44" s="144"/>
      <c r="W44" s="144"/>
      <c r="X44" s="144"/>
      <c r="Z44" s="144"/>
      <c r="AA44" s="144"/>
      <c r="AB44" s="144"/>
      <c r="AC44" s="144"/>
      <c r="AE44" s="144"/>
    </row>
    <row r="45" spans="1:31" s="147" customFormat="1">
      <c r="A45" s="147" t="s">
        <v>35</v>
      </c>
      <c r="B45" s="141">
        <f>OL!H81</f>
        <v>10245675.303714443</v>
      </c>
      <c r="C45" s="144"/>
      <c r="D45" s="141">
        <f>OL!H60</f>
        <v>1005977.2999999999</v>
      </c>
      <c r="E45" s="144">
        <f>OL!H62+OL!H76</f>
        <v>0</v>
      </c>
      <c r="F45" s="144">
        <f>OL!H64</f>
        <v>-12821</v>
      </c>
      <c r="G45" s="144">
        <f>OL!H66</f>
        <v>43269.54065548387</v>
      </c>
      <c r="H45" s="144">
        <f>OL!H70</f>
        <v>544659.37</v>
      </c>
      <c r="I45" s="144">
        <f>OL!H72</f>
        <v>28420.841289032254</v>
      </c>
      <c r="J45" s="144">
        <f>OL!H74</f>
        <v>563556.17999999993</v>
      </c>
      <c r="K45" s="144">
        <f>OL!H78</f>
        <v>-254480.01</v>
      </c>
      <c r="L45" s="144">
        <f>B45+C45-SUM(D45:K45)</f>
        <v>8327093.0817699265</v>
      </c>
      <c r="M45" s="144">
        <f>OL!S70</f>
        <v>-350997.43034523702</v>
      </c>
      <c r="N45" s="144">
        <f>OL!O81</f>
        <v>0</v>
      </c>
      <c r="O45" s="144">
        <f>OL!P81</f>
        <v>0</v>
      </c>
      <c r="P45" s="144">
        <f>OL!Q81</f>
        <v>-153855.02999999988</v>
      </c>
      <c r="Q45" s="144">
        <f>OL!R81</f>
        <v>0</v>
      </c>
      <c r="R45" s="144">
        <f>SUM(L45:Q45)</f>
        <v>7822240.621424689</v>
      </c>
      <c r="S45" s="257">
        <f t="shared" ref="S45:S46" si="41">T45-R45</f>
        <v>1516832.3571874266</v>
      </c>
      <c r="T45" s="273">
        <f>OL!V81</f>
        <v>9339072.9786121156</v>
      </c>
      <c r="U45" s="401">
        <v>9343135.257524509</v>
      </c>
      <c r="V45" s="144">
        <f>U45-T45</f>
        <v>4062.2789123933762</v>
      </c>
      <c r="W45" s="144">
        <v>4062</v>
      </c>
      <c r="X45" s="144">
        <f>V45-W45</f>
        <v>0.27891239337623119</v>
      </c>
      <c r="Y45" s="401">
        <v>0</v>
      </c>
      <c r="Z45" s="144">
        <f t="shared" ref="Z45:Z46" si="42">S45+Y45</f>
        <v>1516832.3571874266</v>
      </c>
      <c r="AA45" s="144">
        <f t="shared" ref="AA45:AA46" si="43">B45+Z45</f>
        <v>11762507.660901871</v>
      </c>
      <c r="AB45" s="144"/>
      <c r="AC45" s="144"/>
      <c r="AE45" s="144">
        <f>OL!S58</f>
        <v>7629.6536099256018</v>
      </c>
    </row>
    <row r="46" spans="1:31" s="147" customFormat="1">
      <c r="A46" s="147" t="s">
        <v>36</v>
      </c>
      <c r="B46" s="141">
        <f>SL!G77</f>
        <v>1937274.3744878529</v>
      </c>
      <c r="C46" s="144"/>
      <c r="D46" s="141">
        <f>SL!G56</f>
        <v>230284.12</v>
      </c>
      <c r="E46" s="144">
        <f>SL!G72</f>
        <v>0</v>
      </c>
      <c r="F46" s="144">
        <f>SL!G60</f>
        <v>-2880.9700000000003</v>
      </c>
      <c r="G46" s="144">
        <f>SL!G62</f>
        <v>9035.4126541935475</v>
      </c>
      <c r="H46" s="144">
        <f>SL!G66</f>
        <v>100774.33</v>
      </c>
      <c r="I46" s="144">
        <f>SL!G68</f>
        <v>6151.831341612904</v>
      </c>
      <c r="J46" s="144">
        <f>SL!G70</f>
        <v>103953.86000000002</v>
      </c>
      <c r="K46" s="144">
        <f>SL!G74</f>
        <v>-56626.54</v>
      </c>
      <c r="L46" s="144">
        <f>B46+C46-SUM(D46:K46)</f>
        <v>1546582.3304920464</v>
      </c>
      <c r="M46" s="144">
        <f>SL!L66</f>
        <v>-64942.48115985396</v>
      </c>
      <c r="N46" s="144">
        <f>SL!M77</f>
        <v>0</v>
      </c>
      <c r="O46" s="144">
        <f>SL!N77</f>
        <v>0</v>
      </c>
      <c r="P46" s="144">
        <f>SL!O77</f>
        <v>1075.1349011783777</v>
      </c>
      <c r="Q46" s="144">
        <f>SL!P77</f>
        <v>0</v>
      </c>
      <c r="R46" s="144">
        <f>SUM(L46:Q46)</f>
        <v>1482714.9842333707</v>
      </c>
      <c r="S46" s="257">
        <f t="shared" si="41"/>
        <v>218085.82704426022</v>
      </c>
      <c r="T46" s="273">
        <f>SL!T77</f>
        <v>1700800.811277631</v>
      </c>
      <c r="U46" s="401">
        <v>1701480.5102329901</v>
      </c>
      <c r="V46" s="144">
        <f>U46-T46</f>
        <v>679.69895535917021</v>
      </c>
      <c r="W46" s="144">
        <v>681</v>
      </c>
      <c r="X46" s="144">
        <f>V46-W46</f>
        <v>-1.3010446408297867</v>
      </c>
      <c r="Y46" s="401">
        <v>0</v>
      </c>
      <c r="Z46" s="144">
        <f t="shared" si="42"/>
        <v>218085.82704426022</v>
      </c>
      <c r="AA46" s="144">
        <f t="shared" si="43"/>
        <v>2155360.2015321134</v>
      </c>
      <c r="AB46" s="144"/>
      <c r="AC46" s="144"/>
      <c r="AE46" s="144">
        <f>SL!Q53</f>
        <v>15.253212046278069</v>
      </c>
    </row>
    <row r="47" spans="1:31">
      <c r="C47" s="144"/>
      <c r="M47" s="144"/>
      <c r="N47" s="144"/>
      <c r="O47" s="144"/>
      <c r="T47" s="256"/>
      <c r="U47" s="144"/>
      <c r="Z47" s="144"/>
      <c r="AA47" s="144"/>
      <c r="AB47" s="144"/>
      <c r="AC47" s="144"/>
      <c r="AE47" s="144"/>
    </row>
    <row r="48" spans="1:31">
      <c r="A48" s="140" t="s">
        <v>34</v>
      </c>
      <c r="B48" s="144">
        <f>MW!$G$53</f>
        <v>250475.44752697376</v>
      </c>
      <c r="C48" s="144"/>
      <c r="D48" s="144">
        <f>MW!$G$32</f>
        <v>46197.140000000007</v>
      </c>
      <c r="E48" s="144">
        <f>MW!$G$34+MW!$G$48</f>
        <v>103</v>
      </c>
      <c r="F48" s="144">
        <f>MW!$G$36</f>
        <v>-487.86</v>
      </c>
      <c r="G48" s="144">
        <f>MW!$G$38</f>
        <v>2057.5925122580647</v>
      </c>
      <c r="H48" s="144">
        <f>MW!$G$42</f>
        <v>10894.41</v>
      </c>
      <c r="I48" s="144">
        <f>MW!$G$44</f>
        <v>5415.5879577419346</v>
      </c>
      <c r="J48" s="144">
        <f>MW!$G$46</f>
        <v>11194.36</v>
      </c>
      <c r="K48" s="144">
        <f>MW!$G$50</f>
        <v>-11853.769999999999</v>
      </c>
      <c r="L48" s="144">
        <f>B48+C48-SUM(D48:K48)</f>
        <v>186954.98705697374</v>
      </c>
      <c r="M48" s="144">
        <f>MW!$L$42</f>
        <v>-7020.7364928422212</v>
      </c>
      <c r="N48" s="144">
        <f>MW!$M$53</f>
        <v>0</v>
      </c>
      <c r="O48" s="144">
        <f>MW!$N$53</f>
        <v>0</v>
      </c>
      <c r="P48" s="144">
        <f>MW!$O$53</f>
        <v>-12732.135126213592</v>
      </c>
      <c r="Q48" s="144">
        <f>MW!$P$53</f>
        <v>0</v>
      </c>
      <c r="R48" s="144">
        <f>SUM(L48:Q48)</f>
        <v>167202.11543791791</v>
      </c>
      <c r="S48" s="257">
        <f>T48-R48</f>
        <v>18624.298606240307</v>
      </c>
      <c r="T48" s="256">
        <f>MW!$T$53</f>
        <v>185826.41404415821</v>
      </c>
      <c r="U48" s="256">
        <v>185827.12590399844</v>
      </c>
      <c r="V48" s="144">
        <f>U48-T48</f>
        <v>0.71185984023031779</v>
      </c>
      <c r="W48" s="144">
        <v>1</v>
      </c>
      <c r="X48" s="144">
        <f>V48-W48</f>
        <v>-0.28814015976968221</v>
      </c>
      <c r="Y48" s="144">
        <v>0</v>
      </c>
      <c r="Z48" s="144">
        <f>S48+Y48</f>
        <v>18624.298606240307</v>
      </c>
      <c r="AA48" s="144">
        <f>B48+Z48</f>
        <v>269099.7461332141</v>
      </c>
      <c r="AB48" s="144"/>
      <c r="AC48" s="144"/>
      <c r="AE48" s="144">
        <f>MW!$Q$30</f>
        <v>-446.09694302626292</v>
      </c>
    </row>
    <row r="49" spans="1:31" ht="12" thickBot="1">
      <c r="A49" s="178"/>
      <c r="B49" s="178"/>
      <c r="C49" s="178"/>
      <c r="D49" s="178"/>
      <c r="E49" s="178"/>
      <c r="F49" s="178"/>
      <c r="G49" s="178"/>
      <c r="H49" s="178"/>
      <c r="I49" s="178"/>
      <c r="J49" s="178"/>
      <c r="K49" s="178"/>
      <c r="L49" s="178"/>
      <c r="M49" s="178"/>
      <c r="N49" s="178"/>
      <c r="O49" s="178"/>
      <c r="P49" s="178"/>
      <c r="Q49" s="178"/>
      <c r="R49" s="178"/>
      <c r="S49" s="178"/>
      <c r="T49" s="484"/>
      <c r="U49" s="485"/>
      <c r="V49" s="178"/>
      <c r="W49" s="178"/>
      <c r="X49" s="178"/>
      <c r="Y49" s="145"/>
      <c r="Z49" s="145"/>
      <c r="AA49" s="145"/>
      <c r="AB49" s="174"/>
      <c r="AC49" s="174"/>
      <c r="AE49" s="178"/>
    </row>
    <row r="50" spans="1:31">
      <c r="A50" s="140" t="s">
        <v>17</v>
      </c>
      <c r="B50" s="144">
        <f>SUM(B43:B48,B37,B33,B24,B13)</f>
        <v>693270003.42280662</v>
      </c>
      <c r="C50" s="144">
        <f>SUM(C43:C48,C37,C33,C24,C13)</f>
        <v>0</v>
      </c>
      <c r="D50" s="144">
        <f>SUM(D43:D48,D37,D33,D24,D13)</f>
        <v>142562412</v>
      </c>
      <c r="E50" s="144">
        <f>SUM(E43:E48,E37,E33,E24,E13)</f>
        <v>853734.2</v>
      </c>
      <c r="F50" s="144">
        <f t="shared" ref="F50:P50" si="44">SUM(F43:F48,F37,F33,F24,F13)</f>
        <v>-1515012.1799999997</v>
      </c>
      <c r="G50" s="144">
        <f t="shared" si="44"/>
        <v>4510053.4196332907</v>
      </c>
      <c r="H50" s="144">
        <f t="shared" si="44"/>
        <v>28559705.829999998</v>
      </c>
      <c r="I50" s="144">
        <f>SUM(I43:I48,I37,I33,I24,I13)</f>
        <v>21287104.965336774</v>
      </c>
      <c r="J50" s="144">
        <f t="shared" si="44"/>
        <v>29010487.399999999</v>
      </c>
      <c r="K50" s="144">
        <f t="shared" si="44"/>
        <v>-38853304.179999992</v>
      </c>
      <c r="L50" s="144">
        <f>SUM(L43:L48,L37,L33,L24,L13)</f>
        <v>506854821.96783656</v>
      </c>
      <c r="M50" s="144">
        <f>SUM(M43:M48,M37,M33,M24,M13)</f>
        <v>-18404867.170000002</v>
      </c>
      <c r="N50" s="144">
        <f t="shared" ref="N50" si="45">SUM(N43:N48,N37,N33,N24,N13)</f>
        <v>0</v>
      </c>
      <c r="O50" s="144">
        <f t="shared" si="44"/>
        <v>12333767.003865333</v>
      </c>
      <c r="P50" s="144">
        <f t="shared" si="44"/>
        <v>1882915.6296860538</v>
      </c>
      <c r="Q50" s="144">
        <f t="shared" ref="Q50" si="46">SUM(Q43:Q48,Q37,Q33,Q24,Q13)</f>
        <v>0</v>
      </c>
      <c r="R50" s="144">
        <f t="shared" ref="R50:X50" si="47">SUM(R43:R48,R37,R33,R24,R13)</f>
        <v>502666637.4313879</v>
      </c>
      <c r="S50" s="256">
        <f t="shared" si="47"/>
        <v>93921659.80016908</v>
      </c>
      <c r="T50" s="144">
        <f t="shared" si="47"/>
        <v>596588297.23155713</v>
      </c>
      <c r="U50" s="486">
        <f t="shared" si="47"/>
        <v>596602364.83022785</v>
      </c>
      <c r="V50" s="486">
        <f t="shared" si="47"/>
        <v>14067.598670839827</v>
      </c>
      <c r="W50" s="486">
        <f t="shared" si="47"/>
        <v>14047</v>
      </c>
      <c r="X50" s="486">
        <f t="shared" si="47"/>
        <v>20.598670839826809</v>
      </c>
      <c r="Y50" s="144">
        <f>SUM(Y45:Y48,Y39:Y42,Y35:Y36,Y26:Y32,Y16:Y23,Y10:Y12)</f>
        <v>158121.35107102594</v>
      </c>
      <c r="Z50" s="144">
        <f>SUM(Z43:Z48,Z37,Z33,Z24,Z13)</f>
        <v>94079781.151240095</v>
      </c>
      <c r="AA50" s="144">
        <f>SUM(AA43:AA48,AA37,AA33,AA24,AA13)</f>
        <v>787349784.57404685</v>
      </c>
      <c r="AB50" s="144"/>
      <c r="AC50" s="144"/>
      <c r="AE50" s="144">
        <f>SUM(AE43:AE48,AE37,AE33,AE24,AE13)</f>
        <v>-1125501.5444095675</v>
      </c>
    </row>
    <row r="51" spans="1:31">
      <c r="D51" s="144"/>
      <c r="E51" s="144"/>
      <c r="F51" s="144"/>
      <c r="G51" s="144"/>
      <c r="H51" s="144"/>
      <c r="I51" s="144"/>
      <c r="J51" s="144"/>
      <c r="K51" s="144"/>
      <c r="L51" s="144"/>
      <c r="M51" s="200"/>
      <c r="N51" s="144"/>
      <c r="O51" s="144"/>
      <c r="P51" s="144"/>
      <c r="Q51" s="144"/>
      <c r="R51" s="144"/>
      <c r="S51" s="256"/>
      <c r="V51" s="256"/>
      <c r="W51" s="256"/>
      <c r="X51" s="256"/>
      <c r="AE51" s="144"/>
    </row>
    <row r="52" spans="1:31">
      <c r="B52" s="144"/>
      <c r="C52" s="144"/>
      <c r="D52" s="144"/>
      <c r="E52" s="179"/>
      <c r="F52" s="179"/>
      <c r="G52" s="179"/>
      <c r="H52" s="179"/>
      <c r="I52" s="179"/>
      <c r="J52" s="179"/>
      <c r="K52" s="179"/>
      <c r="L52" s="179"/>
      <c r="M52" s="487"/>
      <c r="N52" s="179"/>
      <c r="O52" s="179"/>
      <c r="P52" s="179"/>
      <c r="Q52" s="179"/>
      <c r="R52" s="179"/>
      <c r="S52" s="486"/>
      <c r="T52" s="144"/>
      <c r="V52" s="144"/>
      <c r="W52" s="144"/>
      <c r="X52" s="144"/>
      <c r="AB52" s="144"/>
      <c r="AC52" s="144"/>
      <c r="AE52" s="179"/>
    </row>
    <row r="53" spans="1:31" ht="12.75">
      <c r="A53" s="140" t="s">
        <v>521</v>
      </c>
      <c r="B53" s="488">
        <v>691550215.72000003</v>
      </c>
      <c r="C53" s="197" t="s">
        <v>524</v>
      </c>
      <c r="D53" s="197"/>
      <c r="H53" s="144"/>
      <c r="I53" s="474"/>
      <c r="K53" s="474"/>
      <c r="R53" s="256"/>
      <c r="T53" s="144"/>
      <c r="U53" s="144"/>
      <c r="V53" s="144"/>
      <c r="W53" s="144"/>
      <c r="X53" s="144"/>
    </row>
    <row r="54" spans="1:31" ht="12.75">
      <c r="A54" s="28" t="s">
        <v>525</v>
      </c>
      <c r="B54" s="488">
        <v>1984215.75</v>
      </c>
      <c r="C54" s="28" t="s">
        <v>522</v>
      </c>
      <c r="D54" s="489" t="s">
        <v>527</v>
      </c>
      <c r="F54" s="474"/>
      <c r="G54" s="474"/>
      <c r="I54" s="489"/>
      <c r="K54" s="144"/>
      <c r="L54" s="489"/>
      <c r="M54" s="487"/>
      <c r="O54" s="197"/>
      <c r="P54" s="197"/>
      <c r="Q54" s="197"/>
      <c r="R54" s="258"/>
      <c r="T54" s="144"/>
    </row>
    <row r="55" spans="1:31" ht="12.75">
      <c r="A55" s="95" t="s">
        <v>526</v>
      </c>
      <c r="B55" s="490">
        <v>468094.75</v>
      </c>
      <c r="C55" s="28" t="s">
        <v>522</v>
      </c>
      <c r="D55" s="489" t="s">
        <v>528</v>
      </c>
      <c r="I55" s="489"/>
      <c r="K55" s="144"/>
      <c r="L55" s="489"/>
      <c r="M55" s="487"/>
      <c r="O55" s="197"/>
      <c r="P55" s="197"/>
      <c r="Q55" s="197"/>
      <c r="R55" s="197"/>
    </row>
    <row r="56" spans="1:31" ht="12.75">
      <c r="A56" s="140" t="s">
        <v>3</v>
      </c>
      <c r="B56" s="488">
        <f>SUM(B53:B55)</f>
        <v>694002526.22000003</v>
      </c>
      <c r="C56" s="491" t="s">
        <v>523</v>
      </c>
      <c r="F56" s="144"/>
      <c r="G56" s="144"/>
      <c r="L56" s="492"/>
      <c r="R56" s="257"/>
      <c r="T56" s="144"/>
      <c r="U56" s="257"/>
    </row>
    <row r="57" spans="1:31" ht="12.75">
      <c r="A57" s="140" t="s">
        <v>530</v>
      </c>
      <c r="B57" s="488">
        <f>-Book2Bill!E51</f>
        <v>-732522.7971934377</v>
      </c>
      <c r="C57" s="491" t="s">
        <v>897</v>
      </c>
      <c r="D57" s="493"/>
      <c r="F57" s="474"/>
      <c r="G57" s="474"/>
      <c r="L57" s="492"/>
      <c r="R57" s="144"/>
      <c r="U57" s="257"/>
    </row>
    <row r="58" spans="1:31" ht="12.75">
      <c r="A58" s="140" t="s">
        <v>529</v>
      </c>
      <c r="B58" s="488">
        <f>B50</f>
        <v>693270003.42280662</v>
      </c>
      <c r="C58" s="491" t="s">
        <v>531</v>
      </c>
      <c r="F58" s="493"/>
      <c r="G58" s="493"/>
      <c r="L58" s="492"/>
      <c r="R58" s="257"/>
      <c r="T58" s="257"/>
      <c r="U58" s="257"/>
    </row>
    <row r="59" spans="1:31" ht="12.75">
      <c r="B59" s="488"/>
      <c r="C59" s="491"/>
      <c r="L59" s="492"/>
      <c r="R59" s="257"/>
      <c r="T59" s="257"/>
      <c r="U59" s="257"/>
    </row>
    <row r="60" spans="1:31" ht="13.5">
      <c r="B60" s="494"/>
      <c r="C60" s="495"/>
      <c r="D60" s="496"/>
      <c r="F60" s="475"/>
      <c r="G60" s="475"/>
      <c r="I60" s="496"/>
      <c r="J60" s="497"/>
      <c r="K60" s="496"/>
      <c r="L60" s="174"/>
      <c r="M60" s="498"/>
      <c r="N60" s="496"/>
      <c r="O60" s="496"/>
      <c r="P60" s="174"/>
      <c r="R60" s="257"/>
      <c r="T60" s="257"/>
      <c r="U60" s="257"/>
      <c r="AE60" s="496"/>
    </row>
    <row r="61" spans="1:31">
      <c r="B61" s="499"/>
      <c r="C61" s="144"/>
      <c r="D61" s="496"/>
      <c r="I61" s="496"/>
      <c r="J61" s="497"/>
      <c r="K61" s="496"/>
      <c r="L61" s="174"/>
      <c r="M61" s="498"/>
      <c r="N61" s="496"/>
      <c r="O61" s="496"/>
      <c r="P61" s="174"/>
      <c r="Q61" s="174"/>
      <c r="R61" s="174"/>
      <c r="AE61" s="496"/>
    </row>
    <row r="62" spans="1:31">
      <c r="B62" s="499"/>
      <c r="C62" s="144"/>
      <c r="D62" s="496"/>
      <c r="I62" s="496"/>
      <c r="J62" s="497"/>
      <c r="K62" s="496"/>
      <c r="L62" s="174"/>
      <c r="M62" s="498"/>
      <c r="N62" s="496"/>
      <c r="O62" s="496"/>
      <c r="P62" s="174"/>
      <c r="Q62" s="174"/>
      <c r="R62" s="174"/>
      <c r="AE62" s="496"/>
    </row>
    <row r="63" spans="1:31">
      <c r="B63" s="499"/>
      <c r="C63" s="144"/>
      <c r="D63" s="496"/>
      <c r="E63" s="500"/>
      <c r="I63" s="496"/>
      <c r="J63" s="497"/>
      <c r="K63" s="496"/>
      <c r="L63" s="174"/>
      <c r="M63" s="498"/>
      <c r="N63" s="496"/>
      <c r="O63" s="496"/>
      <c r="P63" s="174"/>
      <c r="Q63" s="174"/>
      <c r="R63" s="174"/>
      <c r="AE63" s="496"/>
    </row>
    <row r="64" spans="1:31">
      <c r="B64" s="499"/>
      <c r="C64" s="499"/>
      <c r="D64" s="496"/>
      <c r="I64" s="496"/>
      <c r="J64" s="497"/>
      <c r="K64" s="496"/>
      <c r="L64" s="174"/>
      <c r="M64" s="498"/>
      <c r="N64" s="496"/>
      <c r="O64" s="496"/>
      <c r="P64" s="174"/>
      <c r="Q64" s="174"/>
      <c r="R64" s="174"/>
      <c r="AE64" s="496"/>
    </row>
    <row r="65" spans="2:31">
      <c r="B65" s="499"/>
      <c r="C65" s="144"/>
      <c r="D65" s="496"/>
      <c r="I65" s="496"/>
      <c r="J65" s="497"/>
      <c r="K65" s="496"/>
      <c r="L65" s="174"/>
      <c r="M65" s="498"/>
      <c r="N65" s="496"/>
      <c r="O65" s="496"/>
      <c r="P65" s="174"/>
      <c r="Q65" s="174"/>
      <c r="R65" s="174"/>
      <c r="AE65" s="496"/>
    </row>
    <row r="66" spans="2:31">
      <c r="B66" s="499"/>
      <c r="C66" s="144"/>
      <c r="D66" s="496"/>
      <c r="I66" s="496"/>
      <c r="J66" s="497"/>
      <c r="K66" s="496"/>
      <c r="L66" s="174"/>
      <c r="M66" s="498"/>
      <c r="N66" s="496"/>
      <c r="O66" s="496"/>
      <c r="P66" s="174"/>
      <c r="Q66" s="174"/>
      <c r="R66" s="174"/>
      <c r="AE66" s="496"/>
    </row>
    <row r="67" spans="2:31">
      <c r="B67" s="499"/>
      <c r="C67" s="144"/>
      <c r="D67" s="496"/>
      <c r="I67" s="496"/>
      <c r="J67" s="497"/>
      <c r="K67" s="496"/>
      <c r="L67" s="174"/>
      <c r="M67" s="498"/>
      <c r="N67" s="496"/>
      <c r="O67" s="496"/>
      <c r="P67" s="174"/>
      <c r="Q67" s="174"/>
      <c r="R67" s="174"/>
      <c r="AE67" s="496"/>
    </row>
    <row r="68" spans="2:31">
      <c r="B68" s="499"/>
      <c r="C68" s="144"/>
      <c r="D68" s="496"/>
      <c r="I68" s="496"/>
      <c r="J68" s="497"/>
      <c r="K68" s="496"/>
      <c r="L68" s="174"/>
      <c r="M68" s="498"/>
      <c r="N68" s="496"/>
      <c r="O68" s="496"/>
      <c r="P68" s="174"/>
      <c r="Q68" s="174"/>
      <c r="R68" s="174"/>
      <c r="AE68" s="496"/>
    </row>
    <row r="69" spans="2:31">
      <c r="B69" s="499"/>
      <c r="C69" s="499"/>
      <c r="D69" s="496"/>
      <c r="I69" s="496"/>
      <c r="J69" s="497"/>
      <c r="K69" s="496"/>
      <c r="L69" s="174"/>
      <c r="M69" s="498"/>
      <c r="N69" s="496"/>
      <c r="O69" s="496"/>
      <c r="P69" s="174"/>
      <c r="Q69" s="174"/>
      <c r="R69" s="174"/>
      <c r="AE69" s="496"/>
    </row>
    <row r="70" spans="2:31">
      <c r="B70" s="499"/>
      <c r="C70" s="499"/>
      <c r="D70" s="496"/>
      <c r="E70" s="501"/>
      <c r="I70" s="496"/>
      <c r="J70" s="497"/>
      <c r="K70" s="496"/>
      <c r="L70" s="174"/>
      <c r="M70" s="498"/>
      <c r="N70" s="496"/>
      <c r="O70" s="496"/>
      <c r="P70" s="174"/>
      <c r="Q70" s="174"/>
      <c r="R70" s="174"/>
      <c r="AE70" s="496"/>
    </row>
    <row r="71" spans="2:31">
      <c r="B71" s="499"/>
      <c r="C71" s="499"/>
      <c r="D71" s="496"/>
      <c r="I71" s="496"/>
      <c r="J71" s="497"/>
      <c r="K71" s="496"/>
      <c r="L71" s="174"/>
      <c r="M71" s="498"/>
      <c r="N71" s="496"/>
      <c r="O71" s="496"/>
      <c r="P71" s="174"/>
      <c r="Q71" s="174"/>
      <c r="R71" s="174"/>
      <c r="AE71" s="496"/>
    </row>
    <row r="72" spans="2:31">
      <c r="B72" s="499"/>
      <c r="D72" s="496"/>
      <c r="I72" s="496"/>
      <c r="J72" s="497"/>
      <c r="K72" s="496"/>
      <c r="L72" s="174"/>
      <c r="M72" s="498"/>
      <c r="N72" s="496"/>
      <c r="O72" s="496"/>
      <c r="P72" s="174"/>
      <c r="Q72" s="174"/>
      <c r="R72" s="174"/>
      <c r="AE72" s="496"/>
    </row>
    <row r="73" spans="2:31">
      <c r="B73" s="499"/>
      <c r="D73" s="496"/>
      <c r="I73" s="496"/>
      <c r="J73" s="497"/>
      <c r="K73" s="496"/>
      <c r="L73" s="174"/>
      <c r="M73" s="498"/>
      <c r="N73" s="496"/>
      <c r="O73" s="496"/>
      <c r="P73" s="174"/>
      <c r="Q73" s="174"/>
      <c r="R73" s="174"/>
      <c r="AE73" s="496"/>
    </row>
    <row r="74" spans="2:31">
      <c r="B74" s="256"/>
      <c r="C74" s="144"/>
      <c r="D74" s="496"/>
      <c r="I74" s="496"/>
      <c r="J74" s="497"/>
      <c r="K74" s="496"/>
      <c r="L74" s="174"/>
      <c r="M74" s="498"/>
      <c r="N74" s="496"/>
      <c r="O74" s="496"/>
      <c r="P74" s="174"/>
      <c r="Q74" s="174"/>
      <c r="R74" s="174"/>
      <c r="AE74" s="496"/>
    </row>
    <row r="75" spans="2:31">
      <c r="B75" s="256"/>
      <c r="C75" s="144"/>
      <c r="D75" s="496"/>
      <c r="I75" s="496"/>
      <c r="J75" s="497"/>
      <c r="K75" s="496"/>
      <c r="L75" s="174"/>
      <c r="M75" s="498"/>
      <c r="N75" s="496"/>
      <c r="O75" s="496"/>
      <c r="P75" s="174"/>
      <c r="Q75" s="174"/>
      <c r="R75" s="174"/>
      <c r="AE75" s="496"/>
    </row>
    <row r="76" spans="2:31">
      <c r="B76" s="256"/>
      <c r="C76" s="144"/>
      <c r="D76" s="496"/>
      <c r="I76" s="496"/>
      <c r="J76" s="497"/>
      <c r="K76" s="496"/>
      <c r="L76" s="174"/>
      <c r="M76" s="498"/>
      <c r="N76" s="496"/>
      <c r="O76" s="496"/>
      <c r="P76" s="174"/>
      <c r="Q76" s="174"/>
      <c r="R76" s="174"/>
      <c r="AE76" s="496"/>
    </row>
    <row r="77" spans="2:31">
      <c r="B77" s="256"/>
      <c r="C77" s="144"/>
      <c r="D77" s="496"/>
      <c r="I77" s="496"/>
      <c r="J77" s="497"/>
      <c r="K77" s="496"/>
      <c r="L77" s="174"/>
      <c r="M77" s="498"/>
      <c r="N77" s="496"/>
      <c r="O77" s="496"/>
      <c r="P77" s="174"/>
      <c r="Q77" s="174"/>
      <c r="R77" s="174"/>
      <c r="AE77" s="496"/>
    </row>
    <row r="78" spans="2:31">
      <c r="D78" s="496"/>
      <c r="I78" s="496"/>
      <c r="J78" s="497"/>
      <c r="K78" s="496"/>
      <c r="L78" s="174"/>
      <c r="M78" s="498"/>
      <c r="N78" s="496"/>
      <c r="O78" s="496"/>
      <c r="P78" s="174"/>
      <c r="Q78" s="174"/>
      <c r="R78" s="174"/>
      <c r="AE78" s="496"/>
    </row>
    <row r="79" spans="2:31">
      <c r="D79" s="174"/>
      <c r="I79" s="174"/>
      <c r="J79" s="174"/>
      <c r="K79" s="174"/>
      <c r="L79" s="174"/>
      <c r="M79" s="502"/>
      <c r="N79" s="174"/>
      <c r="O79" s="174"/>
      <c r="P79" s="174"/>
      <c r="Q79" s="174"/>
      <c r="R79" s="174"/>
      <c r="AE79" s="174"/>
    </row>
    <row r="80" spans="2:31">
      <c r="D80" s="174"/>
      <c r="I80" s="174"/>
      <c r="J80" s="174"/>
      <c r="K80" s="174"/>
      <c r="L80" s="174"/>
      <c r="M80" s="502"/>
      <c r="N80" s="174"/>
      <c r="O80" s="174"/>
      <c r="P80" s="174"/>
      <c r="Q80" s="174"/>
      <c r="R80" s="174"/>
      <c r="AE80" s="174"/>
    </row>
    <row r="81" spans="4:31">
      <c r="D81" s="174"/>
      <c r="I81" s="174"/>
      <c r="J81" s="174"/>
      <c r="K81" s="174"/>
      <c r="L81" s="174"/>
      <c r="M81" s="502"/>
      <c r="N81" s="174"/>
      <c r="O81" s="174"/>
      <c r="P81" s="174"/>
      <c r="Q81" s="174"/>
      <c r="R81" s="174"/>
      <c r="AE81" s="174"/>
    </row>
    <row r="82" spans="4:31">
      <c r="D82" s="174"/>
      <c r="I82" s="174"/>
      <c r="J82" s="174"/>
      <c r="K82" s="174"/>
      <c r="L82" s="174"/>
      <c r="M82" s="502"/>
      <c r="N82" s="174"/>
      <c r="O82" s="174"/>
      <c r="P82" s="174"/>
      <c r="Q82" s="174"/>
      <c r="R82" s="174"/>
      <c r="AE82" s="174"/>
    </row>
    <row r="83" spans="4:31">
      <c r="D83" s="174"/>
      <c r="I83" s="174"/>
      <c r="J83" s="174"/>
      <c r="K83" s="174"/>
      <c r="L83" s="174"/>
      <c r="M83" s="502"/>
      <c r="N83" s="174"/>
      <c r="O83" s="174"/>
      <c r="P83" s="174"/>
      <c r="Q83" s="174"/>
      <c r="R83" s="174"/>
      <c r="AE83" s="174"/>
    </row>
    <row r="84" spans="4:31">
      <c r="D84" s="174"/>
      <c r="I84" s="174"/>
      <c r="J84" s="174"/>
      <c r="K84" s="174"/>
      <c r="L84" s="174"/>
      <c r="M84" s="502"/>
      <c r="N84" s="174"/>
      <c r="O84" s="174"/>
      <c r="P84" s="174"/>
      <c r="Q84" s="174"/>
      <c r="R84" s="174"/>
      <c r="AE84" s="174"/>
    </row>
  </sheetData>
  <phoneticPr fontId="0" type="noConversion"/>
  <printOptions horizontalCentered="1"/>
  <pageMargins left="0.5" right="0.5" top="1" bottom="0.5" header="0.5" footer="0.5"/>
  <pageSetup scale="24"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2:T57"/>
  <sheetViews>
    <sheetView zoomScale="90" zoomScaleNormal="9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16384" width="9.140625" style="150"/>
  </cols>
  <sheetData>
    <row r="2" spans="2:20">
      <c r="B2" s="150" t="str">
        <f>RS!B2</f>
        <v>KENTUCKY POWER BILLING ANALYSIS</v>
      </c>
      <c r="G2" s="151"/>
      <c r="H2" s="151"/>
      <c r="I2" s="151"/>
      <c r="J2" s="151"/>
      <c r="K2" s="151"/>
    </row>
    <row r="3" spans="2:20">
      <c r="B3" s="150" t="str">
        <f>RS!B3</f>
        <v>PER BOOKS</v>
      </c>
      <c r="G3" s="531"/>
      <c r="H3" s="531"/>
      <c r="I3" s="531"/>
      <c r="J3" s="531"/>
      <c r="K3" s="531"/>
    </row>
    <row r="4" spans="2:20">
      <c r="B4" s="150" t="str">
        <f>RS!B4</f>
        <v>TEST YEAR ENDED MARCH 31, 2023</v>
      </c>
    </row>
    <row r="6" spans="2:20">
      <c r="B6" s="150" t="s">
        <v>152</v>
      </c>
    </row>
    <row r="7" spans="2:20">
      <c r="B7" s="150" t="s">
        <v>34</v>
      </c>
    </row>
    <row r="8" spans="2:20">
      <c r="E8" s="154"/>
      <c r="F8" s="154"/>
      <c r="H8" s="580" t="str">
        <f>RS!H8</f>
        <v>Unit Adjustments</v>
      </c>
      <c r="I8" s="580"/>
      <c r="J8" s="580"/>
      <c r="K8" s="533"/>
      <c r="L8" s="580" t="str">
        <f>RS!L8</f>
        <v>Base Revenues Adjustments</v>
      </c>
      <c r="M8" s="580"/>
      <c r="N8" s="580"/>
      <c r="O8" s="580"/>
      <c r="P8" s="580"/>
      <c r="Q8" s="154"/>
    </row>
    <row r="9" spans="2:20">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0">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0">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0">
      <c r="C12" s="164"/>
      <c r="D12" s="164"/>
      <c r="E12" s="164"/>
      <c r="F12" s="164"/>
      <c r="G12" s="164"/>
      <c r="H12" s="164"/>
      <c r="I12" s="164"/>
      <c r="J12" s="164"/>
      <c r="K12" s="164"/>
      <c r="L12" s="164"/>
      <c r="M12" s="164"/>
      <c r="N12" s="164"/>
      <c r="Q12" s="164"/>
    </row>
    <row r="13" spans="2:20">
      <c r="B13" s="538" t="s">
        <v>19</v>
      </c>
      <c r="C13" s="164">
        <f>'Bill Units'!D80</f>
        <v>1766943</v>
      </c>
      <c r="D13" s="164">
        <f>'Bill Units'!E80</f>
        <v>0</v>
      </c>
      <c r="E13" s="203">
        <f>'Rate Input'!D76</f>
        <v>9.8000000000000004E-2</v>
      </c>
      <c r="F13" s="203">
        <f>'Rate Input'!E76</f>
        <v>0</v>
      </c>
      <c r="G13" s="164">
        <f>(C13*E13)+(D13*F13)</f>
        <v>173160.41400000002</v>
      </c>
      <c r="H13" s="164">
        <f>VLOOKUP($B$7,WNLA!A:B,2,FALSE)*(SUM(C13:D13)/SUM(C13:D13))</f>
        <v>0</v>
      </c>
      <c r="I13" s="162">
        <f>VLOOKUP($B$7,'Monthly # of Customers'!A:R,18,FALSE)*SUM(C13:D13)</f>
        <v>-120083.50485436893</v>
      </c>
      <c r="J13" s="162"/>
      <c r="K13" s="164">
        <f>C13+D13+H13+I13+J13</f>
        <v>1646859.495145631</v>
      </c>
      <c r="L13" s="164"/>
      <c r="M13" s="164"/>
      <c r="N13" s="164">
        <f>H13*F13</f>
        <v>0</v>
      </c>
      <c r="O13" s="162">
        <f>I13*E13</f>
        <v>-11768.183475728156</v>
      </c>
      <c r="P13" s="162">
        <f>J13*F13</f>
        <v>0</v>
      </c>
      <c r="Q13" s="164">
        <f>G13+L13+M13+N13+O13+P13</f>
        <v>161392.23052427187</v>
      </c>
      <c r="S13" s="203">
        <f>'Proposed Rates'!C80</f>
        <v>0.10506</v>
      </c>
      <c r="T13" s="164">
        <f>S13*K13</f>
        <v>173019.05856</v>
      </c>
    </row>
    <row r="14" spans="2:20">
      <c r="B14" s="538"/>
      <c r="C14" s="164"/>
      <c r="D14" s="164"/>
      <c r="E14" s="203"/>
      <c r="F14" s="203"/>
      <c r="G14" s="164"/>
      <c r="H14" s="164"/>
      <c r="I14" s="162"/>
      <c r="J14" s="164"/>
      <c r="K14" s="164"/>
      <c r="L14" s="164"/>
      <c r="M14" s="164"/>
      <c r="N14" s="164"/>
      <c r="O14" s="162"/>
      <c r="P14" s="162"/>
      <c r="Q14" s="164"/>
      <c r="S14" s="203"/>
      <c r="T14" s="164"/>
    </row>
    <row r="15" spans="2:20">
      <c r="B15" s="150" t="s">
        <v>100</v>
      </c>
      <c r="C15" s="164">
        <f>'Bill Units'!D81</f>
        <v>1187</v>
      </c>
      <c r="D15" s="164">
        <f>'Bill Units'!E81</f>
        <v>0</v>
      </c>
      <c r="E15" s="162">
        <f>'Rate Input'!D77</f>
        <v>9.7799999999999994</v>
      </c>
      <c r="F15" s="162">
        <f>'Rate Input'!E77</f>
        <v>0</v>
      </c>
      <c r="G15" s="164">
        <f>(C15*E15)+(D15*F15)</f>
        <v>11608.859999999999</v>
      </c>
      <c r="H15" s="164"/>
      <c r="I15" s="164">
        <f>VLOOKUP($B$7,'Monthly # of Customers'!A:R,18,FALSE)*SUM(C15:D15)</f>
        <v>-80.669902912621353</v>
      </c>
      <c r="J15" s="164"/>
      <c r="K15" s="164">
        <f>C15+D15+H15+I15+J15</f>
        <v>1106.3300970873786</v>
      </c>
      <c r="L15" s="164"/>
      <c r="M15" s="164"/>
      <c r="N15" s="164">
        <f>H15*F15</f>
        <v>0</v>
      </c>
      <c r="O15" s="162">
        <f>I15*E15</f>
        <v>-788.95165048543674</v>
      </c>
      <c r="P15" s="162">
        <f>J15*F15</f>
        <v>0</v>
      </c>
      <c r="Q15" s="164">
        <f>G15+L15+M15+N15+O15+P15</f>
        <v>10819.908349514562</v>
      </c>
      <c r="S15" s="162">
        <f>'Proposed Rates'!D80</f>
        <v>9.5500000000000007</v>
      </c>
      <c r="T15" s="164">
        <f>S15*K15</f>
        <v>10565.452427184466</v>
      </c>
    </row>
    <row r="16" spans="2:20">
      <c r="C16" s="164"/>
      <c r="D16" s="164"/>
      <c r="E16" s="162"/>
      <c r="F16" s="162"/>
      <c r="G16" s="164"/>
      <c r="H16" s="164"/>
      <c r="I16" s="164"/>
      <c r="J16" s="164"/>
      <c r="K16" s="164"/>
      <c r="L16" s="164"/>
      <c r="M16" s="164"/>
      <c r="N16" s="164"/>
      <c r="O16" s="162"/>
      <c r="P16" s="162"/>
      <c r="Q16" s="164"/>
      <c r="S16" s="162"/>
      <c r="T16" s="164"/>
    </row>
    <row r="17" spans="2:20">
      <c r="B17" s="150" t="s">
        <v>12</v>
      </c>
      <c r="C17" s="164">
        <f>'Bill Units'!D82</f>
        <v>103</v>
      </c>
      <c r="D17" s="164">
        <f>'Bill Units'!E82</f>
        <v>0</v>
      </c>
      <c r="E17" s="162">
        <f>'Rate Input'!D78</f>
        <v>25</v>
      </c>
      <c r="F17" s="162">
        <f>'Rate Input'!E78</f>
        <v>0</v>
      </c>
      <c r="G17" s="164">
        <f>(C17*E17)+(D17*F17)</f>
        <v>2575</v>
      </c>
      <c r="H17" s="164"/>
      <c r="I17" s="164">
        <f>VLOOKUP($B$7,'Monthly # of Customers'!A:R,18,FALSE)*SUM(C17:D17)</f>
        <v>-7</v>
      </c>
      <c r="J17" s="164"/>
      <c r="K17" s="164">
        <f>C17+D17+H17+I17+J17</f>
        <v>96</v>
      </c>
      <c r="L17" s="164"/>
      <c r="M17" s="164"/>
      <c r="N17" s="164">
        <f>H17*F17</f>
        <v>0</v>
      </c>
      <c r="O17" s="162">
        <f>I17*E17</f>
        <v>-175</v>
      </c>
      <c r="P17" s="162">
        <f>J17*F17</f>
        <v>0</v>
      </c>
      <c r="Q17" s="164">
        <f>G17+L17+M17+N17+O17+P17</f>
        <v>2400</v>
      </c>
      <c r="S17" s="162">
        <f>'Proposed Rates'!B80:B80</f>
        <v>28</v>
      </c>
      <c r="T17" s="164">
        <f>S17*K17</f>
        <v>2688</v>
      </c>
    </row>
    <row r="19" spans="2:20" ht="11.25" hidden="1" customHeight="1">
      <c r="T19" s="150">
        <f>Q19</f>
        <v>0</v>
      </c>
    </row>
    <row r="20" spans="2:20" ht="11.25" hidden="1" customHeight="1"/>
    <row r="21" spans="2:20" ht="11.25" hidden="1" customHeight="1">
      <c r="C21" s="164"/>
      <c r="D21" s="164"/>
      <c r="E21" s="164"/>
      <c r="F21" s="164"/>
      <c r="G21" s="164"/>
      <c r="H21" s="164"/>
      <c r="I21" s="164"/>
      <c r="J21" s="164"/>
      <c r="K21" s="164"/>
      <c r="L21" s="164"/>
      <c r="M21" s="164"/>
      <c r="N21" s="164"/>
      <c r="O21" s="162"/>
      <c r="P21" s="162"/>
      <c r="Q21" s="164"/>
      <c r="T21" s="164"/>
    </row>
    <row r="22" spans="2:20" ht="11.25" hidden="1" customHeight="1">
      <c r="C22" s="164"/>
      <c r="D22" s="164"/>
      <c r="E22" s="164"/>
      <c r="F22" s="164"/>
      <c r="G22" s="164"/>
      <c r="H22" s="164"/>
      <c r="I22" s="164"/>
      <c r="J22" s="164"/>
      <c r="K22" s="164"/>
      <c r="L22" s="164"/>
      <c r="M22" s="164"/>
      <c r="N22" s="164"/>
      <c r="O22" s="162"/>
      <c r="P22" s="162"/>
      <c r="Q22" s="164"/>
      <c r="T22" s="164"/>
    </row>
    <row r="23" spans="2:20" ht="11.25" hidden="1" customHeight="1">
      <c r="C23" s="164"/>
      <c r="D23" s="164"/>
      <c r="E23" s="164"/>
      <c r="F23" s="164"/>
      <c r="G23" s="164"/>
      <c r="H23" s="164"/>
      <c r="I23" s="164"/>
      <c r="J23" s="164"/>
      <c r="K23" s="164"/>
      <c r="L23" s="164"/>
      <c r="M23" s="164"/>
      <c r="N23" s="164"/>
      <c r="O23" s="162"/>
      <c r="P23" s="162"/>
      <c r="Q23" s="164"/>
      <c r="T23" s="164"/>
    </row>
    <row r="24" spans="2:20" ht="11.25" hidden="1" customHeight="1">
      <c r="C24" s="164"/>
      <c r="D24" s="164"/>
      <c r="E24" s="164"/>
      <c r="F24" s="164"/>
      <c r="G24" s="164"/>
      <c r="H24" s="164"/>
      <c r="I24" s="164"/>
      <c r="J24" s="164"/>
      <c r="K24" s="164"/>
      <c r="L24" s="164"/>
      <c r="M24" s="164"/>
      <c r="N24" s="164"/>
      <c r="O24" s="162"/>
      <c r="P24" s="162"/>
      <c r="Q24" s="164"/>
      <c r="T24" s="164"/>
    </row>
    <row r="25" spans="2:20" ht="11.25" hidden="1" customHeight="1">
      <c r="C25" s="164"/>
      <c r="D25" s="164"/>
      <c r="E25" s="164"/>
      <c r="F25" s="164"/>
      <c r="G25" s="164"/>
      <c r="H25" s="164"/>
      <c r="I25" s="164"/>
      <c r="J25" s="164"/>
      <c r="K25" s="164"/>
      <c r="L25" s="164"/>
      <c r="M25" s="164"/>
      <c r="N25" s="164"/>
      <c r="O25" s="162"/>
      <c r="P25" s="162"/>
      <c r="Q25" s="164"/>
      <c r="T25" s="164"/>
    </row>
    <row r="26" spans="2:20" ht="11.25" hidden="1" customHeight="1">
      <c r="C26" s="164"/>
      <c r="D26" s="164"/>
      <c r="E26" s="164"/>
      <c r="F26" s="164"/>
      <c r="G26" s="164"/>
      <c r="H26" s="164"/>
      <c r="I26" s="164"/>
      <c r="J26" s="164"/>
      <c r="K26" s="164"/>
      <c r="L26" s="164"/>
      <c r="M26" s="164"/>
      <c r="N26" s="164"/>
      <c r="O26" s="162"/>
      <c r="P26" s="162"/>
      <c r="Q26" s="164"/>
      <c r="T26" s="164"/>
    </row>
    <row r="27" spans="2:20" ht="11.25" hidden="1" customHeight="1">
      <c r="C27" s="164"/>
      <c r="D27" s="164"/>
      <c r="E27" s="164"/>
      <c r="F27" s="164"/>
      <c r="G27" s="164"/>
      <c r="H27" s="164"/>
      <c r="I27" s="164"/>
      <c r="J27" s="164"/>
      <c r="K27" s="164"/>
      <c r="L27" s="164"/>
      <c r="M27" s="164"/>
      <c r="N27" s="164"/>
      <c r="O27" s="162"/>
      <c r="P27" s="162"/>
      <c r="Q27" s="164"/>
      <c r="T27" s="164"/>
    </row>
    <row r="28" spans="2:20" ht="11.25" hidden="1" customHeight="1">
      <c r="C28" s="164"/>
      <c r="D28" s="164"/>
      <c r="E28" s="164"/>
      <c r="F28" s="164"/>
      <c r="G28" s="164"/>
      <c r="H28" s="164"/>
      <c r="I28" s="164"/>
      <c r="J28" s="164"/>
      <c r="K28" s="164"/>
      <c r="L28" s="164"/>
      <c r="M28" s="164"/>
      <c r="N28" s="164"/>
      <c r="O28" s="162"/>
      <c r="P28" s="162"/>
      <c r="Q28" s="164"/>
      <c r="T28" s="164"/>
    </row>
    <row r="29" spans="2:20" ht="11.25" hidden="1" customHeight="1">
      <c r="C29" s="164"/>
      <c r="D29" s="164"/>
      <c r="E29" s="164"/>
      <c r="F29" s="164"/>
      <c r="G29" s="164"/>
      <c r="H29" s="164"/>
      <c r="I29" s="164"/>
      <c r="J29" s="164"/>
      <c r="K29" s="164"/>
      <c r="L29" s="164"/>
      <c r="M29" s="164"/>
      <c r="N29" s="164"/>
      <c r="Q29" s="164"/>
      <c r="T29" s="164"/>
    </row>
    <row r="30" spans="2:20">
      <c r="B30" s="169" t="s">
        <v>486</v>
      </c>
      <c r="C30" s="170"/>
      <c r="D30" s="170"/>
      <c r="E30" s="170"/>
      <c r="F30" s="170"/>
      <c r="G30" s="531">
        <f>'B&amp;A Surcharges'!U63</f>
        <v>-446.09694302626292</v>
      </c>
      <c r="L30" s="170"/>
      <c r="M30" s="170"/>
      <c r="N30" s="170"/>
      <c r="O30" s="170"/>
      <c r="P30" s="170"/>
      <c r="Q30" s="164">
        <f>VLOOKUP(B7,'B&amp;A Surcharges'!A:U,21,FALSE)</f>
        <v>-446.09694302626292</v>
      </c>
      <c r="T30" s="164">
        <f>Q30</f>
        <v>-446.09694302626292</v>
      </c>
    </row>
    <row r="31" spans="2:20">
      <c r="C31" s="164"/>
      <c r="D31" s="164"/>
      <c r="E31" s="164"/>
      <c r="F31" s="164"/>
      <c r="G31" s="164"/>
      <c r="H31" s="164"/>
      <c r="I31" s="164"/>
      <c r="J31" s="164"/>
      <c r="K31" s="164"/>
      <c r="L31" s="164"/>
      <c r="M31" s="164"/>
      <c r="N31" s="164"/>
      <c r="Q31" s="164"/>
      <c r="T31" s="164"/>
    </row>
    <row r="32" spans="2:20">
      <c r="B32" s="150" t="s">
        <v>14</v>
      </c>
      <c r="C32" s="164"/>
      <c r="D32" s="164"/>
      <c r="E32" s="164"/>
      <c r="F32" s="164"/>
      <c r="G32" s="164">
        <f>VLOOKUP(B7,'B&amp;A Surcharges'!A:U,2,FALSE)</f>
        <v>46197.140000000007</v>
      </c>
      <c r="H32" s="164"/>
      <c r="I32" s="164"/>
      <c r="J32" s="164"/>
      <c r="K32" s="164"/>
      <c r="L32" s="164"/>
      <c r="M32" s="164"/>
      <c r="N32" s="164"/>
      <c r="Q32" s="164"/>
      <c r="T32" s="164"/>
    </row>
    <row r="33" spans="2:20">
      <c r="C33" s="164"/>
      <c r="D33" s="164"/>
      <c r="E33" s="164"/>
      <c r="F33" s="164"/>
      <c r="G33" s="164"/>
      <c r="H33" s="164"/>
      <c r="I33" s="164"/>
      <c r="J33" s="164"/>
      <c r="K33" s="164"/>
      <c r="L33" s="164"/>
      <c r="M33" s="164"/>
      <c r="N33" s="164"/>
      <c r="Q33" s="164"/>
      <c r="T33" s="164"/>
    </row>
    <row r="34" spans="2:20">
      <c r="B34" s="150" t="s">
        <v>208</v>
      </c>
      <c r="C34" s="164"/>
      <c r="D34" s="164"/>
      <c r="E34" s="164"/>
      <c r="F34" s="164"/>
      <c r="G34" s="164">
        <f>VLOOKUP(B7,'B&amp;A Surcharges'!A:U,16,FALSE)</f>
        <v>0</v>
      </c>
      <c r="H34" s="164"/>
      <c r="I34" s="164"/>
      <c r="J34" s="164"/>
      <c r="K34" s="164"/>
      <c r="L34" s="164"/>
      <c r="M34" s="164"/>
      <c r="N34" s="164"/>
      <c r="Q34" s="164"/>
      <c r="T34" s="164"/>
    </row>
    <row r="35" spans="2:20">
      <c r="C35" s="164"/>
      <c r="D35" s="164"/>
      <c r="E35" s="164"/>
      <c r="F35" s="164"/>
      <c r="G35" s="164"/>
      <c r="H35" s="164"/>
      <c r="I35" s="164"/>
      <c r="J35" s="164"/>
      <c r="K35" s="164"/>
      <c r="L35" s="164"/>
      <c r="M35" s="164"/>
      <c r="N35" s="164"/>
      <c r="Q35" s="164"/>
      <c r="T35" s="164"/>
    </row>
    <row r="36" spans="2:20">
      <c r="B36" s="150" t="s">
        <v>16</v>
      </c>
      <c r="C36" s="164"/>
      <c r="D36" s="164"/>
      <c r="E36" s="164"/>
      <c r="F36" s="164"/>
      <c r="G36" s="164">
        <f>VLOOKUP(B7,'B&amp;A Surcharges'!A:U,4,FALSE)</f>
        <v>-487.86</v>
      </c>
      <c r="H36" s="164"/>
      <c r="I36" s="164"/>
      <c r="J36" s="164"/>
      <c r="K36" s="164"/>
      <c r="L36" s="164"/>
      <c r="M36" s="164"/>
      <c r="N36" s="164"/>
      <c r="Q36" s="164"/>
      <c r="T36" s="164"/>
    </row>
    <row r="37" spans="2:20">
      <c r="C37" s="164"/>
      <c r="D37" s="164"/>
      <c r="E37" s="164"/>
      <c r="F37" s="164"/>
      <c r="G37" s="164"/>
      <c r="H37" s="164"/>
      <c r="I37" s="164"/>
      <c r="J37" s="164"/>
      <c r="K37" s="164"/>
      <c r="L37" s="164"/>
      <c r="M37" s="164"/>
      <c r="N37" s="164"/>
      <c r="Q37" s="164"/>
      <c r="T37" s="164"/>
    </row>
    <row r="38" spans="2:20">
      <c r="B38" s="150" t="s">
        <v>161</v>
      </c>
      <c r="C38" s="164"/>
      <c r="D38" s="164"/>
      <c r="E38" s="164"/>
      <c r="F38" s="164"/>
      <c r="G38" s="164">
        <f>VLOOKUP(B7,'B&amp;A Surcharges'!A:U,6,FALSE)</f>
        <v>2057.5925122580647</v>
      </c>
      <c r="H38" s="164"/>
      <c r="I38" s="164"/>
      <c r="J38" s="164"/>
      <c r="K38" s="164"/>
      <c r="L38" s="164"/>
      <c r="M38" s="164"/>
      <c r="N38" s="164"/>
      <c r="Q38" s="164"/>
      <c r="T38" s="164"/>
    </row>
    <row r="39" spans="2:20">
      <c r="C39" s="164"/>
      <c r="D39" s="164"/>
      <c r="E39" s="164"/>
      <c r="F39" s="164"/>
      <c r="G39" s="164"/>
      <c r="H39" s="164"/>
      <c r="I39" s="164"/>
      <c r="J39" s="164"/>
      <c r="K39" s="164"/>
      <c r="L39" s="164"/>
      <c r="M39" s="164"/>
      <c r="N39" s="164"/>
      <c r="Q39" s="164"/>
      <c r="T39" s="164"/>
    </row>
    <row r="40" spans="2:20">
      <c r="B40" s="150" t="s">
        <v>349</v>
      </c>
      <c r="C40" s="164"/>
      <c r="D40" s="164"/>
      <c r="E40" s="164"/>
      <c r="F40" s="164"/>
      <c r="G40" s="164">
        <f>VLOOKUP(B7,'B&amp;A Surcharges'!A:U,8,FALSE)</f>
        <v>56.81</v>
      </c>
      <c r="H40" s="164"/>
      <c r="I40" s="164"/>
      <c r="J40" s="164"/>
      <c r="K40" s="164"/>
      <c r="L40" s="164"/>
      <c r="M40" s="164"/>
      <c r="N40" s="164"/>
      <c r="Q40" s="164"/>
      <c r="T40" s="164"/>
    </row>
    <row r="41" spans="2:20">
      <c r="C41" s="164"/>
      <c r="D41" s="164"/>
      <c r="E41" s="164"/>
      <c r="F41" s="164"/>
      <c r="G41" s="164"/>
      <c r="H41" s="164"/>
      <c r="I41" s="164"/>
      <c r="J41" s="164"/>
      <c r="K41" s="164"/>
      <c r="L41" s="164"/>
      <c r="M41" s="164"/>
      <c r="N41" s="164"/>
      <c r="Q41" s="164"/>
      <c r="T41" s="164"/>
    </row>
    <row r="42" spans="2:20">
      <c r="B42" s="150" t="s">
        <v>15</v>
      </c>
      <c r="C42" s="164"/>
      <c r="D42" s="164"/>
      <c r="E42" s="164"/>
      <c r="F42" s="164"/>
      <c r="G42" s="164">
        <f>VLOOKUP(B7,'B&amp;A Surcharges'!A:U,10,FALSE)</f>
        <v>10894.41</v>
      </c>
      <c r="H42" s="164"/>
      <c r="I42" s="164"/>
      <c r="J42" s="164"/>
      <c r="K42" s="164"/>
      <c r="L42" s="164">
        <f>VLOOKUP(B7,'Envir FGD adj'!A:F,6,FALSE)</f>
        <v>-7020.7364928422212</v>
      </c>
      <c r="M42" s="164"/>
      <c r="N42" s="164"/>
      <c r="Q42" s="164">
        <f t="shared" ref="Q42" si="0">L42+M42+N42+O42</f>
        <v>-7020.7364928422212</v>
      </c>
      <c r="T42" s="164"/>
    </row>
    <row r="43" spans="2:20">
      <c r="C43" s="164"/>
      <c r="D43" s="164"/>
      <c r="E43" s="164"/>
      <c r="F43" s="164"/>
      <c r="G43" s="164"/>
      <c r="H43" s="164"/>
      <c r="I43" s="164"/>
      <c r="J43" s="164"/>
      <c r="K43" s="164"/>
      <c r="L43" s="164"/>
      <c r="M43" s="164"/>
      <c r="N43" s="164"/>
      <c r="Q43" s="164"/>
      <c r="T43" s="164"/>
    </row>
    <row r="44" spans="2:20">
      <c r="B44" s="150" t="s">
        <v>265</v>
      </c>
      <c r="C44" s="164"/>
      <c r="D44" s="164"/>
      <c r="E44" s="164"/>
      <c r="F44" s="164"/>
      <c r="G44" s="164">
        <f>VLOOKUP(B7,'B&amp;A Surcharges'!A:U,12,FALSE)</f>
        <v>5415.5879577419346</v>
      </c>
      <c r="H44" s="164"/>
      <c r="I44" s="164"/>
      <c r="J44" s="164"/>
      <c r="K44" s="164"/>
      <c r="L44" s="164"/>
      <c r="M44" s="164"/>
      <c r="N44" s="164"/>
      <c r="Q44" s="164"/>
      <c r="T44" s="164"/>
    </row>
    <row r="45" spans="2:20">
      <c r="C45" s="164"/>
      <c r="D45" s="164"/>
      <c r="E45" s="164"/>
      <c r="F45" s="164"/>
      <c r="G45" s="164"/>
      <c r="H45" s="164"/>
      <c r="I45" s="164"/>
      <c r="J45" s="164"/>
      <c r="K45" s="164"/>
      <c r="L45" s="164"/>
      <c r="M45" s="164"/>
      <c r="N45" s="164"/>
      <c r="Q45" s="164"/>
      <c r="T45" s="164"/>
    </row>
    <row r="46" spans="2:20">
      <c r="B46" s="150" t="s">
        <v>329</v>
      </c>
      <c r="C46" s="164"/>
      <c r="D46" s="164"/>
      <c r="E46" s="164"/>
      <c r="F46" s="164"/>
      <c r="G46" s="164">
        <f>'B&amp;A Surcharges'!N63</f>
        <v>11194.36</v>
      </c>
      <c r="H46" s="164"/>
      <c r="I46" s="164"/>
      <c r="J46" s="164"/>
      <c r="K46" s="164"/>
      <c r="L46" s="164"/>
      <c r="M46" s="164"/>
      <c r="N46" s="164"/>
      <c r="Q46" s="164"/>
      <c r="T46" s="164"/>
    </row>
    <row r="47" spans="2:20">
      <c r="C47" s="164"/>
      <c r="D47" s="164"/>
      <c r="E47" s="164"/>
      <c r="F47" s="164"/>
      <c r="G47" s="164"/>
      <c r="H47" s="164"/>
      <c r="I47" s="164"/>
      <c r="J47" s="164"/>
      <c r="K47" s="164"/>
      <c r="L47" s="164"/>
      <c r="M47" s="164"/>
      <c r="N47" s="164"/>
      <c r="Q47" s="164"/>
      <c r="T47" s="164"/>
    </row>
    <row r="48" spans="2:20">
      <c r="B48" s="150" t="s">
        <v>264</v>
      </c>
      <c r="C48" s="164"/>
      <c r="D48" s="164"/>
      <c r="E48" s="164"/>
      <c r="F48" s="164"/>
      <c r="G48" s="164">
        <f>VLOOKUP(B7,'B&amp;A Surcharges'!A:U,18,FALSE)</f>
        <v>103</v>
      </c>
      <c r="H48" s="164"/>
      <c r="I48" s="164"/>
      <c r="J48" s="164"/>
      <c r="K48" s="164"/>
      <c r="L48" s="164"/>
      <c r="M48" s="164"/>
      <c r="N48" s="164"/>
      <c r="Q48" s="164"/>
      <c r="T48" s="164"/>
    </row>
    <row r="49" spans="2:20">
      <c r="C49" s="164"/>
      <c r="D49" s="164"/>
      <c r="E49" s="164"/>
      <c r="F49" s="164"/>
      <c r="G49" s="164"/>
      <c r="H49" s="164"/>
      <c r="I49" s="164"/>
      <c r="J49" s="164"/>
      <c r="K49" s="164"/>
      <c r="L49" s="164"/>
      <c r="M49" s="164"/>
      <c r="N49" s="164"/>
      <c r="Q49" s="164"/>
      <c r="T49" s="164"/>
    </row>
    <row r="50" spans="2:20">
      <c r="B50" s="150" t="s">
        <v>346</v>
      </c>
      <c r="C50" s="164"/>
      <c r="D50" s="164"/>
      <c r="E50" s="164"/>
      <c r="F50" s="164"/>
      <c r="G50" s="164">
        <f>VLOOKUP(B7,'B&amp;A Surcharges'!A:U,19,FALSE)</f>
        <v>-11853.769999999999</v>
      </c>
      <c r="H50" s="164"/>
      <c r="I50" s="164"/>
      <c r="J50" s="164"/>
      <c r="K50" s="164"/>
      <c r="L50" s="164"/>
      <c r="M50" s="164"/>
      <c r="N50" s="164"/>
      <c r="Q50" s="164"/>
      <c r="T50" s="164"/>
    </row>
    <row r="51" spans="2:20">
      <c r="B51" s="157"/>
      <c r="C51" s="165"/>
      <c r="D51" s="165"/>
      <c r="E51" s="165"/>
      <c r="F51" s="165"/>
      <c r="G51" s="165"/>
      <c r="H51" s="165"/>
      <c r="I51" s="165"/>
      <c r="J51" s="165"/>
      <c r="K51" s="165"/>
      <c r="L51" s="165"/>
      <c r="M51" s="165"/>
      <c r="N51" s="165"/>
      <c r="O51" s="165"/>
      <c r="P51" s="165"/>
      <c r="Q51" s="165"/>
      <c r="T51" s="165"/>
    </row>
    <row r="53" spans="2:20" s="168" customFormat="1">
      <c r="B53" s="168" t="s">
        <v>17</v>
      </c>
      <c r="G53" s="168">
        <f t="shared" ref="G53:P53" si="1">SUM(G13:G50)</f>
        <v>250475.44752697376</v>
      </c>
      <c r="L53" s="168">
        <f t="shared" si="1"/>
        <v>-7020.7364928422212</v>
      </c>
      <c r="M53" s="168">
        <f t="shared" si="1"/>
        <v>0</v>
      </c>
      <c r="N53" s="168">
        <f t="shared" si="1"/>
        <v>0</v>
      </c>
      <c r="O53" s="539">
        <f t="shared" si="1"/>
        <v>-12732.135126213592</v>
      </c>
      <c r="P53" s="539">
        <f t="shared" si="1"/>
        <v>0</v>
      </c>
      <c r="Q53" s="168">
        <f>SUM(Q13:Q50)</f>
        <v>167145.30543791794</v>
      </c>
      <c r="T53" s="168">
        <f>SUM(T13:T50)</f>
        <v>185826.41404415821</v>
      </c>
    </row>
    <row r="54" spans="2:20">
      <c r="G54" s="532"/>
      <c r="H54" s="532"/>
      <c r="I54" s="532"/>
      <c r="J54" s="532"/>
      <c r="K54" s="532"/>
      <c r="L54" s="158"/>
      <c r="M54" s="158"/>
      <c r="Q54" s="531"/>
    </row>
    <row r="55" spans="2:20">
      <c r="G55" s="186"/>
      <c r="H55" s="186"/>
      <c r="I55" s="186"/>
      <c r="J55" s="186"/>
      <c r="K55" s="186"/>
      <c r="L55" s="186"/>
      <c r="M55" s="158"/>
    </row>
    <row r="56" spans="2:20">
      <c r="G56" s="158"/>
      <c r="H56" s="158"/>
      <c r="I56" s="158"/>
      <c r="J56" s="158"/>
      <c r="K56" s="158"/>
      <c r="L56" s="158"/>
      <c r="M56" s="158"/>
    </row>
    <row r="57" spans="2:20">
      <c r="G57" s="160"/>
      <c r="H57" s="160"/>
      <c r="I57" s="160"/>
      <c r="J57" s="160"/>
      <c r="K57" s="160"/>
      <c r="L57" s="160"/>
      <c r="M57" s="160"/>
    </row>
  </sheetData>
  <mergeCells count="2">
    <mergeCell ref="H8:J8"/>
    <mergeCell ref="L8:P8"/>
  </mergeCells>
  <pageMargins left="0.25" right="0.25" top="0.75" bottom="0.75" header="0.3" footer="0.3"/>
  <pageSetup paperSize="5" scale="67" orientation="landscape"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59999389629810485"/>
    <pageSetUpPr fitToPage="1"/>
  </sheetPr>
  <dimension ref="A1:R48"/>
  <sheetViews>
    <sheetView zoomScale="85" zoomScaleNormal="85" workbookViewId="0">
      <pane xSplit="1" ySplit="9" topLeftCell="H10" activePane="bottomRight" state="frozen"/>
      <selection pane="topRight" activeCell="B1" sqref="B1"/>
      <selection pane="bottomLeft" activeCell="A10" sqref="A10"/>
      <selection pane="bottomRight" activeCell="I36" sqref="I33:Q36"/>
    </sheetView>
  </sheetViews>
  <sheetFormatPr defaultRowHeight="12.75"/>
  <cols>
    <col min="1" max="1" width="28.85546875" customWidth="1"/>
    <col min="2" max="2" width="11.7109375" bestFit="1" customWidth="1"/>
    <col min="4" max="4" width="14.42578125" bestFit="1" customWidth="1"/>
    <col min="5" max="5" width="14.42578125" customWidth="1"/>
    <col min="6" max="6" width="14.42578125" bestFit="1" customWidth="1"/>
    <col min="7" max="7" width="14.85546875" bestFit="1" customWidth="1"/>
    <col min="8" max="9" width="14.42578125" customWidth="1"/>
    <col min="10" max="10" width="14.42578125" bestFit="1" customWidth="1"/>
    <col min="11" max="11" width="11.28515625" bestFit="1" customWidth="1"/>
    <col min="12" max="12" width="11.7109375" bestFit="1" customWidth="1"/>
    <col min="13" max="13" width="14.42578125" bestFit="1" customWidth="1"/>
    <col min="14" max="14" width="11.28515625" bestFit="1" customWidth="1"/>
    <col min="15" max="15" width="12.7109375" bestFit="1" customWidth="1"/>
    <col min="16" max="16" width="12.28515625" bestFit="1" customWidth="1"/>
    <col min="17" max="17" width="12.7109375" bestFit="1" customWidth="1"/>
    <col min="18" max="18" width="14.42578125" bestFit="1" customWidth="1"/>
  </cols>
  <sheetData>
    <row r="1" spans="1:18">
      <c r="A1" t="str">
        <f>+RS!B2</f>
        <v>KENTUCKY POWER BILLING ANALYSIS</v>
      </c>
    </row>
    <row r="2" spans="1:18">
      <c r="A2" t="str">
        <f>+RS!B3</f>
        <v>PER BOOKS</v>
      </c>
      <c r="D2" s="22"/>
    </row>
    <row r="3" spans="1:18">
      <c r="A3" t="str">
        <f>+RS!B4</f>
        <v>TEST YEAR ENDED MARCH 31, 2023</v>
      </c>
    </row>
    <row r="5" spans="1:18">
      <c r="A5" t="s">
        <v>261</v>
      </c>
    </row>
    <row r="6" spans="1:18">
      <c r="B6" s="68"/>
      <c r="C6" s="68"/>
      <c r="E6" s="80" t="s">
        <v>6</v>
      </c>
      <c r="F6" s="31" t="s">
        <v>6</v>
      </c>
      <c r="G6" s="31" t="s">
        <v>6</v>
      </c>
      <c r="H6" s="31" t="e">
        <f>RS!#REF!</f>
        <v>#REF!</v>
      </c>
      <c r="I6" s="74" t="s">
        <v>6</v>
      </c>
      <c r="J6" s="31" t="s">
        <v>6</v>
      </c>
      <c r="N6" s="1" t="s">
        <v>165</v>
      </c>
      <c r="O6" s="1"/>
    </row>
    <row r="7" spans="1:18">
      <c r="A7" s="1"/>
      <c r="B7" s="1" t="s">
        <v>107</v>
      </c>
      <c r="C7" s="1" t="s">
        <v>4</v>
      </c>
      <c r="D7" s="1"/>
      <c r="E7" s="76" t="s">
        <v>142</v>
      </c>
      <c r="F7" s="1" t="s">
        <v>142</v>
      </c>
      <c r="G7" s="1" t="s">
        <v>142</v>
      </c>
      <c r="H7" s="31" t="str">
        <f>RS!L9</f>
        <v>Enviro Sur</v>
      </c>
      <c r="I7" s="74" t="s">
        <v>279</v>
      </c>
      <c r="J7" s="1" t="s">
        <v>143</v>
      </c>
      <c r="K7" s="1" t="s">
        <v>102</v>
      </c>
      <c r="L7" s="1" t="s">
        <v>102</v>
      </c>
      <c r="M7" s="1" t="s">
        <v>105</v>
      </c>
      <c r="N7" s="1" t="s">
        <v>134</v>
      </c>
      <c r="O7" s="1" t="s">
        <v>123</v>
      </c>
      <c r="P7" s="1" t="s">
        <v>134</v>
      </c>
      <c r="Q7" s="1" t="s">
        <v>135</v>
      </c>
      <c r="R7" s="1" t="s">
        <v>136</v>
      </c>
    </row>
    <row r="8" spans="1:18">
      <c r="A8" s="3" t="s">
        <v>1</v>
      </c>
      <c r="B8" s="3" t="s">
        <v>17</v>
      </c>
      <c r="C8" s="3" t="s">
        <v>5</v>
      </c>
      <c r="D8" s="3" t="s">
        <v>6</v>
      </c>
      <c r="E8" s="75" t="s">
        <v>289</v>
      </c>
      <c r="F8" s="3" t="s">
        <v>109</v>
      </c>
      <c r="G8" s="3" t="s">
        <v>161</v>
      </c>
      <c r="H8" s="3" t="str">
        <f>RS!L10</f>
        <v>Excl FGD</v>
      </c>
      <c r="I8" s="75" t="s">
        <v>212</v>
      </c>
      <c r="J8" s="3" t="s">
        <v>144</v>
      </c>
      <c r="K8" s="3" t="s">
        <v>103</v>
      </c>
      <c r="L8" s="3" t="s">
        <v>17</v>
      </c>
      <c r="M8" s="3" t="s">
        <v>6</v>
      </c>
      <c r="N8" s="3" t="s">
        <v>103</v>
      </c>
      <c r="O8" s="3" t="e">
        <f>+RS!#REF!</f>
        <v>#REF!</v>
      </c>
      <c r="P8" s="3" t="s">
        <v>103</v>
      </c>
      <c r="Q8" s="3" t="s">
        <v>17</v>
      </c>
      <c r="R8" s="3" t="s">
        <v>6</v>
      </c>
    </row>
    <row r="9" spans="1:18">
      <c r="A9" s="2" t="s">
        <v>7</v>
      </c>
      <c r="B9" s="2" t="s">
        <v>8</v>
      </c>
      <c r="C9" s="2" t="s">
        <v>9</v>
      </c>
      <c r="D9" s="2" t="s">
        <v>177</v>
      </c>
      <c r="E9" s="2" t="s">
        <v>178</v>
      </c>
      <c r="F9" s="2" t="s">
        <v>10</v>
      </c>
      <c r="G9" s="2" t="s">
        <v>179</v>
      </c>
      <c r="H9" s="1" t="s">
        <v>104</v>
      </c>
      <c r="I9" s="2" t="s">
        <v>130</v>
      </c>
      <c r="J9" s="2" t="s">
        <v>180</v>
      </c>
      <c r="K9" s="2" t="s">
        <v>290</v>
      </c>
      <c r="L9" s="2" t="s">
        <v>291</v>
      </c>
      <c r="M9" s="19" t="s">
        <v>294</v>
      </c>
      <c r="N9" s="19" t="s">
        <v>181</v>
      </c>
      <c r="O9" s="2" t="s">
        <v>293</v>
      </c>
      <c r="P9" s="2" t="s">
        <v>295</v>
      </c>
      <c r="Q9" s="58" t="s">
        <v>296</v>
      </c>
      <c r="R9" s="58" t="s">
        <v>297</v>
      </c>
    </row>
    <row r="10" spans="1:18">
      <c r="J10" s="32" t="e">
        <f>RS!#REF!</f>
        <v>#REF!</v>
      </c>
    </row>
    <row r="11" spans="1:18">
      <c r="D11" s="10"/>
      <c r="E11" s="10"/>
      <c r="F11" s="11"/>
      <c r="G11" s="11"/>
      <c r="H11" s="11"/>
      <c r="I11" s="11"/>
      <c r="J11" s="11"/>
    </row>
    <row r="12" spans="1:18">
      <c r="A12" s="5" t="s">
        <v>21</v>
      </c>
      <c r="B12" s="49">
        <v>10876133</v>
      </c>
      <c r="C12" s="47">
        <v>3.0519999999999999E-2</v>
      </c>
      <c r="D12" s="8">
        <f>+B12*C12</f>
        <v>331939.57915999996</v>
      </c>
      <c r="E12" s="8">
        <f>D12</f>
        <v>331939.57915999996</v>
      </c>
      <c r="F12" s="8">
        <f>E12</f>
        <v>331939.57915999996</v>
      </c>
      <c r="G12" s="8">
        <f>F12</f>
        <v>331939.57915999996</v>
      </c>
      <c r="H12" s="8">
        <f>+G12</f>
        <v>331939.57915999996</v>
      </c>
      <c r="I12" s="8">
        <f>H12</f>
        <v>331939.57915999996</v>
      </c>
      <c r="J12" s="8">
        <f>+I12</f>
        <v>331939.57915999996</v>
      </c>
      <c r="K12" s="49">
        <v>7602000</v>
      </c>
      <c r="L12" s="6">
        <f>+B12+K12</f>
        <v>18478133</v>
      </c>
      <c r="M12" s="8">
        <f>+C12*L12</f>
        <v>563952.61916</v>
      </c>
      <c r="N12" s="49">
        <f>-L12</f>
        <v>-18478133</v>
      </c>
      <c r="O12" s="101">
        <f>L12+N12</f>
        <v>0</v>
      </c>
      <c r="P12" s="101">
        <f>Q12-O12</f>
        <v>0</v>
      </c>
      <c r="Q12" s="101">
        <v>0</v>
      </c>
      <c r="R12" s="100">
        <f>+Q12*C12</f>
        <v>0</v>
      </c>
    </row>
    <row r="13" spans="1:18">
      <c r="D13" s="8"/>
      <c r="E13" s="8"/>
      <c r="F13" s="8"/>
      <c r="G13" s="8"/>
      <c r="H13" s="8"/>
      <c r="I13" s="8"/>
      <c r="J13" s="8"/>
      <c r="K13" s="6"/>
      <c r="M13" s="8"/>
      <c r="N13" s="49"/>
      <c r="O13" s="99"/>
      <c r="P13" s="99"/>
      <c r="Q13" s="101"/>
      <c r="R13" s="100"/>
    </row>
    <row r="14" spans="1:18">
      <c r="A14" t="s">
        <v>11</v>
      </c>
      <c r="B14" s="6" t="e">
        <f>#REF!</f>
        <v>#REF!</v>
      </c>
      <c r="D14" s="8"/>
      <c r="E14" s="8"/>
      <c r="F14" s="8"/>
      <c r="G14" s="8"/>
      <c r="H14" s="8"/>
      <c r="I14" s="8"/>
      <c r="J14" s="8"/>
      <c r="K14" s="6">
        <f>SUM(K12:K13)</f>
        <v>7602000</v>
      </c>
      <c r="L14" s="6" t="e">
        <f>+B14+K14</f>
        <v>#REF!</v>
      </c>
      <c r="M14" s="8"/>
      <c r="N14" s="49">
        <f>N12</f>
        <v>-18478133</v>
      </c>
      <c r="O14" s="101" t="e">
        <f>L14+N14</f>
        <v>#REF!</v>
      </c>
      <c r="P14" s="101" t="e">
        <f>Q14-O14</f>
        <v>#REF!</v>
      </c>
      <c r="Q14" s="101">
        <v>0</v>
      </c>
      <c r="R14" s="100"/>
    </row>
    <row r="15" spans="1:18">
      <c r="D15" s="8"/>
      <c r="E15" s="8"/>
      <c r="F15" s="8"/>
      <c r="G15" s="8"/>
      <c r="H15" s="8"/>
      <c r="I15" s="8"/>
      <c r="J15" s="8"/>
      <c r="K15" s="6"/>
      <c r="M15" s="8"/>
      <c r="N15" s="49"/>
      <c r="O15" s="99"/>
      <c r="P15" s="99"/>
      <c r="Q15" s="101"/>
      <c r="R15" s="100"/>
    </row>
    <row r="16" spans="1:18">
      <c r="A16" s="4" t="s">
        <v>20</v>
      </c>
      <c r="D16" s="8"/>
      <c r="E16" s="8"/>
      <c r="F16" s="8"/>
      <c r="G16" s="8"/>
      <c r="H16" s="8"/>
      <c r="I16" s="8"/>
      <c r="J16" s="8"/>
      <c r="K16" s="6"/>
      <c r="M16" s="8"/>
      <c r="N16" s="49"/>
      <c r="O16" s="99"/>
      <c r="P16" s="99"/>
      <c r="Q16" s="101"/>
      <c r="R16" s="100"/>
    </row>
    <row r="17" spans="1:18">
      <c r="A17" t="s">
        <v>24</v>
      </c>
      <c r="B17" s="49">
        <v>25552.38</v>
      </c>
      <c r="C17" s="48">
        <v>9.75</v>
      </c>
      <c r="D17" s="8">
        <f>+B17*C17</f>
        <v>249135.70500000002</v>
      </c>
      <c r="E17" s="8">
        <f t="shared" ref="E17:F19" si="0">D17</f>
        <v>249135.70500000002</v>
      </c>
      <c r="F17" s="8">
        <f t="shared" si="0"/>
        <v>249135.70500000002</v>
      </c>
      <c r="G17" s="8">
        <f t="shared" ref="G17:G19" si="1">F17</f>
        <v>249135.70500000002</v>
      </c>
      <c r="H17" s="8">
        <f t="shared" ref="H17:J19" si="2">+G17</f>
        <v>249135.70500000002</v>
      </c>
      <c r="I17" s="8">
        <f>H17</f>
        <v>249135.70500000002</v>
      </c>
      <c r="J17" s="8">
        <f t="shared" si="2"/>
        <v>249135.70500000002</v>
      </c>
      <c r="K17" s="49">
        <v>17556</v>
      </c>
      <c r="L17" s="6">
        <f>+B17+K17</f>
        <v>43108.380000000005</v>
      </c>
      <c r="M17" s="8">
        <f>+C17*L17</f>
        <v>420306.70500000007</v>
      </c>
      <c r="N17" s="49">
        <f>-L17</f>
        <v>-43108.380000000005</v>
      </c>
      <c r="O17" s="104">
        <f>L17+N17</f>
        <v>0</v>
      </c>
      <c r="P17" s="101">
        <f>Q17-O17</f>
        <v>0</v>
      </c>
      <c r="Q17" s="104">
        <v>0</v>
      </c>
      <c r="R17" s="100">
        <f>+Q17*C17</f>
        <v>0</v>
      </c>
    </row>
    <row r="18" spans="1:18">
      <c r="A18" t="s">
        <v>44</v>
      </c>
      <c r="B18" s="49">
        <v>24893.32</v>
      </c>
      <c r="C18" s="48">
        <v>1.04</v>
      </c>
      <c r="D18" s="8">
        <f>+B18*C18</f>
        <v>25889.052800000001</v>
      </c>
      <c r="E18" s="8">
        <f t="shared" si="0"/>
        <v>25889.052800000001</v>
      </c>
      <c r="F18" s="8">
        <f t="shared" si="0"/>
        <v>25889.052800000001</v>
      </c>
      <c r="G18" s="8">
        <f t="shared" si="1"/>
        <v>25889.052800000001</v>
      </c>
      <c r="H18" s="8">
        <f t="shared" si="2"/>
        <v>25889.052800000001</v>
      </c>
      <c r="I18" s="8">
        <f t="shared" ref="I18:I19" si="3">H18</f>
        <v>25889.052800000001</v>
      </c>
      <c r="J18" s="8">
        <f t="shared" si="2"/>
        <v>25889.052800000001</v>
      </c>
      <c r="K18" s="49">
        <v>17976</v>
      </c>
      <c r="L18" s="6">
        <f>+B18+K18</f>
        <v>42869.32</v>
      </c>
      <c r="M18" s="8">
        <f>+C18*L18</f>
        <v>44584.092799999999</v>
      </c>
      <c r="N18" s="49">
        <f>-L18</f>
        <v>-42869.32</v>
      </c>
      <c r="O18" s="104">
        <f>L18+N18</f>
        <v>0</v>
      </c>
      <c r="P18" s="101">
        <f>Q18-O18</f>
        <v>0</v>
      </c>
      <c r="Q18" s="104">
        <v>0</v>
      </c>
      <c r="R18" s="100">
        <f>+Q18*C18</f>
        <v>0</v>
      </c>
    </row>
    <row r="19" spans="1:18">
      <c r="A19" t="s">
        <v>45</v>
      </c>
      <c r="B19" s="49">
        <v>0</v>
      </c>
      <c r="C19" s="48">
        <v>11</v>
      </c>
      <c r="D19" s="8">
        <f>+B19*C19</f>
        <v>0</v>
      </c>
      <c r="E19" s="8">
        <f t="shared" si="0"/>
        <v>0</v>
      </c>
      <c r="F19" s="8">
        <f t="shared" si="0"/>
        <v>0</v>
      </c>
      <c r="G19" s="8">
        <f t="shared" si="1"/>
        <v>0</v>
      </c>
      <c r="H19" s="8">
        <f t="shared" si="2"/>
        <v>0</v>
      </c>
      <c r="I19" s="8">
        <f t="shared" si="3"/>
        <v>0</v>
      </c>
      <c r="J19" s="8">
        <f t="shared" si="2"/>
        <v>0</v>
      </c>
      <c r="K19" s="49">
        <v>0</v>
      </c>
      <c r="L19" s="6">
        <f>+B19+K19</f>
        <v>0</v>
      </c>
      <c r="M19" s="8">
        <f>+C19*L19</f>
        <v>0</v>
      </c>
      <c r="N19" s="49"/>
      <c r="O19" s="104">
        <f>L19+N19</f>
        <v>0</v>
      </c>
      <c r="P19" s="101">
        <f>Q19-O19</f>
        <v>0</v>
      </c>
      <c r="Q19" s="104">
        <v>0</v>
      </c>
      <c r="R19" s="100">
        <f>+Q19*C19</f>
        <v>0</v>
      </c>
    </row>
    <row r="20" spans="1:18">
      <c r="B20" s="49"/>
      <c r="C20" s="48"/>
      <c r="D20" s="8"/>
      <c r="E20" s="8"/>
      <c r="F20" s="8"/>
      <c r="G20" s="8"/>
      <c r="H20" s="8"/>
      <c r="I20" s="8"/>
      <c r="J20" s="8"/>
      <c r="K20" s="49"/>
      <c r="L20" s="6"/>
      <c r="M20" s="8"/>
      <c r="N20" s="49"/>
      <c r="O20" s="101"/>
      <c r="P20" s="101"/>
      <c r="Q20" s="101"/>
      <c r="R20" s="100"/>
    </row>
    <row r="21" spans="1:18">
      <c r="A21" s="69" t="s">
        <v>262</v>
      </c>
      <c r="B21" s="49">
        <v>17817</v>
      </c>
      <c r="C21" s="72">
        <v>-3.68</v>
      </c>
      <c r="D21" s="71">
        <f>+B21*C21</f>
        <v>-65566.559999999998</v>
      </c>
      <c r="E21" s="8">
        <f>D21</f>
        <v>-65566.559999999998</v>
      </c>
      <c r="F21" s="8">
        <f t="shared" ref="F21:J21" si="4">E21</f>
        <v>-65566.559999999998</v>
      </c>
      <c r="G21" s="8">
        <f t="shared" si="4"/>
        <v>-65566.559999999998</v>
      </c>
      <c r="H21" s="8">
        <f t="shared" si="4"/>
        <v>-65566.559999999998</v>
      </c>
      <c r="I21" s="8">
        <f t="shared" si="4"/>
        <v>-65566.559999999998</v>
      </c>
      <c r="J21" s="8">
        <f t="shared" si="4"/>
        <v>-65566.559999999998</v>
      </c>
      <c r="K21" s="49" t="e">
        <f>#REF!</f>
        <v>#REF!</v>
      </c>
      <c r="L21" s="49" t="e">
        <f>B21+K21</f>
        <v>#REF!</v>
      </c>
      <c r="M21" s="100" t="e">
        <f>+C21*L21</f>
        <v>#REF!</v>
      </c>
      <c r="N21" s="8" t="e">
        <f>-L21</f>
        <v>#REF!</v>
      </c>
      <c r="O21" s="101" t="e">
        <f>L21+N21</f>
        <v>#REF!</v>
      </c>
      <c r="P21" s="101"/>
      <c r="Q21" s="101">
        <v>0</v>
      </c>
      <c r="R21" s="100">
        <f>+Q21*C21</f>
        <v>0</v>
      </c>
    </row>
    <row r="22" spans="1:18">
      <c r="B22" s="6"/>
      <c r="C22" s="22"/>
      <c r="D22" s="8"/>
      <c r="E22" s="8"/>
      <c r="F22" s="8"/>
      <c r="G22" s="8"/>
      <c r="H22" s="8"/>
      <c r="I22" s="8"/>
      <c r="J22" s="8"/>
      <c r="K22" s="6"/>
      <c r="M22" s="8"/>
      <c r="N22" s="8"/>
      <c r="O22" s="99"/>
      <c r="P22" s="99"/>
      <c r="Q22" s="101"/>
      <c r="R22" s="100"/>
    </row>
    <row r="23" spans="1:18">
      <c r="A23" t="s">
        <v>25</v>
      </c>
      <c r="B23" s="49">
        <v>17361</v>
      </c>
      <c r="C23" s="48" t="e">
        <f>+#REF!</f>
        <v>#REF!</v>
      </c>
      <c r="D23" s="8" t="e">
        <f>+B23*C23</f>
        <v>#REF!</v>
      </c>
      <c r="E23" s="8" t="e">
        <f>D23</f>
        <v>#REF!</v>
      </c>
      <c r="F23" s="8" t="e">
        <f>E23</f>
        <v>#REF!</v>
      </c>
      <c r="G23" s="8" t="e">
        <f>F23</f>
        <v>#REF!</v>
      </c>
      <c r="H23" s="8" t="e">
        <f>+G23</f>
        <v>#REF!</v>
      </c>
      <c r="I23" s="8" t="e">
        <f t="shared" ref="I23" si="5">H23</f>
        <v>#REF!</v>
      </c>
      <c r="J23" s="8" t="e">
        <f>+I23</f>
        <v>#REF!</v>
      </c>
      <c r="K23" s="49">
        <v>17661</v>
      </c>
      <c r="L23" s="6">
        <f>+B23+K23</f>
        <v>35022</v>
      </c>
      <c r="M23" s="8" t="e">
        <f>+C23*L23</f>
        <v>#REF!</v>
      </c>
      <c r="N23" s="49">
        <f>-L23</f>
        <v>-35022</v>
      </c>
      <c r="O23" s="101">
        <f>L23+N23</f>
        <v>0</v>
      </c>
      <c r="P23" s="101">
        <f>Q23-O23</f>
        <v>0</v>
      </c>
      <c r="Q23" s="101">
        <v>0</v>
      </c>
      <c r="R23" s="100" t="e">
        <f>+Q23*C23</f>
        <v>#REF!</v>
      </c>
    </row>
    <row r="24" spans="1:18">
      <c r="B24" s="6"/>
      <c r="C24" s="22"/>
      <c r="D24" s="8"/>
      <c r="E24" s="8"/>
      <c r="F24" s="8"/>
      <c r="G24" s="8"/>
      <c r="H24" s="8"/>
      <c r="I24" s="8"/>
      <c r="J24" s="8"/>
      <c r="K24" s="6"/>
      <c r="M24" s="8"/>
      <c r="N24" s="49"/>
      <c r="O24" s="99"/>
      <c r="P24" s="99"/>
      <c r="Q24" s="101"/>
      <c r="R24" s="100"/>
    </row>
    <row r="25" spans="1:18">
      <c r="A25" t="s">
        <v>12</v>
      </c>
      <c r="B25" s="49">
        <v>7</v>
      </c>
      <c r="C25" s="51">
        <v>1353</v>
      </c>
      <c r="D25" s="8">
        <f>+B25*C25</f>
        <v>9471</v>
      </c>
      <c r="E25" s="8">
        <f>D25</f>
        <v>9471</v>
      </c>
      <c r="F25" s="8">
        <f>E25</f>
        <v>9471</v>
      </c>
      <c r="G25" s="8">
        <f>F25</f>
        <v>9471</v>
      </c>
      <c r="H25" s="8">
        <f>+G25</f>
        <v>9471</v>
      </c>
      <c r="I25" s="8">
        <f t="shared" ref="I25" si="6">H25</f>
        <v>9471</v>
      </c>
      <c r="J25" s="8">
        <f>+I25</f>
        <v>9471</v>
      </c>
      <c r="K25" s="49">
        <v>5</v>
      </c>
      <c r="L25" s="6">
        <f>+B25+K25</f>
        <v>12</v>
      </c>
      <c r="M25" s="8">
        <f>+C25*L25</f>
        <v>16236</v>
      </c>
      <c r="N25" s="49">
        <f>-L25</f>
        <v>-12</v>
      </c>
      <c r="O25" s="101">
        <f>L25+N25</f>
        <v>0</v>
      </c>
      <c r="P25" s="101">
        <f>Q25-O25</f>
        <v>0</v>
      </c>
      <c r="Q25" s="101">
        <v>0</v>
      </c>
      <c r="R25" s="100">
        <f>+Q25*C25</f>
        <v>0</v>
      </c>
    </row>
    <row r="26" spans="1:18">
      <c r="D26" s="8"/>
      <c r="E26" s="8"/>
      <c r="F26" s="8"/>
      <c r="G26" s="8"/>
      <c r="H26" s="8"/>
      <c r="I26" s="8"/>
      <c r="J26" s="8"/>
      <c r="K26" s="6"/>
      <c r="M26" s="8"/>
      <c r="N26" s="6"/>
      <c r="O26" s="99"/>
      <c r="P26" s="99"/>
      <c r="Q26" s="101"/>
      <c r="R26" s="100"/>
    </row>
    <row r="27" spans="1:18">
      <c r="A27" t="s">
        <v>13</v>
      </c>
      <c r="B27" s="6">
        <f>'Monthly # of Customers'!N76</f>
        <v>0</v>
      </c>
      <c r="D27" s="8"/>
      <c r="E27" s="8"/>
      <c r="F27" s="8"/>
      <c r="G27" s="8"/>
      <c r="H27" s="8"/>
      <c r="I27" s="8"/>
      <c r="J27" s="8"/>
      <c r="K27" s="6">
        <v>5</v>
      </c>
      <c r="L27" s="6">
        <f>+B27+K27</f>
        <v>5</v>
      </c>
      <c r="M27" s="8"/>
      <c r="N27" s="49">
        <f>-L27</f>
        <v>-5</v>
      </c>
      <c r="O27" s="101">
        <f>L27+N27</f>
        <v>0</v>
      </c>
      <c r="P27" s="101">
        <f>Q27-O27</f>
        <v>823</v>
      </c>
      <c r="Q27" s="101">
        <f>'Monthly # of Customers'!M79*12+N27</f>
        <v>823</v>
      </c>
      <c r="R27" s="100"/>
    </row>
    <row r="28" spans="1:18">
      <c r="B28" s="6"/>
      <c r="D28" s="8"/>
      <c r="E28" s="8"/>
      <c r="F28" s="8"/>
      <c r="G28" s="8"/>
      <c r="H28" s="8"/>
      <c r="I28" s="8"/>
      <c r="J28" s="8"/>
      <c r="K28" s="6"/>
      <c r="L28" s="6"/>
      <c r="M28" s="8"/>
      <c r="N28" s="6"/>
      <c r="O28" s="101"/>
      <c r="P28" s="101"/>
      <c r="Q28" s="101"/>
      <c r="R28" s="100"/>
    </row>
    <row r="29" spans="1:18">
      <c r="A29" s="70" t="s">
        <v>264</v>
      </c>
      <c r="B29" s="73">
        <f>B25</f>
        <v>7</v>
      </c>
      <c r="C29" s="72">
        <v>0.15</v>
      </c>
      <c r="D29" s="71">
        <f>+B29*C29</f>
        <v>1.05</v>
      </c>
      <c r="E29" s="71">
        <v>0</v>
      </c>
      <c r="F29" s="8">
        <f>E29</f>
        <v>0</v>
      </c>
      <c r="G29" s="8">
        <f t="shared" ref="G29:J29" si="7">F29</f>
        <v>0</v>
      </c>
      <c r="H29" s="8">
        <f t="shared" si="7"/>
        <v>0</v>
      </c>
      <c r="I29" s="8">
        <f t="shared" si="7"/>
        <v>0</v>
      </c>
      <c r="J29" s="8">
        <f t="shared" si="7"/>
        <v>0</v>
      </c>
      <c r="K29" s="6"/>
      <c r="L29" s="6"/>
      <c r="M29" s="8"/>
      <c r="N29" s="6"/>
      <c r="O29" s="101"/>
      <c r="P29" s="101"/>
      <c r="Q29" s="101"/>
      <c r="R29" s="100"/>
    </row>
    <row r="30" spans="1:18">
      <c r="D30" s="8"/>
      <c r="E30" s="8"/>
      <c r="F30" s="8"/>
      <c r="G30" s="8"/>
      <c r="H30" s="8"/>
      <c r="I30" s="8"/>
      <c r="J30" s="8"/>
      <c r="M30" s="8"/>
      <c r="N30" s="8"/>
      <c r="O30" s="99"/>
      <c r="P30" s="99"/>
      <c r="Q30" s="99"/>
      <c r="R30" s="100"/>
    </row>
    <row r="31" spans="1:18">
      <c r="A31" t="str">
        <f>+RS!B32</f>
        <v xml:space="preserve">Fuel </v>
      </c>
      <c r="D31" s="8">
        <f>+'B&amp;A Surcharges'!B49</f>
        <v>2225501.1799999997</v>
      </c>
      <c r="E31" s="8">
        <f>D31</f>
        <v>2225501.1799999997</v>
      </c>
      <c r="F31" s="8">
        <f>E31</f>
        <v>2225501.1799999997</v>
      </c>
      <c r="G31" s="8">
        <f>F31</f>
        <v>2225501.1799999997</v>
      </c>
      <c r="H31" s="8">
        <f>+G31</f>
        <v>2225501.1799999997</v>
      </c>
      <c r="I31" s="8">
        <f t="shared" ref="I31" si="8">H31</f>
        <v>2225501.1799999997</v>
      </c>
      <c r="J31" s="77" t="e">
        <f>ROUND(B14*J10,2)</f>
        <v>#REF!</v>
      </c>
      <c r="K31" s="100" t="e">
        <f>ROUND(K14*J10,2)</f>
        <v>#REF!</v>
      </c>
      <c r="L31" s="10"/>
      <c r="M31" s="100" t="e">
        <f>+J31+K31</f>
        <v>#REF!</v>
      </c>
      <c r="N31" s="8" t="e">
        <f>N12*J10</f>
        <v>#REF!</v>
      </c>
      <c r="O31" s="10"/>
      <c r="P31" s="100"/>
      <c r="Q31" s="99"/>
      <c r="R31" s="100" t="e">
        <f>ROUND(Q14*J10,2)</f>
        <v>#REF!</v>
      </c>
    </row>
    <row r="32" spans="1:18">
      <c r="D32" s="8"/>
      <c r="E32" s="8"/>
      <c r="F32" s="8"/>
      <c r="G32" s="8"/>
      <c r="H32" s="8"/>
      <c r="I32" s="8"/>
      <c r="J32" s="8"/>
      <c r="K32" s="100"/>
      <c r="L32" s="99"/>
      <c r="M32" s="100"/>
      <c r="N32" s="8"/>
      <c r="O32" s="99"/>
      <c r="P32" s="100"/>
      <c r="Q32" s="99"/>
      <c r="R32" s="100"/>
    </row>
    <row r="33" spans="1:18">
      <c r="A33" t="str">
        <f>+RS!B36</f>
        <v>System Sales Clause</v>
      </c>
      <c r="D33" s="8">
        <f>+'B&amp;A Surcharges'!D49</f>
        <v>-24147.030000000002</v>
      </c>
      <c r="E33" s="8">
        <f>D33</f>
        <v>-24147.030000000002</v>
      </c>
      <c r="F33" s="78">
        <v>0</v>
      </c>
      <c r="G33" s="8">
        <f>F33</f>
        <v>0</v>
      </c>
      <c r="H33" s="8">
        <f>+G33</f>
        <v>0</v>
      </c>
      <c r="I33" s="8">
        <f t="shared" ref="I33" si="9">H33</f>
        <v>0</v>
      </c>
      <c r="J33" s="8">
        <f>+I33</f>
        <v>0</v>
      </c>
      <c r="K33" s="100"/>
      <c r="L33" s="10"/>
      <c r="M33" s="100">
        <f>+J33+K33</f>
        <v>0</v>
      </c>
      <c r="N33" s="8"/>
      <c r="O33" s="10"/>
      <c r="P33" s="100"/>
      <c r="Q33" s="99"/>
      <c r="R33" s="100" t="e">
        <f>ROUND(M33*Q$14/L$14,2)</f>
        <v>#REF!</v>
      </c>
    </row>
    <row r="34" spans="1:18">
      <c r="D34" s="8"/>
      <c r="E34" s="8"/>
      <c r="F34" s="8"/>
      <c r="G34" s="8"/>
      <c r="H34" s="8"/>
      <c r="I34" s="8"/>
      <c r="J34" s="8"/>
      <c r="K34" s="100"/>
      <c r="L34" s="99"/>
      <c r="M34" s="100"/>
      <c r="N34" s="8"/>
      <c r="O34" s="99"/>
      <c r="P34" s="100"/>
      <c r="Q34" s="99"/>
      <c r="R34" s="100"/>
    </row>
    <row r="35" spans="1:18">
      <c r="A35" t="str">
        <f>+RS!B42</f>
        <v>Environmental Surcharge</v>
      </c>
      <c r="D35" s="8">
        <f>+'B&amp;A Surcharges'!J49</f>
        <v>631702.44999999995</v>
      </c>
      <c r="E35" s="8">
        <f>D35</f>
        <v>631702.44999999995</v>
      </c>
      <c r="F35" s="8">
        <f>E35</f>
        <v>631702.44999999995</v>
      </c>
      <c r="G35" s="8">
        <f>F35</f>
        <v>631702.44999999995</v>
      </c>
      <c r="H35" s="92">
        <f>'Envir FGD adj'!F56</f>
        <v>-2143159.5036314125</v>
      </c>
      <c r="I35" s="96">
        <f>H35</f>
        <v>-2143159.5036314125</v>
      </c>
      <c r="J35" s="96">
        <f>I35</f>
        <v>-2143159.5036314125</v>
      </c>
      <c r="K35" s="105" t="e">
        <f>((SUM(M12:M25)-0.02725*L14+SUM(M45:M46))/(SUM(J12:J25)-0.02725*B14+SUM(J45:J46)))*J35-J35</f>
        <v>#REF!</v>
      </c>
      <c r="L35" s="10"/>
      <c r="M35" s="100" t="e">
        <f>+J35+K35</f>
        <v>#REF!</v>
      </c>
      <c r="N35" s="56" t="e">
        <f>-M35</f>
        <v>#REF!</v>
      </c>
      <c r="O35" s="100"/>
      <c r="P35" s="100"/>
      <c r="Q35" s="99"/>
      <c r="R35" s="107" t="e">
        <f>ROUND(M35*(SUM(R12:R30)+SUM(R45:R46))/(SUM(M12:M30)+SUM(M45:M46)),2)</f>
        <v>#REF!</v>
      </c>
    </row>
    <row r="36" spans="1:18">
      <c r="D36" s="8"/>
      <c r="E36" s="8"/>
      <c r="F36" s="8"/>
      <c r="G36" s="8"/>
      <c r="H36" s="8"/>
      <c r="I36" s="8"/>
      <c r="J36" s="8"/>
      <c r="K36" s="100"/>
      <c r="L36" s="10"/>
      <c r="M36" s="100"/>
      <c r="N36" s="8"/>
      <c r="O36" s="10"/>
      <c r="P36" s="100"/>
      <c r="Q36" s="99"/>
      <c r="R36" s="100"/>
    </row>
    <row r="37" spans="1:18">
      <c r="D37" s="8"/>
      <c r="E37" s="8"/>
      <c r="F37" s="8"/>
      <c r="G37" s="8"/>
      <c r="H37" s="8"/>
      <c r="I37" s="8"/>
      <c r="J37" s="8"/>
      <c r="K37" s="99"/>
      <c r="L37" s="99"/>
      <c r="M37" s="100"/>
      <c r="N37" s="8"/>
      <c r="O37" s="99"/>
      <c r="P37" s="10"/>
      <c r="Q37" s="99"/>
      <c r="R37" s="100"/>
    </row>
    <row r="38" spans="1:18">
      <c r="A38" t="str">
        <f>RS!B38</f>
        <v>Capacity Charge</v>
      </c>
      <c r="D38" s="8">
        <f>+'B&amp;A Surcharges'!F49</f>
        <v>97054.12482838711</v>
      </c>
      <c r="E38" s="8">
        <f>D38</f>
        <v>97054.12482838711</v>
      </c>
      <c r="F38" s="8">
        <f>E38</f>
        <v>97054.12482838711</v>
      </c>
      <c r="G38" s="78">
        <v>0</v>
      </c>
      <c r="H38" s="8">
        <f>+G38</f>
        <v>0</v>
      </c>
      <c r="I38" s="8">
        <f t="shared" ref="I38" si="10">H38</f>
        <v>0</v>
      </c>
      <c r="J38" s="8">
        <f>+I38</f>
        <v>0</v>
      </c>
      <c r="K38" s="10"/>
      <c r="L38" s="10"/>
      <c r="M38" s="100">
        <f>+J38+K38</f>
        <v>0</v>
      </c>
      <c r="N38" s="8"/>
      <c r="O38" s="10"/>
      <c r="P38" s="10"/>
      <c r="Q38" s="99"/>
      <c r="R38" s="100" t="e">
        <f>ROUND(M38*Q$14/L$14,2)</f>
        <v>#REF!</v>
      </c>
    </row>
    <row r="39" spans="1:18">
      <c r="D39" s="8"/>
      <c r="E39" s="8"/>
      <c r="F39" s="8"/>
      <c r="G39" s="8"/>
      <c r="H39" s="8"/>
      <c r="I39" s="8"/>
      <c r="J39" s="8"/>
      <c r="K39" s="10"/>
      <c r="L39" s="10"/>
      <c r="M39" s="100"/>
      <c r="N39" s="8"/>
      <c r="O39" s="10"/>
      <c r="P39" s="10"/>
      <c r="Q39" s="99"/>
      <c r="R39" s="100"/>
    </row>
    <row r="40" spans="1:18">
      <c r="D40" s="8"/>
      <c r="E40" s="8"/>
      <c r="F40" s="8"/>
      <c r="G40" s="8"/>
      <c r="H40" s="8"/>
      <c r="I40" s="8"/>
      <c r="J40" s="8"/>
      <c r="K40" s="56"/>
      <c r="L40" s="10"/>
      <c r="M40" s="100"/>
      <c r="N40" s="8"/>
      <c r="O40" s="100"/>
      <c r="P40" s="100"/>
      <c r="Q40" s="99"/>
      <c r="R40" s="100"/>
    </row>
    <row r="41" spans="1:18">
      <c r="A41" s="70" t="s">
        <v>265</v>
      </c>
      <c r="D41" s="71">
        <f>'B&amp;A Surcharges'!L49</f>
        <v>437493.29519225808</v>
      </c>
      <c r="E41" s="8">
        <f>D41</f>
        <v>437493.29519225808</v>
      </c>
      <c r="F41" s="8">
        <f>E41</f>
        <v>437493.29519225808</v>
      </c>
      <c r="G41" s="8">
        <f t="shared" ref="G41:I41" si="11">F41</f>
        <v>437493.29519225808</v>
      </c>
      <c r="H41" s="8">
        <f t="shared" si="11"/>
        <v>437493.29519225808</v>
      </c>
      <c r="I41" s="8">
        <f t="shared" si="11"/>
        <v>437493.29519225808</v>
      </c>
      <c r="J41" s="8">
        <f>I41</f>
        <v>437493.29519225808</v>
      </c>
      <c r="K41" s="105" t="e">
        <f>((SUM(M12:M33)+SUM(M45:M46))/(SUM(J12:J33)+SUM(J45:J46)))*J41-J41</f>
        <v>#REF!</v>
      </c>
      <c r="L41" s="10"/>
      <c r="M41" s="100" t="e">
        <f>J41+K41</f>
        <v>#REF!</v>
      </c>
      <c r="N41" s="8" t="e">
        <f>-M41</f>
        <v>#REF!</v>
      </c>
      <c r="O41" s="100"/>
      <c r="P41" s="100"/>
      <c r="Q41" s="99"/>
      <c r="R41" s="107" t="e">
        <f>ROUND(M41*(SUM(R12:R33)+SUM(R45:R46))/(SUM(M12:M33)+SUM(M45:M46)),2)</f>
        <v>#REF!</v>
      </c>
    </row>
    <row r="42" spans="1:18">
      <c r="A42" s="70"/>
      <c r="D42" s="71"/>
      <c r="E42" s="8"/>
      <c r="F42" s="8"/>
      <c r="G42" s="8"/>
      <c r="H42" s="8"/>
      <c r="I42" s="8"/>
      <c r="J42" s="8"/>
      <c r="K42" s="56"/>
      <c r="L42" s="10"/>
      <c r="M42" s="100"/>
      <c r="N42" s="8"/>
      <c r="O42" s="100"/>
      <c r="P42" s="100"/>
      <c r="Q42" s="99"/>
      <c r="R42" s="100"/>
    </row>
    <row r="43" spans="1:18">
      <c r="A43" s="70" t="s">
        <v>266</v>
      </c>
      <c r="D43" s="71">
        <f>'B&amp;A Surcharges'!N49</f>
        <v>654278.19000000006</v>
      </c>
      <c r="E43" s="8">
        <f>D43</f>
        <v>654278.19000000006</v>
      </c>
      <c r="F43" s="8">
        <f>E43</f>
        <v>654278.19000000006</v>
      </c>
      <c r="G43" s="8">
        <f t="shared" ref="G43:H43" si="12">F43</f>
        <v>654278.19000000006</v>
      </c>
      <c r="H43" s="8">
        <f t="shared" si="12"/>
        <v>654278.19000000006</v>
      </c>
      <c r="I43" s="78">
        <v>0</v>
      </c>
      <c r="J43" s="8">
        <f>I43</f>
        <v>0</v>
      </c>
      <c r="K43" s="56"/>
      <c r="L43" s="10"/>
      <c r="M43" s="100"/>
      <c r="N43" s="8"/>
      <c r="O43" s="100"/>
      <c r="P43" s="100"/>
      <c r="Q43" s="99"/>
      <c r="R43" s="100"/>
    </row>
    <row r="44" spans="1:18">
      <c r="A44" s="70"/>
      <c r="D44" s="71"/>
      <c r="E44" s="8"/>
      <c r="F44" s="8"/>
      <c r="G44" s="8"/>
      <c r="H44" s="8"/>
      <c r="I44" s="8"/>
      <c r="J44" s="8"/>
      <c r="K44" s="56"/>
      <c r="L44" s="10"/>
      <c r="M44" s="100"/>
      <c r="N44" s="8"/>
      <c r="O44" s="100"/>
      <c r="P44" s="100"/>
      <c r="Q44" s="99"/>
      <c r="R44" s="100"/>
    </row>
    <row r="45" spans="1:18">
      <c r="A45" s="70" t="s">
        <v>306</v>
      </c>
      <c r="D45" s="71">
        <f>'B&amp;A Surcharges'!P49</f>
        <v>0</v>
      </c>
      <c r="E45" s="8">
        <f>D45</f>
        <v>0</v>
      </c>
      <c r="F45" s="8">
        <f>E45</f>
        <v>0</v>
      </c>
      <c r="G45" s="8">
        <f t="shared" ref="G45:I45" si="13">F45</f>
        <v>0</v>
      </c>
      <c r="H45" s="8">
        <f t="shared" si="13"/>
        <v>0</v>
      </c>
      <c r="I45" s="8">
        <f t="shared" si="13"/>
        <v>0</v>
      </c>
      <c r="J45" s="8">
        <f t="shared" ref="J45" si="14">I45</f>
        <v>0</v>
      </c>
      <c r="K45" s="56" t="e">
        <f>ROUND(K$14*J45/B$14,2)</f>
        <v>#REF!</v>
      </c>
      <c r="L45" s="10"/>
      <c r="M45" s="100" t="e">
        <f>J45+K45</f>
        <v>#REF!</v>
      </c>
      <c r="N45" s="8" t="e">
        <f>-M45</f>
        <v>#REF!</v>
      </c>
      <c r="O45" s="100"/>
      <c r="P45" s="100"/>
      <c r="Q45" s="99"/>
      <c r="R45" s="100" t="e">
        <f>ROUND(M45*Q$14/L$14,2)</f>
        <v>#REF!</v>
      </c>
    </row>
    <row r="46" spans="1:18">
      <c r="A46" s="70" t="s">
        <v>307</v>
      </c>
      <c r="D46" s="71">
        <f>'B&amp;A Surcharges'!R49</f>
        <v>1641</v>
      </c>
      <c r="E46" s="8">
        <f>D46</f>
        <v>1641</v>
      </c>
      <c r="F46" s="8">
        <f>E46</f>
        <v>1641</v>
      </c>
      <c r="G46" s="8">
        <f t="shared" ref="G46" si="15">F46</f>
        <v>1641</v>
      </c>
      <c r="H46" s="8">
        <f t="shared" ref="H46" si="16">G46</f>
        <v>1641</v>
      </c>
      <c r="I46" s="8">
        <f t="shared" ref="I46" si="17">H46</f>
        <v>1641</v>
      </c>
      <c r="J46" s="8">
        <f t="shared" ref="J46" si="18">I46</f>
        <v>1641</v>
      </c>
      <c r="K46" s="56">
        <f>ROUND((K$17+K19)*J46/(B17+B19),2)</f>
        <v>1127.46</v>
      </c>
      <c r="L46" s="99"/>
      <c r="M46" s="100">
        <f>J46+K46</f>
        <v>2768.46</v>
      </c>
      <c r="N46" s="8">
        <f>-M46</f>
        <v>-2768.46</v>
      </c>
      <c r="O46" s="99"/>
      <c r="P46" s="10"/>
      <c r="Q46" s="99"/>
      <c r="R46" s="100">
        <f>ROUND(M46*SUM(Q$17,Q$19)/SUM(L$17,L$19),2)</f>
        <v>0</v>
      </c>
    </row>
    <row r="47" spans="1:18">
      <c r="A47" s="88"/>
      <c r="D47" s="30"/>
      <c r="E47" s="8"/>
      <c r="F47" s="8"/>
      <c r="G47" s="8"/>
      <c r="H47" s="8"/>
      <c r="I47" s="8"/>
      <c r="J47" s="8"/>
      <c r="K47" s="10"/>
      <c r="L47" s="99"/>
      <c r="M47" s="100"/>
      <c r="N47" s="8"/>
      <c r="O47" s="99"/>
      <c r="P47" s="10"/>
      <c r="Q47" s="99"/>
      <c r="R47" s="100"/>
    </row>
    <row r="48" spans="1:18">
      <c r="A48" t="str">
        <f>+RS!B53</f>
        <v>Total</v>
      </c>
      <c r="D48" s="8" t="e">
        <f>SUM(D12:D46)</f>
        <v>#REF!</v>
      </c>
      <c r="E48" s="8" t="e">
        <f t="shared" ref="E48:J48" si="19">SUM(E12:E46)</f>
        <v>#REF!</v>
      </c>
      <c r="F48" s="8" t="e">
        <f t="shared" si="19"/>
        <v>#REF!</v>
      </c>
      <c r="G48" s="8" t="e">
        <f t="shared" si="19"/>
        <v>#REF!</v>
      </c>
      <c r="H48" s="8" t="e">
        <f t="shared" si="19"/>
        <v>#REF!</v>
      </c>
      <c r="I48" s="8" t="e">
        <f t="shared" si="19"/>
        <v>#REF!</v>
      </c>
      <c r="J48" s="8" t="e">
        <f t="shared" si="19"/>
        <v>#REF!</v>
      </c>
      <c r="K48" s="10"/>
      <c r="L48" s="10"/>
      <c r="M48" s="100" t="e">
        <f>SUM(M12:M46)</f>
        <v>#REF!</v>
      </c>
      <c r="N48" s="100" t="e">
        <f>SUMPRODUCT(N12:N25,C12:C25)+SUM(N31:N46)</f>
        <v>#REF!</v>
      </c>
      <c r="O48" s="10"/>
      <c r="P48" s="10"/>
      <c r="Q48" s="99"/>
      <c r="R48" s="100" t="e">
        <f>SUM(R12:R46)</f>
        <v>#REF!</v>
      </c>
    </row>
  </sheetData>
  <pageMargins left="0.75" right="0.75" top="1" bottom="1" header="0.5" footer="0.5"/>
  <pageSetup scale="48" orientation="landscape"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59999389629810485"/>
    <pageSetUpPr fitToPage="1"/>
  </sheetPr>
  <dimension ref="A1:R51"/>
  <sheetViews>
    <sheetView zoomScale="85" zoomScaleNormal="85" workbookViewId="0">
      <pane xSplit="1" ySplit="9" topLeftCell="H10" activePane="bottomRight" state="frozen"/>
      <selection pane="topRight" activeCell="B1" sqref="B1"/>
      <selection pane="bottomLeft" activeCell="A10" sqref="A10"/>
      <selection pane="bottomRight" activeCell="A5" sqref="A5"/>
    </sheetView>
  </sheetViews>
  <sheetFormatPr defaultRowHeight="12.75"/>
  <cols>
    <col min="1" max="1" width="25.85546875" customWidth="1"/>
    <col min="2" max="2" width="13.42578125" bestFit="1" customWidth="1"/>
    <col min="3" max="3" width="8.5703125" bestFit="1" customWidth="1"/>
    <col min="4" max="4" width="12.7109375" bestFit="1" customWidth="1"/>
    <col min="5" max="5" width="15.42578125" bestFit="1" customWidth="1"/>
    <col min="6" max="6" width="12.7109375" bestFit="1" customWidth="1"/>
    <col min="7" max="7" width="14.85546875" bestFit="1" customWidth="1"/>
    <col min="8" max="9" width="13.42578125" customWidth="1"/>
    <col min="10" max="10" width="14.42578125" bestFit="1" customWidth="1"/>
    <col min="11" max="11" width="11.7109375" bestFit="1" customWidth="1"/>
    <col min="12" max="12" width="13.42578125" bestFit="1" customWidth="1"/>
    <col min="13" max="13" width="12.7109375" bestFit="1" customWidth="1"/>
    <col min="14" max="14" width="10.7109375" bestFit="1" customWidth="1"/>
    <col min="15" max="15" width="13.42578125" bestFit="1" customWidth="1"/>
    <col min="16" max="16" width="12.28515625" bestFit="1" customWidth="1"/>
    <col min="17" max="17" width="13.42578125" bestFit="1" customWidth="1"/>
    <col min="18" max="18" width="12.7109375" bestFit="1" customWidth="1"/>
  </cols>
  <sheetData>
    <row r="1" spans="1:18">
      <c r="A1" t="str">
        <f>+RS!B2</f>
        <v>KENTUCKY POWER BILLING ANALYSIS</v>
      </c>
    </row>
    <row r="2" spans="1:18">
      <c r="A2" t="str">
        <f>+RS!B3</f>
        <v>PER BOOKS</v>
      </c>
      <c r="D2" s="22"/>
    </row>
    <row r="3" spans="1:18">
      <c r="A3" t="str">
        <f>+RS!B4</f>
        <v>TEST YEAR ENDED MARCH 31, 2023</v>
      </c>
      <c r="O3" s="6"/>
    </row>
    <row r="5" spans="1:18">
      <c r="A5" t="s">
        <v>263</v>
      </c>
    </row>
    <row r="6" spans="1:18">
      <c r="B6" s="68"/>
      <c r="C6" s="68"/>
      <c r="E6" s="80" t="s">
        <v>6</v>
      </c>
      <c r="F6" s="31" t="s">
        <v>6</v>
      </c>
      <c r="G6" s="31" t="s">
        <v>6</v>
      </c>
      <c r="H6" s="31" t="e">
        <f>RS!#REF!</f>
        <v>#REF!</v>
      </c>
      <c r="I6" s="74" t="s">
        <v>6</v>
      </c>
      <c r="J6" s="31" t="s">
        <v>6</v>
      </c>
      <c r="N6" s="1" t="s">
        <v>165</v>
      </c>
      <c r="O6" s="1"/>
    </row>
    <row r="7" spans="1:18">
      <c r="A7" s="1"/>
      <c r="B7" s="1" t="s">
        <v>107</v>
      </c>
      <c r="C7" s="1" t="s">
        <v>4</v>
      </c>
      <c r="D7" s="1"/>
      <c r="E7" s="76" t="s">
        <v>142</v>
      </c>
      <c r="F7" s="1" t="s">
        <v>142</v>
      </c>
      <c r="G7" s="1" t="s">
        <v>142</v>
      </c>
      <c r="H7" s="31" t="str">
        <f>RS!L9</f>
        <v>Enviro Sur</v>
      </c>
      <c r="I7" s="74" t="s">
        <v>279</v>
      </c>
      <c r="J7" s="1" t="s">
        <v>143</v>
      </c>
      <c r="K7" s="1" t="s">
        <v>102</v>
      </c>
      <c r="L7" s="1" t="s">
        <v>102</v>
      </c>
      <c r="M7" s="1" t="s">
        <v>105</v>
      </c>
      <c r="N7" s="1" t="s">
        <v>134</v>
      </c>
      <c r="O7" s="1" t="s">
        <v>123</v>
      </c>
      <c r="P7" s="1" t="s">
        <v>134</v>
      </c>
      <c r="Q7" s="1" t="s">
        <v>135</v>
      </c>
      <c r="R7" s="1" t="s">
        <v>136</v>
      </c>
    </row>
    <row r="8" spans="1:18">
      <c r="A8" s="3" t="s">
        <v>1</v>
      </c>
      <c r="B8" s="3" t="s">
        <v>17</v>
      </c>
      <c r="C8" s="3" t="s">
        <v>5</v>
      </c>
      <c r="D8" s="3" t="s">
        <v>6</v>
      </c>
      <c r="E8" s="75" t="s">
        <v>289</v>
      </c>
      <c r="F8" s="3" t="s">
        <v>109</v>
      </c>
      <c r="G8" s="3" t="s">
        <v>161</v>
      </c>
      <c r="H8" s="3" t="str">
        <f>RS!L10</f>
        <v>Excl FGD</v>
      </c>
      <c r="I8" s="75" t="s">
        <v>212</v>
      </c>
      <c r="J8" s="3" t="s">
        <v>144</v>
      </c>
      <c r="K8" s="3" t="s">
        <v>103</v>
      </c>
      <c r="L8" s="3" t="s">
        <v>17</v>
      </c>
      <c r="M8" s="3" t="s">
        <v>6</v>
      </c>
      <c r="N8" s="3" t="s">
        <v>103</v>
      </c>
      <c r="O8" s="3" t="e">
        <f>+RS!#REF!</f>
        <v>#REF!</v>
      </c>
      <c r="P8" s="3" t="s">
        <v>103</v>
      </c>
      <c r="Q8" s="3" t="s">
        <v>17</v>
      </c>
      <c r="R8" s="3" t="s">
        <v>6</v>
      </c>
    </row>
    <row r="9" spans="1:18">
      <c r="A9" s="2" t="s">
        <v>7</v>
      </c>
      <c r="B9" s="2" t="s">
        <v>8</v>
      </c>
      <c r="C9" s="2" t="s">
        <v>9</v>
      </c>
      <c r="D9" s="2" t="s">
        <v>177</v>
      </c>
      <c r="E9" s="2" t="s">
        <v>178</v>
      </c>
      <c r="F9" s="2" t="s">
        <v>10</v>
      </c>
      <c r="G9" s="2" t="s">
        <v>179</v>
      </c>
      <c r="H9" s="1" t="s">
        <v>104</v>
      </c>
      <c r="I9" s="2" t="s">
        <v>130</v>
      </c>
      <c r="J9" s="2" t="s">
        <v>180</v>
      </c>
      <c r="K9" s="2" t="s">
        <v>290</v>
      </c>
      <c r="L9" s="2" t="s">
        <v>291</v>
      </c>
      <c r="M9" s="19" t="s">
        <v>294</v>
      </c>
      <c r="N9" s="19" t="s">
        <v>181</v>
      </c>
      <c r="O9" s="2" t="s">
        <v>293</v>
      </c>
      <c r="P9" s="2" t="s">
        <v>295</v>
      </c>
      <c r="Q9" s="58" t="s">
        <v>296</v>
      </c>
      <c r="R9" s="58" t="s">
        <v>297</v>
      </c>
    </row>
    <row r="10" spans="1:18">
      <c r="D10" s="10"/>
      <c r="E10" s="10"/>
      <c r="J10" s="32" t="e">
        <f>RS!#REF!</f>
        <v>#REF!</v>
      </c>
    </row>
    <row r="11" spans="1:18">
      <c r="D11" s="10"/>
      <c r="E11" s="10"/>
      <c r="F11" s="11"/>
      <c r="G11" s="11"/>
      <c r="H11" s="11"/>
      <c r="I11" s="11"/>
      <c r="J11" s="11"/>
    </row>
    <row r="12" spans="1:18">
      <c r="A12" s="5" t="s">
        <v>21</v>
      </c>
      <c r="B12" s="49">
        <v>86280000</v>
      </c>
      <c r="C12" s="47">
        <v>3.09E-2</v>
      </c>
      <c r="D12" s="8">
        <f>+B12*C12</f>
        <v>2666052</v>
      </c>
      <c r="E12" s="8">
        <f>D12</f>
        <v>2666052</v>
      </c>
      <c r="F12" s="8">
        <f>E12</f>
        <v>2666052</v>
      </c>
      <c r="G12" s="8">
        <f>F12</f>
        <v>2666052</v>
      </c>
      <c r="H12" s="8">
        <f>+G12</f>
        <v>2666052</v>
      </c>
      <c r="I12" s="8">
        <f>H12</f>
        <v>2666052</v>
      </c>
      <c r="J12" s="8">
        <f>+I12</f>
        <v>2666052</v>
      </c>
      <c r="K12" s="55">
        <v>61992000</v>
      </c>
      <c r="L12" s="6">
        <f>+B12+K12</f>
        <v>148272000</v>
      </c>
      <c r="M12" s="8">
        <f>+C12*L12</f>
        <v>4581604.8</v>
      </c>
      <c r="N12" s="49">
        <v>0</v>
      </c>
      <c r="O12" s="6">
        <f>L12+N12</f>
        <v>148272000</v>
      </c>
      <c r="P12" s="6">
        <f>Q12-O12</f>
        <v>4047127</v>
      </c>
      <c r="Q12" s="6">
        <f>ROUND(O12*Q$27/O$27,0)</f>
        <v>152319127</v>
      </c>
      <c r="R12" s="8">
        <f>+Q12*C12</f>
        <v>4706661.0242999997</v>
      </c>
    </row>
    <row r="13" spans="1:18">
      <c r="B13" s="6"/>
      <c r="D13" s="8"/>
      <c r="E13" s="8"/>
      <c r="F13" s="8"/>
      <c r="G13" s="8"/>
      <c r="H13" s="8"/>
      <c r="I13" s="8"/>
      <c r="J13" s="8"/>
      <c r="K13" s="6"/>
      <c r="M13" s="8"/>
      <c r="N13" s="6"/>
      <c r="Q13" s="6"/>
      <c r="R13" s="8"/>
    </row>
    <row r="14" spans="1:18">
      <c r="A14" t="s">
        <v>11</v>
      </c>
      <c r="B14" s="6" t="e">
        <f>#REF!</f>
        <v>#REF!</v>
      </c>
      <c r="D14" s="8"/>
      <c r="E14" s="8"/>
      <c r="F14" s="8"/>
      <c r="G14" s="8"/>
      <c r="H14" s="8"/>
      <c r="I14" s="8"/>
      <c r="J14" s="8"/>
      <c r="K14" s="6">
        <f>SUM(K12:K12)</f>
        <v>61992000</v>
      </c>
      <c r="L14" s="6" t="e">
        <f>+B14+K14</f>
        <v>#REF!</v>
      </c>
      <c r="M14" s="8"/>
      <c r="N14" s="6">
        <f>SUM(N12:N13)</f>
        <v>0</v>
      </c>
      <c r="O14" s="6" t="e">
        <f>L14+N14</f>
        <v>#REF!</v>
      </c>
      <c r="P14" s="6" t="e">
        <f>Q14-O14</f>
        <v>#REF!</v>
      </c>
      <c r="Q14" s="6" t="e">
        <f>ROUND(O14*Q$27/O$27,0)</f>
        <v>#REF!</v>
      </c>
      <c r="R14" s="8"/>
    </row>
    <row r="15" spans="1:18">
      <c r="B15" s="6"/>
      <c r="D15" s="8"/>
      <c r="E15" s="8"/>
      <c r="F15" s="8"/>
      <c r="G15" s="8"/>
      <c r="H15" s="8"/>
      <c r="I15" s="8"/>
      <c r="J15" s="8"/>
      <c r="K15" s="6"/>
      <c r="M15" s="8"/>
      <c r="N15" s="6"/>
      <c r="Q15" s="6"/>
      <c r="R15" s="8"/>
    </row>
    <row r="16" spans="1:18">
      <c r="A16" s="4" t="s">
        <v>20</v>
      </c>
      <c r="B16" s="6"/>
      <c r="D16" s="8"/>
      <c r="E16" s="8"/>
      <c r="F16" s="8"/>
      <c r="G16" s="8"/>
      <c r="H16" s="8"/>
      <c r="I16" s="8"/>
      <c r="J16" s="8"/>
      <c r="K16" s="6"/>
      <c r="M16" s="8"/>
      <c r="N16" s="6"/>
      <c r="Q16" s="6"/>
      <c r="R16" s="8"/>
    </row>
    <row r="17" spans="1:18">
      <c r="A17" t="s">
        <v>24</v>
      </c>
      <c r="B17" s="106">
        <v>66738.2</v>
      </c>
      <c r="C17" s="48">
        <v>10.02</v>
      </c>
      <c r="D17" s="8">
        <f>+B17*C17</f>
        <v>668716.76399999997</v>
      </c>
      <c r="E17" s="8">
        <f t="shared" ref="E17:F19" si="0">D17</f>
        <v>668716.76399999997</v>
      </c>
      <c r="F17" s="8">
        <f t="shared" si="0"/>
        <v>668716.76399999997</v>
      </c>
      <c r="G17" s="8">
        <f t="shared" ref="G17:G19" si="1">F17</f>
        <v>668716.76399999997</v>
      </c>
      <c r="H17" s="8">
        <f t="shared" ref="H17:J19" si="2">+G17</f>
        <v>668716.76399999997</v>
      </c>
      <c r="I17" s="8">
        <f>H17</f>
        <v>668716.76399999997</v>
      </c>
      <c r="J17" s="8">
        <f t="shared" si="2"/>
        <v>668716.76399999997</v>
      </c>
      <c r="K17" s="106">
        <v>41616</v>
      </c>
      <c r="L17" s="104">
        <f>+B17+K17</f>
        <v>108354.2</v>
      </c>
      <c r="M17" s="8">
        <f>+C17*L17</f>
        <v>1085709.084</v>
      </c>
      <c r="N17" s="49">
        <v>0</v>
      </c>
      <c r="O17" s="104">
        <f>L17+N17</f>
        <v>108354.2</v>
      </c>
      <c r="P17" s="6">
        <f>Q17-O17</f>
        <v>2957.6000000000058</v>
      </c>
      <c r="Q17" s="104">
        <f>ROUND(O17*Q$27/O$27,1)</f>
        <v>111311.8</v>
      </c>
      <c r="R17" s="8">
        <f>+Q17*C17</f>
        <v>1115344.236</v>
      </c>
    </row>
    <row r="18" spans="1:18">
      <c r="A18" t="s">
        <v>44</v>
      </c>
      <c r="B18" s="106">
        <v>58013.8</v>
      </c>
      <c r="C18" s="48">
        <v>1.05</v>
      </c>
      <c r="D18" s="8">
        <f>+B18*C18</f>
        <v>60914.490000000005</v>
      </c>
      <c r="E18" s="8">
        <f t="shared" si="0"/>
        <v>60914.490000000005</v>
      </c>
      <c r="F18" s="8">
        <f t="shared" si="0"/>
        <v>60914.490000000005</v>
      </c>
      <c r="G18" s="8">
        <f t="shared" si="1"/>
        <v>60914.490000000005</v>
      </c>
      <c r="H18" s="8">
        <f t="shared" si="2"/>
        <v>60914.490000000005</v>
      </c>
      <c r="I18" s="8">
        <f t="shared" ref="I18:I19" si="3">H18</f>
        <v>60914.490000000005</v>
      </c>
      <c r="J18" s="8">
        <f t="shared" si="2"/>
        <v>60914.490000000005</v>
      </c>
      <c r="K18" s="106">
        <v>42096</v>
      </c>
      <c r="L18" s="104">
        <f>+B18+K18</f>
        <v>100109.8</v>
      </c>
      <c r="M18" s="8">
        <f>+C18*L18</f>
        <v>105115.29000000001</v>
      </c>
      <c r="N18" s="49">
        <v>0</v>
      </c>
      <c r="O18" s="104">
        <f>L18+N18</f>
        <v>100109.8</v>
      </c>
      <c r="P18" s="6">
        <f>Q18-O18</f>
        <v>2732.5</v>
      </c>
      <c r="Q18" s="104">
        <f>ROUND(O18*Q$27/O$27,1)</f>
        <v>102842.3</v>
      </c>
      <c r="R18" s="8">
        <f>+Q18*C18</f>
        <v>107984.41500000001</v>
      </c>
    </row>
    <row r="19" spans="1:18">
      <c r="A19" t="s">
        <v>45</v>
      </c>
      <c r="B19" s="106">
        <v>64558.899999999994</v>
      </c>
      <c r="C19" s="48">
        <v>11.32</v>
      </c>
      <c r="D19" s="8">
        <f>+B19*C19</f>
        <v>730806.74799999991</v>
      </c>
      <c r="E19" s="8">
        <f t="shared" si="0"/>
        <v>730806.74799999991</v>
      </c>
      <c r="F19" s="8">
        <f t="shared" si="0"/>
        <v>730806.74799999991</v>
      </c>
      <c r="G19" s="8">
        <f t="shared" si="1"/>
        <v>730806.74799999991</v>
      </c>
      <c r="H19" s="8">
        <f t="shared" si="2"/>
        <v>730806.74799999991</v>
      </c>
      <c r="I19" s="8">
        <f t="shared" si="3"/>
        <v>730806.74799999991</v>
      </c>
      <c r="J19" s="8">
        <f t="shared" si="2"/>
        <v>730806.74799999991</v>
      </c>
      <c r="K19" s="106">
        <v>48420</v>
      </c>
      <c r="L19" s="104">
        <f>+B19+K19</f>
        <v>112978.9</v>
      </c>
      <c r="M19" s="8">
        <f>+C19*L19</f>
        <v>1278921.148</v>
      </c>
      <c r="N19" s="49">
        <v>0</v>
      </c>
      <c r="O19" s="104">
        <f>L19+N19</f>
        <v>112978.9</v>
      </c>
      <c r="P19" s="6">
        <f>Q19-O19</f>
        <v>3083.8000000000029</v>
      </c>
      <c r="Q19" s="104">
        <f>ROUND(O19*Q$27/O$27,1)</f>
        <v>116062.7</v>
      </c>
      <c r="R19" s="8">
        <f>+Q19*C19</f>
        <v>1313829.764</v>
      </c>
    </row>
    <row r="20" spans="1:18">
      <c r="B20" s="49"/>
      <c r="C20" s="22"/>
      <c r="D20" s="8"/>
      <c r="E20" s="8"/>
      <c r="F20" s="8"/>
      <c r="G20" s="8"/>
      <c r="H20" s="8"/>
      <c r="I20" s="8"/>
      <c r="J20" s="8"/>
      <c r="K20" s="49"/>
      <c r="L20" s="6"/>
      <c r="M20" s="8"/>
      <c r="N20" s="49"/>
      <c r="O20" s="6"/>
      <c r="P20" s="6"/>
      <c r="Q20" s="6"/>
      <c r="R20" s="8"/>
    </row>
    <row r="21" spans="1:18">
      <c r="A21" s="69" t="s">
        <v>262</v>
      </c>
      <c r="B21" s="49">
        <v>6804</v>
      </c>
      <c r="C21" s="72">
        <v>-3.68</v>
      </c>
      <c r="D21" s="8">
        <f>+B21*C21</f>
        <v>-25038.720000000001</v>
      </c>
      <c r="E21" s="8">
        <f>D21</f>
        <v>-25038.720000000001</v>
      </c>
      <c r="F21" s="8">
        <f t="shared" ref="F21" si="4">E21</f>
        <v>-25038.720000000001</v>
      </c>
      <c r="G21" s="8">
        <f>F21</f>
        <v>-25038.720000000001</v>
      </c>
      <c r="H21" s="8">
        <f t="shared" ref="H21:J21" si="5">G21</f>
        <v>-25038.720000000001</v>
      </c>
      <c r="I21" s="8">
        <f t="shared" si="5"/>
        <v>-25038.720000000001</v>
      </c>
      <c r="J21" s="8">
        <f t="shared" si="5"/>
        <v>-25038.720000000001</v>
      </c>
      <c r="K21" s="49" t="e">
        <f>#REF!</f>
        <v>#REF!</v>
      </c>
      <c r="L21" s="101" t="e">
        <f>+B21+K21</f>
        <v>#REF!</v>
      </c>
      <c r="M21" s="100" t="e">
        <f>+C21*L21</f>
        <v>#REF!</v>
      </c>
      <c r="N21" s="49">
        <v>0</v>
      </c>
      <c r="O21" s="101" t="e">
        <f>L21+N21</f>
        <v>#REF!</v>
      </c>
      <c r="P21" s="6"/>
      <c r="Q21" s="6" t="e">
        <f>ROUND(O21*Q$27/O$27,0)</f>
        <v>#REF!</v>
      </c>
      <c r="R21" s="100" t="e">
        <f>+Q21*C21</f>
        <v>#REF!</v>
      </c>
    </row>
    <row r="22" spans="1:18">
      <c r="B22" s="6"/>
      <c r="C22" s="22"/>
      <c r="D22" s="8"/>
      <c r="E22" s="8"/>
      <c r="F22" s="8"/>
      <c r="G22" s="8"/>
      <c r="H22" s="8"/>
      <c r="I22" s="8"/>
      <c r="J22" s="8"/>
      <c r="K22" s="6"/>
      <c r="M22" s="8"/>
      <c r="N22" s="6"/>
      <c r="Q22" s="6"/>
      <c r="R22" s="8"/>
    </row>
    <row r="23" spans="1:18">
      <c r="A23" t="s">
        <v>25</v>
      </c>
      <c r="B23" s="49">
        <v>0</v>
      </c>
      <c r="C23" s="48">
        <v>0.69</v>
      </c>
      <c r="D23" s="8">
        <f>+B23*C23</f>
        <v>0</v>
      </c>
      <c r="E23" s="8">
        <f>D23</f>
        <v>0</v>
      </c>
      <c r="F23" s="8">
        <f>E23</f>
        <v>0</v>
      </c>
      <c r="G23" s="8">
        <f>F23</f>
        <v>0</v>
      </c>
      <c r="H23" s="8">
        <f>+G23</f>
        <v>0</v>
      </c>
      <c r="I23" s="8">
        <f t="shared" ref="I23" si="6">H23</f>
        <v>0</v>
      </c>
      <c r="J23" s="8">
        <f>+I23</f>
        <v>0</v>
      </c>
      <c r="K23" s="49">
        <v>0</v>
      </c>
      <c r="L23" s="6">
        <f>+B23+K23</f>
        <v>0</v>
      </c>
      <c r="M23" s="8">
        <f>+C23*L23</f>
        <v>0</v>
      </c>
      <c r="N23" s="49">
        <v>0</v>
      </c>
      <c r="O23" s="6">
        <f>L23+N23</f>
        <v>0</v>
      </c>
      <c r="P23" s="6">
        <f>Q23-O23</f>
        <v>0</v>
      </c>
      <c r="Q23" s="6">
        <f>ROUND(O23*Q$27/O$27,0)</f>
        <v>0</v>
      </c>
      <c r="R23" s="8">
        <f>+Q23*C23</f>
        <v>0</v>
      </c>
    </row>
    <row r="24" spans="1:18">
      <c r="B24" s="6"/>
      <c r="C24" s="22"/>
      <c r="D24" s="8"/>
      <c r="E24" s="8"/>
      <c r="F24" s="8"/>
      <c r="G24" s="8"/>
      <c r="H24" s="8"/>
      <c r="I24" s="8"/>
      <c r="J24" s="8"/>
      <c r="K24" s="6"/>
      <c r="M24" s="8"/>
      <c r="N24" s="6"/>
      <c r="Q24" s="6"/>
      <c r="R24" s="8"/>
    </row>
    <row r="25" spans="1:18">
      <c r="A25" t="s">
        <v>12</v>
      </c>
      <c r="B25" s="49">
        <v>7</v>
      </c>
      <c r="C25" s="51">
        <v>794</v>
      </c>
      <c r="D25" s="8">
        <f>+B25*C25</f>
        <v>5558</v>
      </c>
      <c r="E25" s="8">
        <f>D25</f>
        <v>5558</v>
      </c>
      <c r="F25" s="8">
        <f>E25</f>
        <v>5558</v>
      </c>
      <c r="G25" s="8">
        <f>F25</f>
        <v>5558</v>
      </c>
      <c r="H25" s="8">
        <f>+G25</f>
        <v>5558</v>
      </c>
      <c r="I25" s="8">
        <f t="shared" ref="I25" si="7">H25</f>
        <v>5558</v>
      </c>
      <c r="J25" s="8">
        <f>+I25</f>
        <v>5558</v>
      </c>
      <c r="K25" s="49">
        <v>5</v>
      </c>
      <c r="L25" s="6">
        <f>+B25+K25</f>
        <v>12</v>
      </c>
      <c r="M25" s="8">
        <f>+C25*L25</f>
        <v>9528</v>
      </c>
      <c r="N25" s="49">
        <v>0</v>
      </c>
      <c r="O25" s="6">
        <f>L25+N25</f>
        <v>12</v>
      </c>
      <c r="P25" s="6">
        <f>Q25-O25</f>
        <v>0</v>
      </c>
      <c r="Q25" s="6">
        <f>ROUND(O25*Q$27/O$27,0)</f>
        <v>12</v>
      </c>
      <c r="R25" s="8">
        <f>+Q25*C25</f>
        <v>9528</v>
      </c>
    </row>
    <row r="26" spans="1:18">
      <c r="D26" s="8"/>
      <c r="E26" s="8"/>
      <c r="F26" s="8"/>
      <c r="G26" s="8"/>
      <c r="H26" s="8"/>
      <c r="I26" s="8"/>
      <c r="J26" s="8"/>
      <c r="K26" s="6"/>
      <c r="M26" s="8"/>
      <c r="N26" s="6"/>
      <c r="Q26" s="6"/>
      <c r="R26" s="8"/>
    </row>
    <row r="27" spans="1:18">
      <c r="A27" t="s">
        <v>13</v>
      </c>
      <c r="B27" s="6">
        <f>'Monthly # of Customers'!N79</f>
        <v>801</v>
      </c>
      <c r="D27" s="8"/>
      <c r="E27" s="8"/>
      <c r="F27" s="8"/>
      <c r="G27" s="8"/>
      <c r="H27" s="8"/>
      <c r="I27" s="8"/>
      <c r="J27" s="8"/>
      <c r="K27" s="49">
        <v>5</v>
      </c>
      <c r="L27" s="6">
        <f>+B27+K27</f>
        <v>806</v>
      </c>
      <c r="M27" s="8"/>
      <c r="N27" s="49">
        <v>0</v>
      </c>
      <c r="O27" s="6">
        <f>L27+N27</f>
        <v>806</v>
      </c>
      <c r="P27" s="6">
        <f>Q27-O27</f>
        <v>22</v>
      </c>
      <c r="Q27" s="6">
        <f>'Monthly # of Customers'!M79*12</f>
        <v>828</v>
      </c>
      <c r="R27" s="8"/>
    </row>
    <row r="28" spans="1:18">
      <c r="B28" s="6"/>
      <c r="D28" s="8"/>
      <c r="E28" s="8"/>
      <c r="F28" s="8"/>
      <c r="G28" s="8"/>
      <c r="H28" s="8"/>
      <c r="I28" s="8"/>
      <c r="J28" s="8"/>
      <c r="K28" s="49"/>
      <c r="L28" s="6"/>
      <c r="M28" s="8"/>
      <c r="N28" s="49"/>
      <c r="O28" s="6"/>
      <c r="P28" s="6"/>
      <c r="Q28" s="6"/>
      <c r="R28" s="8"/>
    </row>
    <row r="29" spans="1:18">
      <c r="A29" s="70" t="s">
        <v>264</v>
      </c>
      <c r="B29" s="73">
        <f>B25</f>
        <v>7</v>
      </c>
      <c r="C29" s="72">
        <v>0.15</v>
      </c>
      <c r="D29" s="71">
        <f>+B29*C29</f>
        <v>1.05</v>
      </c>
      <c r="E29" s="71">
        <v>0</v>
      </c>
      <c r="F29" s="8">
        <f>E29</f>
        <v>0</v>
      </c>
      <c r="G29" s="8">
        <f t="shared" ref="G29:I29" si="8">F29</f>
        <v>0</v>
      </c>
      <c r="H29" s="8">
        <f t="shared" si="8"/>
        <v>0</v>
      </c>
      <c r="I29" s="8">
        <f t="shared" si="8"/>
        <v>0</v>
      </c>
      <c r="J29" s="8">
        <f t="shared" ref="J29" si="9">I29</f>
        <v>0</v>
      </c>
      <c r="K29" s="49"/>
      <c r="L29" s="6"/>
      <c r="M29" s="8"/>
      <c r="N29" s="49"/>
      <c r="O29" s="6"/>
      <c r="P29" s="6"/>
      <c r="Q29" s="6"/>
      <c r="R29" s="8"/>
    </row>
    <row r="30" spans="1:18">
      <c r="D30" s="8"/>
      <c r="E30" s="8"/>
      <c r="F30" s="8"/>
      <c r="G30" s="8"/>
      <c r="H30" s="8"/>
      <c r="I30" s="8"/>
      <c r="J30" s="8"/>
      <c r="M30" s="8"/>
      <c r="N30" s="8"/>
      <c r="R30" s="8"/>
    </row>
    <row r="31" spans="1:18">
      <c r="A31" t="str">
        <f>+RS!B32</f>
        <v xml:space="preserve">Fuel </v>
      </c>
      <c r="D31" s="8">
        <f>+'B&amp;A Surcharges'!B51</f>
        <v>47753.919999999998</v>
      </c>
      <c r="E31" s="8">
        <f>D31</f>
        <v>47753.919999999998</v>
      </c>
      <c r="F31" s="8">
        <f>E31</f>
        <v>47753.919999999998</v>
      </c>
      <c r="G31" s="8">
        <f>F31</f>
        <v>47753.919999999998</v>
      </c>
      <c r="H31" s="8">
        <f>+G31</f>
        <v>47753.919999999998</v>
      </c>
      <c r="I31" s="8">
        <f t="shared" ref="I31" si="10">H31</f>
        <v>47753.919999999998</v>
      </c>
      <c r="J31" s="77" t="e">
        <f>ROUND(B14*J10,2)</f>
        <v>#REF!</v>
      </c>
      <c r="K31" s="8" t="e">
        <f>ROUND(K14*J10,2)</f>
        <v>#REF!</v>
      </c>
      <c r="L31" s="10"/>
      <c r="M31" s="8" t="e">
        <f>+J31+K31</f>
        <v>#REF!</v>
      </c>
      <c r="N31" s="8"/>
      <c r="O31" s="10"/>
      <c r="P31" s="8"/>
      <c r="R31" s="8" t="e">
        <f>ROUND(Q14*J10,2)</f>
        <v>#REF!</v>
      </c>
    </row>
    <row r="32" spans="1:18">
      <c r="D32" s="8"/>
      <c r="E32" s="8"/>
      <c r="F32" s="8"/>
      <c r="G32" s="8"/>
      <c r="H32" s="8"/>
      <c r="I32" s="8"/>
      <c r="J32" s="8"/>
      <c r="K32" s="8"/>
      <c r="M32" s="8"/>
      <c r="N32" s="8"/>
      <c r="P32" s="8"/>
      <c r="R32" s="8"/>
    </row>
    <row r="33" spans="1:18">
      <c r="A33" t="str">
        <f>+RS!B36</f>
        <v>System Sales Clause</v>
      </c>
      <c r="B33" s="8"/>
      <c r="D33" s="8">
        <f>+'B&amp;A Surcharges'!D51</f>
        <v>-566.03</v>
      </c>
      <c r="E33" s="8">
        <f>D33</f>
        <v>-566.03</v>
      </c>
      <c r="F33" s="78">
        <v>0</v>
      </c>
      <c r="G33" s="8">
        <f>F33</f>
        <v>0</v>
      </c>
      <c r="H33" s="8">
        <f>+G33</f>
        <v>0</v>
      </c>
      <c r="I33" s="8">
        <f t="shared" ref="I33" si="11">H33</f>
        <v>0</v>
      </c>
      <c r="J33" s="8">
        <f>+I33</f>
        <v>0</v>
      </c>
      <c r="K33" s="8"/>
      <c r="L33" s="10"/>
      <c r="M33" s="8">
        <f>+J33+K33</f>
        <v>0</v>
      </c>
      <c r="N33" s="8"/>
      <c r="O33" s="10"/>
      <c r="P33" s="8"/>
      <c r="R33" s="8" t="e">
        <f>ROUND(M33*Q$14/L$14,2)</f>
        <v>#REF!</v>
      </c>
    </row>
    <row r="34" spans="1:18">
      <c r="C34" s="10"/>
      <c r="D34" s="8"/>
      <c r="E34" s="8"/>
      <c r="F34" s="8"/>
      <c r="G34" s="8"/>
      <c r="H34" s="8"/>
      <c r="I34" s="8"/>
      <c r="J34" s="8"/>
      <c r="K34" s="8"/>
      <c r="M34" s="8"/>
      <c r="N34" s="8"/>
      <c r="P34" s="8"/>
      <c r="R34" s="8"/>
    </row>
    <row r="35" spans="1:18">
      <c r="A35" t="str">
        <f>+RS!B42</f>
        <v>Environmental Surcharge</v>
      </c>
      <c r="D35" s="8">
        <f>+'B&amp;A Surcharges'!J51</f>
        <v>10170.959999999999</v>
      </c>
      <c r="E35" s="8">
        <f>D35</f>
        <v>10170.959999999999</v>
      </c>
      <c r="F35" s="8">
        <f>E35</f>
        <v>10170.959999999999</v>
      </c>
      <c r="G35" s="8">
        <f>F35</f>
        <v>10170.959999999999</v>
      </c>
      <c r="H35" s="90">
        <f>'Envir FGD adj'!F58</f>
        <v>-353545.19027989358</v>
      </c>
      <c r="I35" s="87">
        <f>H35</f>
        <v>-353545.19027989358</v>
      </c>
      <c r="J35" s="87">
        <f>I35</f>
        <v>-353545.19027989358</v>
      </c>
      <c r="K35" s="105" t="e">
        <f>((SUM(M12:M25)-0.02725*L14+SUM(M45:M46))/(SUM(J12:J25)-0.02725*B14+SUM(J45:J46)))*J35-J35</f>
        <v>#REF!</v>
      </c>
      <c r="L35" s="10"/>
      <c r="M35" s="8" t="e">
        <f>+J35+K35</f>
        <v>#REF!</v>
      </c>
      <c r="N35" s="56"/>
      <c r="O35" s="8"/>
      <c r="P35" s="8"/>
      <c r="R35" s="107" t="e">
        <f>ROUND(M35*(SUM(R12:R30)+SUM(R45:R46))/(SUM(M12:M30)+SUM(M45:M46)),2)</f>
        <v>#REF!</v>
      </c>
    </row>
    <row r="36" spans="1:18">
      <c r="D36" s="8"/>
      <c r="E36" s="8"/>
      <c r="F36" s="8"/>
      <c r="G36" s="8"/>
      <c r="H36" s="8"/>
      <c r="I36" s="8"/>
      <c r="J36" s="8"/>
      <c r="K36" s="8"/>
      <c r="L36" s="10"/>
      <c r="M36" s="8"/>
      <c r="N36" s="8"/>
      <c r="O36" s="10"/>
      <c r="P36" s="8"/>
      <c r="R36" s="8"/>
    </row>
    <row r="37" spans="1:18">
      <c r="D37" s="8"/>
      <c r="E37" s="8"/>
      <c r="F37" s="8"/>
      <c r="G37" s="8"/>
      <c r="H37" s="8"/>
      <c r="I37" s="8"/>
      <c r="J37" s="8"/>
      <c r="M37" s="8"/>
      <c r="P37" s="10"/>
      <c r="R37" s="8"/>
    </row>
    <row r="38" spans="1:18">
      <c r="A38" t="str">
        <f>RS!B38</f>
        <v>Capacity Charge</v>
      </c>
      <c r="D38" s="8">
        <f>+'B&amp;A Surcharges'!F51</f>
        <v>1736.8933858064515</v>
      </c>
      <c r="E38" s="8">
        <f>D38</f>
        <v>1736.8933858064515</v>
      </c>
      <c r="F38" s="8">
        <f>E38</f>
        <v>1736.8933858064515</v>
      </c>
      <c r="G38" s="78">
        <v>0</v>
      </c>
      <c r="H38" s="8">
        <f>+G38</f>
        <v>0</v>
      </c>
      <c r="I38" s="8">
        <f t="shared" ref="I38" si="12">H38</f>
        <v>0</v>
      </c>
      <c r="J38" s="8">
        <f>+I38</f>
        <v>0</v>
      </c>
      <c r="K38" s="10"/>
      <c r="L38" s="10"/>
      <c r="M38" s="8">
        <f>+J38+K38</f>
        <v>0</v>
      </c>
      <c r="N38" s="10"/>
      <c r="O38" s="10"/>
      <c r="P38" s="10"/>
      <c r="R38" s="8" t="e">
        <f>ROUND(M38*Q$14/L$14,2)</f>
        <v>#REF!</v>
      </c>
    </row>
    <row r="39" spans="1:18">
      <c r="D39" s="8"/>
      <c r="E39" s="8"/>
      <c r="F39" s="8"/>
      <c r="G39" s="8"/>
      <c r="H39" s="8"/>
      <c r="I39" s="8"/>
      <c r="J39" s="8"/>
      <c r="K39" s="10"/>
      <c r="L39" s="10"/>
      <c r="M39" s="8"/>
      <c r="N39" s="10"/>
      <c r="O39" s="10"/>
      <c r="P39" s="10"/>
      <c r="R39" s="8"/>
    </row>
    <row r="40" spans="1:18">
      <c r="D40" s="8"/>
      <c r="E40" s="8"/>
      <c r="F40" s="8"/>
      <c r="G40" s="8"/>
      <c r="H40" s="8"/>
      <c r="I40" s="8"/>
      <c r="J40" s="8"/>
      <c r="K40" s="56"/>
      <c r="L40" s="10"/>
      <c r="M40" s="8"/>
      <c r="N40" s="56"/>
      <c r="O40" s="8"/>
      <c r="P40" s="8"/>
      <c r="R40" s="8"/>
    </row>
    <row r="41" spans="1:18">
      <c r="A41" s="70" t="s">
        <v>265</v>
      </c>
      <c r="D41" s="71">
        <f>'B&amp;A Surcharges'!L51</f>
        <v>8275.0933909677424</v>
      </c>
      <c r="E41" s="8">
        <f>D41</f>
        <v>8275.0933909677424</v>
      </c>
      <c r="F41" s="8">
        <f>E41</f>
        <v>8275.0933909677424</v>
      </c>
      <c r="G41" s="8">
        <f t="shared" ref="G41:I41" si="13">F41</f>
        <v>8275.0933909677424</v>
      </c>
      <c r="H41" s="8">
        <f t="shared" si="13"/>
        <v>8275.0933909677424</v>
      </c>
      <c r="I41" s="8">
        <f t="shared" si="13"/>
        <v>8275.0933909677424</v>
      </c>
      <c r="J41" s="8">
        <f>I41</f>
        <v>8275.0933909677424</v>
      </c>
      <c r="K41" s="105" t="e">
        <f>((SUM(M12:M33)+SUM(M45:M46))/(SUM(J12:J33)+SUM(J45:J46)))*J41-J41</f>
        <v>#REF!</v>
      </c>
      <c r="L41" s="10"/>
      <c r="M41" s="8" t="e">
        <f>J41+K41</f>
        <v>#REF!</v>
      </c>
      <c r="N41" s="56"/>
      <c r="O41" s="8"/>
      <c r="P41" s="8"/>
      <c r="R41" s="107" t="e">
        <f>ROUND(M41*(SUM(R12:R33)+SUM(R45:R46))/(SUM(M12:M33)+SUM(M45:M46)),2)</f>
        <v>#REF!</v>
      </c>
    </row>
    <row r="42" spans="1:18">
      <c r="A42" s="70"/>
      <c r="D42" s="71"/>
      <c r="E42" s="8"/>
      <c r="F42" s="8"/>
      <c r="G42" s="8"/>
      <c r="H42" s="8"/>
      <c r="I42" s="8"/>
      <c r="J42" s="8"/>
      <c r="K42" s="56"/>
      <c r="L42" s="10"/>
      <c r="M42" s="8"/>
      <c r="N42" s="56"/>
      <c r="O42" s="8"/>
      <c r="P42" s="8"/>
      <c r="R42" s="8"/>
    </row>
    <row r="43" spans="1:18">
      <c r="A43" s="70" t="s">
        <v>266</v>
      </c>
      <c r="D43" s="71">
        <f>'B&amp;A Surcharges'!N51</f>
        <v>10471.74</v>
      </c>
      <c r="E43" s="8">
        <f>D43</f>
        <v>10471.74</v>
      </c>
      <c r="F43" s="8">
        <f>E43</f>
        <v>10471.74</v>
      </c>
      <c r="G43" s="8">
        <f t="shared" ref="G43:H43" si="14">F43</f>
        <v>10471.74</v>
      </c>
      <c r="H43" s="8">
        <f t="shared" si="14"/>
        <v>10471.74</v>
      </c>
      <c r="I43" s="78">
        <v>0</v>
      </c>
      <c r="J43" s="8">
        <f>I43</f>
        <v>0</v>
      </c>
      <c r="K43" s="56"/>
      <c r="L43" s="10"/>
      <c r="M43" s="8"/>
      <c r="N43" s="56"/>
      <c r="O43" s="8"/>
      <c r="P43" s="8"/>
      <c r="R43" s="8"/>
    </row>
    <row r="44" spans="1:18">
      <c r="A44" s="70"/>
      <c r="D44" s="71"/>
      <c r="E44" s="8"/>
      <c r="F44" s="8"/>
      <c r="G44" s="8"/>
      <c r="H44" s="8"/>
      <c r="I44" s="8"/>
      <c r="J44" s="8"/>
      <c r="K44" s="56"/>
      <c r="L44" s="10"/>
      <c r="M44" s="8"/>
      <c r="N44" s="56"/>
      <c r="O44" s="8"/>
      <c r="P44" s="8"/>
      <c r="R44" s="8"/>
    </row>
    <row r="45" spans="1:18">
      <c r="A45" s="70" t="s">
        <v>306</v>
      </c>
      <c r="D45" s="71">
        <f>'B&amp;A Surcharges'!P51</f>
        <v>0</v>
      </c>
      <c r="E45" s="8">
        <f>D45</f>
        <v>0</v>
      </c>
      <c r="F45" s="8">
        <f>E45</f>
        <v>0</v>
      </c>
      <c r="G45" s="8">
        <f t="shared" ref="G45:I45" si="15">F45</f>
        <v>0</v>
      </c>
      <c r="H45" s="8">
        <f t="shared" si="15"/>
        <v>0</v>
      </c>
      <c r="I45" s="8">
        <f t="shared" si="15"/>
        <v>0</v>
      </c>
      <c r="J45" s="8">
        <f>I45</f>
        <v>0</v>
      </c>
      <c r="K45" s="56" t="e">
        <f>ROUND(K$14*J45/B$14,2)</f>
        <v>#REF!</v>
      </c>
      <c r="L45" s="10"/>
      <c r="M45" s="8" t="e">
        <f>J45+K45</f>
        <v>#REF!</v>
      </c>
      <c r="N45" s="56"/>
      <c r="O45" s="8"/>
      <c r="P45" s="8"/>
      <c r="R45" s="8" t="e">
        <f>ROUND(M45*Q$14/L$14,2)</f>
        <v>#REF!</v>
      </c>
    </row>
    <row r="46" spans="1:18">
      <c r="A46" s="70" t="s">
        <v>307</v>
      </c>
      <c r="D46" s="71">
        <f>'B&amp;A Surcharges'!R51</f>
        <v>12</v>
      </c>
      <c r="E46" s="8">
        <f>D46</f>
        <v>12</v>
      </c>
      <c r="F46" s="8">
        <f>E46</f>
        <v>12</v>
      </c>
      <c r="G46" s="8">
        <f t="shared" ref="G46" si="16">F46</f>
        <v>12</v>
      </c>
      <c r="H46" s="8">
        <f t="shared" ref="H46" si="17">G46</f>
        <v>12</v>
      </c>
      <c r="I46" s="8">
        <f t="shared" ref="I46" si="18">H46</f>
        <v>12</v>
      </c>
      <c r="J46" s="8">
        <f>I46</f>
        <v>12</v>
      </c>
      <c r="K46" s="56">
        <f>ROUND((K$17+K19)*J46/(B17+B19),2)</f>
        <v>8.23</v>
      </c>
      <c r="M46" s="8">
        <f>J46+K46</f>
        <v>20.23</v>
      </c>
      <c r="N46" s="8"/>
      <c r="P46" s="10"/>
      <c r="R46" s="8">
        <f>ROUND(M46*SUM(Q$17,Q$19)/SUM(L$17,L$19),2)</f>
        <v>20.78</v>
      </c>
    </row>
    <row r="47" spans="1:18">
      <c r="A47" s="88"/>
      <c r="B47" s="28"/>
      <c r="C47" s="28"/>
      <c r="D47" s="30"/>
      <c r="E47" s="8"/>
      <c r="F47" s="8"/>
      <c r="G47" s="8"/>
      <c r="H47" s="8"/>
      <c r="I47" s="8"/>
      <c r="J47" s="8"/>
      <c r="K47" s="10"/>
      <c r="M47" s="8"/>
      <c r="N47" s="8"/>
      <c r="P47" s="10"/>
      <c r="R47" s="8"/>
    </row>
    <row r="48" spans="1:18">
      <c r="A48" t="str">
        <f>+RS!B53</f>
        <v>Total</v>
      </c>
      <c r="D48" s="8">
        <f t="shared" ref="D48:J48" si="19">SUM(D12:D46)</f>
        <v>4184864.9087767745</v>
      </c>
      <c r="E48" s="8">
        <f t="shared" si="19"/>
        <v>4184863.8587767747</v>
      </c>
      <c r="F48" s="8">
        <f t="shared" si="19"/>
        <v>4185429.8887767745</v>
      </c>
      <c r="G48" s="8">
        <f t="shared" si="19"/>
        <v>4183692.9953909679</v>
      </c>
      <c r="H48" s="8">
        <f t="shared" si="19"/>
        <v>3819976.8451110744</v>
      </c>
      <c r="I48" s="8">
        <f t="shared" si="19"/>
        <v>3809505.1051110742</v>
      </c>
      <c r="J48" s="8" t="e">
        <f t="shared" si="19"/>
        <v>#REF!</v>
      </c>
      <c r="K48" s="10"/>
      <c r="L48" s="10"/>
      <c r="M48" s="8" t="e">
        <f>SUM(M12:M46)</f>
        <v>#REF!</v>
      </c>
      <c r="N48" s="8"/>
      <c r="O48" s="10"/>
      <c r="P48" s="10"/>
      <c r="R48" s="8" t="e">
        <f>SUM(R12:R46)</f>
        <v>#REF!</v>
      </c>
    </row>
    <row r="50" spans="18:18">
      <c r="R50" s="8"/>
    </row>
    <row r="51" spans="18:18">
      <c r="R51" s="8"/>
    </row>
  </sheetData>
  <pageMargins left="0.75" right="0.75" top="1" bottom="1" header="0.5" footer="0.5"/>
  <pageSetup scale="50" orientation="landscape"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V85"/>
  <sheetViews>
    <sheetView zoomScaleNormal="100" workbookViewId="0">
      <pane xSplit="2" ySplit="12" topLeftCell="C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6" width="12.85546875" style="150" customWidth="1"/>
    <col min="17" max="18" width="12.85546875" style="164" customWidth="1"/>
    <col min="19" max="19" width="12.85546875" style="150" customWidth="1"/>
    <col min="20" max="20" width="4.28515625" style="150" customWidth="1"/>
    <col min="21" max="22" width="12.85546875" style="150" customWidth="1"/>
    <col min="23" max="16384" width="9.140625" style="150"/>
  </cols>
  <sheetData>
    <row r="2" spans="2:22">
      <c r="B2" s="150" t="str">
        <f>RS!B2</f>
        <v>KENTUCKY POWER BILLING ANALYSIS</v>
      </c>
      <c r="H2" s="151"/>
      <c r="I2" s="151"/>
      <c r="J2" s="151"/>
      <c r="K2" s="151"/>
      <c r="L2" s="151"/>
      <c r="M2" s="151"/>
    </row>
    <row r="3" spans="2:22">
      <c r="B3" s="150" t="str">
        <f>RS!B3</f>
        <v>PER BOOKS</v>
      </c>
      <c r="C3" s="545"/>
      <c r="D3" s="545"/>
      <c r="H3" s="531"/>
      <c r="I3" s="531"/>
      <c r="J3" s="531"/>
      <c r="K3" s="531"/>
      <c r="L3" s="531"/>
      <c r="M3" s="531"/>
    </row>
    <row r="4" spans="2:22">
      <c r="B4" s="150" t="str">
        <f>RS!B4</f>
        <v>TEST YEAR ENDED MARCH 31, 2023</v>
      </c>
    </row>
    <row r="6" spans="2:22">
      <c r="B6" s="150" t="s">
        <v>610</v>
      </c>
    </row>
    <row r="7" spans="2:22">
      <c r="B7" s="150" t="s">
        <v>35</v>
      </c>
    </row>
    <row r="8" spans="2:22">
      <c r="F8" s="154"/>
      <c r="G8" s="154"/>
      <c r="I8" s="580" t="str">
        <f>RS!H8</f>
        <v>Unit Adjustments</v>
      </c>
      <c r="J8" s="580"/>
      <c r="K8" s="580"/>
      <c r="L8" s="533"/>
      <c r="M8" s="533"/>
      <c r="N8" s="580" t="str">
        <f>RS!L8</f>
        <v>Base Revenues Adjustments</v>
      </c>
      <c r="O8" s="580"/>
      <c r="P8" s="580"/>
      <c r="Q8" s="580"/>
      <c r="R8" s="580"/>
      <c r="S8" s="154"/>
    </row>
    <row r="9" spans="2:22">
      <c r="B9" s="154"/>
      <c r="C9" s="154" t="str">
        <f>RS!C9</f>
        <v>Apr - Mar</v>
      </c>
      <c r="D9" s="154"/>
      <c r="E9" s="154"/>
      <c r="F9" s="154" t="str">
        <f>RS!E9</f>
        <v>Apr - Mar</v>
      </c>
      <c r="G9" s="154">
        <f>RS!F9</f>
        <v>0</v>
      </c>
      <c r="H9" s="154" t="str">
        <f>RS!G9</f>
        <v>Per Books</v>
      </c>
      <c r="I9" s="154" t="str">
        <f>RS!H9</f>
        <v>Weather</v>
      </c>
      <c r="J9" s="154" t="str">
        <f>RS!I9</f>
        <v>Customer</v>
      </c>
      <c r="K9" s="154" t="str">
        <f>RS!J9</f>
        <v>Customer</v>
      </c>
      <c r="L9" s="533" t="str">
        <f>RS!K9</f>
        <v>Adjusted</v>
      </c>
      <c r="M9" s="533" t="s">
        <v>596</v>
      </c>
      <c r="N9" s="154" t="str">
        <f>RS!L9</f>
        <v>Enviro Sur</v>
      </c>
      <c r="O9" s="154" t="str">
        <f>RS!M9</f>
        <v>Rate</v>
      </c>
      <c r="P9" s="154" t="str">
        <f>RS!N9</f>
        <v>Weather</v>
      </c>
      <c r="Q9" s="154" t="str">
        <f>RS!O9</f>
        <v>Customer</v>
      </c>
      <c r="R9" s="154" t="str">
        <f>RS!P9</f>
        <v>Customer</v>
      </c>
      <c r="S9" s="154" t="str">
        <f>RS!Q9</f>
        <v>Adjusted Base</v>
      </c>
      <c r="U9" s="154" t="s">
        <v>170</v>
      </c>
      <c r="V9" s="154" t="s">
        <v>172</v>
      </c>
    </row>
    <row r="10" spans="2:22">
      <c r="B10" s="416" t="str">
        <f>RS!B10</f>
        <v>Description</v>
      </c>
      <c r="C10" s="416" t="str">
        <f>RS!C10</f>
        <v>Units</v>
      </c>
      <c r="D10" s="416" t="s">
        <v>835</v>
      </c>
      <c r="E10" s="416" t="s">
        <v>836</v>
      </c>
      <c r="F10" s="416" t="str">
        <f>RS!E10</f>
        <v>Rate</v>
      </c>
      <c r="G10" s="416">
        <f>RS!F10</f>
        <v>0</v>
      </c>
      <c r="H10" s="416" t="str">
        <f>RS!G10</f>
        <v>Revenue</v>
      </c>
      <c r="I10" s="416" t="str">
        <f>RS!H10</f>
        <v>Normalization</v>
      </c>
      <c r="J10" s="416" t="str">
        <f>RS!I10</f>
        <v>Annualization</v>
      </c>
      <c r="K10" s="416" t="str">
        <f>RS!J10</f>
        <v>Pro Forma</v>
      </c>
      <c r="L10" s="416" t="str">
        <f>RS!K10</f>
        <v>Units</v>
      </c>
      <c r="M10" s="416" t="s">
        <v>837</v>
      </c>
      <c r="N10" s="416" t="str">
        <f>RS!L10</f>
        <v>Excl FGD</v>
      </c>
      <c r="O10" s="416" t="str">
        <f>RS!M10</f>
        <v>Annualization</v>
      </c>
      <c r="P10" s="416" t="str">
        <f>RS!N10</f>
        <v>Normalization</v>
      </c>
      <c r="Q10" s="416" t="str">
        <f>RS!O10</f>
        <v>Annualization</v>
      </c>
      <c r="R10" s="416" t="str">
        <f>RS!P10</f>
        <v>Pro Forma</v>
      </c>
      <c r="S10" s="416" t="str">
        <f>RS!Q10</f>
        <v>Revenue</v>
      </c>
      <c r="U10" s="416" t="s">
        <v>532</v>
      </c>
      <c r="V10" s="416" t="s">
        <v>6</v>
      </c>
    </row>
    <row r="11" spans="2:22">
      <c r="B11" s="534" t="str">
        <f>RS!B11</f>
        <v>(1)</v>
      </c>
      <c r="C11" s="534" t="str">
        <f>RS!C11</f>
        <v>(2)</v>
      </c>
      <c r="D11" s="534"/>
      <c r="E11" s="534"/>
      <c r="F11" s="535" t="str">
        <f>RS!E11</f>
        <v>(4)</v>
      </c>
      <c r="G11" s="534" t="str">
        <f>RS!F11</f>
        <v>(5)</v>
      </c>
      <c r="H11" s="534" t="str">
        <f>RS!G11</f>
        <v>(6)</v>
      </c>
      <c r="I11" s="534" t="str">
        <f>RS!H11</f>
        <v>(7)</v>
      </c>
      <c r="J11" s="534" t="str">
        <f>RS!I11</f>
        <v>(8)</v>
      </c>
      <c r="K11" s="534" t="str">
        <f>RS!J11</f>
        <v>(9)</v>
      </c>
      <c r="L11" s="534" t="str">
        <f>RS!K11</f>
        <v>(10)</v>
      </c>
      <c r="M11" s="534"/>
      <c r="N11" s="534" t="str">
        <f>RS!L11</f>
        <v>(11)</v>
      </c>
      <c r="O11" s="536" t="str">
        <f>RS!M11</f>
        <v>(12)</v>
      </c>
      <c r="P11" s="534" t="str">
        <f>RS!N11</f>
        <v>(13)</v>
      </c>
      <c r="Q11" s="536" t="str">
        <f>RS!O11</f>
        <v>(14)</v>
      </c>
      <c r="R11" s="537" t="str">
        <f>RS!P11</f>
        <v>(15)</v>
      </c>
      <c r="S11" s="537" t="str">
        <f>RS!Q11</f>
        <v>(16)</v>
      </c>
    </row>
    <row r="12" spans="2:22">
      <c r="C12" s="164"/>
      <c r="D12" s="164"/>
      <c r="E12" s="164"/>
      <c r="F12" s="164"/>
      <c r="G12" s="164"/>
      <c r="H12" s="164"/>
      <c r="I12" s="164"/>
      <c r="J12" s="164"/>
      <c r="K12" s="164"/>
      <c r="L12" s="164"/>
      <c r="M12" s="164"/>
      <c r="N12" s="164"/>
      <c r="O12" s="164"/>
      <c r="P12" s="164"/>
      <c r="S12" s="164"/>
    </row>
    <row r="13" spans="2:22">
      <c r="B13" s="169" t="s">
        <v>30</v>
      </c>
      <c r="U13" s="203"/>
      <c r="V13" s="164">
        <f t="shared" ref="V13:V44" si="0">U13*L13</f>
        <v>0</v>
      </c>
    </row>
    <row r="14" spans="2:22">
      <c r="B14" s="169" t="s">
        <v>26</v>
      </c>
      <c r="U14" s="203"/>
      <c r="V14" s="164">
        <f t="shared" si="0"/>
        <v>0</v>
      </c>
    </row>
    <row r="15" spans="2:22">
      <c r="B15" s="169" t="s">
        <v>46</v>
      </c>
      <c r="C15" s="546">
        <v>212625</v>
      </c>
      <c r="D15" s="546">
        <v>484</v>
      </c>
      <c r="E15" s="546">
        <f>(C15*D15)/12</f>
        <v>8575875</v>
      </c>
      <c r="F15" s="332">
        <v>9.06</v>
      </c>
      <c r="G15" s="332"/>
      <c r="H15" s="164">
        <f>(C15*F15)+(E15*G15)</f>
        <v>1926382.5</v>
      </c>
      <c r="I15" s="164">
        <f>VLOOKUP($B$7,WNLA!A:B,2,FALSE)*(SUM(C15:E15)/SUM(C15:E15))</f>
        <v>0</v>
      </c>
      <c r="J15" s="164">
        <f>C15*'Monthly # of Customers'!R119</f>
        <v>-16737</v>
      </c>
      <c r="K15" s="162"/>
      <c r="L15" s="164">
        <f>C15+I15+J15+K15</f>
        <v>195888</v>
      </c>
      <c r="M15" s="164">
        <f>(L15*D15)/12</f>
        <v>7900816</v>
      </c>
      <c r="N15" s="164"/>
      <c r="O15" s="164"/>
      <c r="P15" s="164">
        <f>I15*G15</f>
        <v>0</v>
      </c>
      <c r="Q15" s="164">
        <f t="shared" ref="Q15:R19" si="1">J15*F15</f>
        <v>-151637.22</v>
      </c>
      <c r="R15" s="162">
        <f t="shared" si="1"/>
        <v>0</v>
      </c>
      <c r="S15" s="164">
        <f>H15+N15+O15+P15+Q15+R15</f>
        <v>1774745.28</v>
      </c>
      <c r="U15" s="162">
        <f>'Proposed Rates'!F85</f>
        <v>10.53</v>
      </c>
      <c r="V15" s="164">
        <f t="shared" si="0"/>
        <v>2062700.64</v>
      </c>
    </row>
    <row r="16" spans="2:22">
      <c r="B16" s="169" t="s">
        <v>47</v>
      </c>
      <c r="C16" s="546">
        <v>209427</v>
      </c>
      <c r="D16" s="546">
        <v>704</v>
      </c>
      <c r="E16" s="546">
        <f t="shared" ref="E16:E50" si="2">(C16*D16)/12</f>
        <v>12286384</v>
      </c>
      <c r="F16" s="332">
        <v>10.33</v>
      </c>
      <c r="G16" s="332"/>
      <c r="H16" s="164">
        <f t="shared" ref="H16:H56" si="3">(C16*F16)+(E16*G16)</f>
        <v>2163380.91</v>
      </c>
      <c r="I16" s="164">
        <f>VLOOKUP($B$7,WNLA!A:B,2,FALSE)*(SUM(C16:E16)/SUM(C16:E16))</f>
        <v>0</v>
      </c>
      <c r="J16" s="164">
        <f>C16*'Monthly # of Customers'!R129</f>
        <v>-23475</v>
      </c>
      <c r="K16" s="162"/>
      <c r="L16" s="164">
        <f t="shared" ref="L16:L56" si="4">C16+I16+J16+K16</f>
        <v>185952</v>
      </c>
      <c r="M16" s="164">
        <f t="shared" ref="M16:M50" si="5">(L16*D16)/12</f>
        <v>10909184</v>
      </c>
      <c r="N16" s="164"/>
      <c r="O16" s="164"/>
      <c r="P16" s="164">
        <f>I16*G16</f>
        <v>0</v>
      </c>
      <c r="Q16" s="164">
        <f t="shared" si="1"/>
        <v>-242496.75</v>
      </c>
      <c r="R16" s="162">
        <f t="shared" si="1"/>
        <v>0</v>
      </c>
      <c r="S16" s="164">
        <f>H16+N16+O16+P16+Q16+R16</f>
        <v>1920884.1600000001</v>
      </c>
      <c r="U16" s="162">
        <f>'Proposed Rates'!F86</f>
        <v>12.01</v>
      </c>
      <c r="V16" s="164">
        <f t="shared" si="0"/>
        <v>2233283.52</v>
      </c>
    </row>
    <row r="17" spans="2:22">
      <c r="B17" s="169" t="s">
        <v>48</v>
      </c>
      <c r="C17" s="546">
        <v>18882</v>
      </c>
      <c r="D17" s="546">
        <v>1012</v>
      </c>
      <c r="E17" s="546">
        <f t="shared" si="2"/>
        <v>1592382</v>
      </c>
      <c r="F17" s="332">
        <v>12.52</v>
      </c>
      <c r="G17" s="332"/>
      <c r="H17" s="164">
        <f t="shared" si="3"/>
        <v>236402.63999999998</v>
      </c>
      <c r="I17" s="164">
        <f>VLOOKUP($B$7,WNLA!A:B,2,FALSE)*(SUM(C17:E17)/SUM(C17:E17))</f>
        <v>0</v>
      </c>
      <c r="J17" s="164">
        <f>C17*'Monthly # of Customers'!R121</f>
        <v>-642</v>
      </c>
      <c r="K17" s="162"/>
      <c r="L17" s="164">
        <f t="shared" si="4"/>
        <v>18240</v>
      </c>
      <c r="M17" s="164">
        <f t="shared" si="5"/>
        <v>1538240</v>
      </c>
      <c r="N17" s="164"/>
      <c r="O17" s="164"/>
      <c r="P17" s="164">
        <f>I17*G17</f>
        <v>0</v>
      </c>
      <c r="Q17" s="164">
        <f t="shared" si="1"/>
        <v>-8037.84</v>
      </c>
      <c r="R17" s="162">
        <f t="shared" si="1"/>
        <v>0</v>
      </c>
      <c r="S17" s="164">
        <f>H17+N17+O17+P17+Q17+R17</f>
        <v>228364.79999999999</v>
      </c>
      <c r="U17" s="162">
        <f>'Proposed Rates'!F87</f>
        <v>14.55</v>
      </c>
      <c r="V17" s="164">
        <f t="shared" si="0"/>
        <v>265392</v>
      </c>
    </row>
    <row r="18" spans="2:22">
      <c r="B18" s="169" t="s">
        <v>49</v>
      </c>
      <c r="C18" s="546">
        <v>3034</v>
      </c>
      <c r="D18" s="546">
        <v>2000</v>
      </c>
      <c r="E18" s="546">
        <f t="shared" si="2"/>
        <v>505666.66666666669</v>
      </c>
      <c r="F18" s="332">
        <v>19.78</v>
      </c>
      <c r="G18" s="332"/>
      <c r="H18" s="164">
        <f t="shared" si="3"/>
        <v>60012.520000000004</v>
      </c>
      <c r="I18" s="164">
        <f>VLOOKUP($B$7,WNLA!A:B,2,FALSE)*(SUM(C18:E18)/SUM(C18:E18))</f>
        <v>0</v>
      </c>
      <c r="J18" s="164">
        <f>C18*'Monthly # of Customers'!R122</f>
        <v>-70</v>
      </c>
      <c r="K18" s="162"/>
      <c r="L18" s="164">
        <f t="shared" si="4"/>
        <v>2964</v>
      </c>
      <c r="M18" s="164">
        <f t="shared" si="5"/>
        <v>494000</v>
      </c>
      <c r="N18" s="164"/>
      <c r="O18" s="164"/>
      <c r="P18" s="164">
        <f>I18*G18</f>
        <v>0</v>
      </c>
      <c r="Q18" s="164">
        <f t="shared" si="1"/>
        <v>-1384.6000000000001</v>
      </c>
      <c r="R18" s="162">
        <f t="shared" si="1"/>
        <v>0</v>
      </c>
      <c r="S18" s="164">
        <f>H18+N18+O18+P18+Q18+R18</f>
        <v>58627.920000000006</v>
      </c>
      <c r="U18" s="162">
        <f>'Proposed Rates'!F89</f>
        <v>22.99</v>
      </c>
      <c r="V18" s="164">
        <f t="shared" si="0"/>
        <v>68142.36</v>
      </c>
    </row>
    <row r="19" spans="2:22">
      <c r="B19" s="169" t="s">
        <v>492</v>
      </c>
      <c r="C19" s="546">
        <v>36</v>
      </c>
      <c r="D19" s="546">
        <v>1236</v>
      </c>
      <c r="E19" s="546">
        <f t="shared" si="2"/>
        <v>3708</v>
      </c>
      <c r="F19" s="332">
        <v>17.84</v>
      </c>
      <c r="G19" s="332"/>
      <c r="H19" s="164">
        <f t="shared" si="3"/>
        <v>642.24</v>
      </c>
      <c r="I19" s="164">
        <f>VLOOKUP($B$7,WNLA!A:B,2,FALSE)*(SUM(C19:E19)/SUM(C19:E19))</f>
        <v>0</v>
      </c>
      <c r="J19" s="164">
        <f>C19*'Monthly # of Customers'!R124</f>
        <v>0</v>
      </c>
      <c r="K19" s="162"/>
      <c r="L19" s="164">
        <f t="shared" si="4"/>
        <v>36</v>
      </c>
      <c r="M19" s="164">
        <f t="shared" si="5"/>
        <v>3708</v>
      </c>
      <c r="N19" s="164"/>
      <c r="O19" s="164"/>
      <c r="P19" s="164">
        <f>I19*G19</f>
        <v>0</v>
      </c>
      <c r="Q19" s="164">
        <f t="shared" si="1"/>
        <v>0</v>
      </c>
      <c r="R19" s="162">
        <f t="shared" si="1"/>
        <v>0</v>
      </c>
      <c r="S19" s="164">
        <f>H19+N19+O19+P19+Q19+R19</f>
        <v>642.24</v>
      </c>
      <c r="U19" s="162">
        <f>'Proposed Rates'!F88</f>
        <v>20.74</v>
      </c>
      <c r="V19" s="164">
        <f t="shared" si="0"/>
        <v>746.64</v>
      </c>
    </row>
    <row r="20" spans="2:22">
      <c r="B20" s="169" t="s">
        <v>27</v>
      </c>
      <c r="C20" s="546"/>
      <c r="D20" s="546"/>
      <c r="E20" s="546"/>
      <c r="F20" s="332"/>
      <c r="G20" s="332"/>
      <c r="H20" s="164"/>
      <c r="I20" s="164"/>
      <c r="J20" s="164"/>
      <c r="K20" s="162"/>
      <c r="L20" s="164">
        <f t="shared" si="4"/>
        <v>0</v>
      </c>
      <c r="M20" s="164">
        <f t="shared" si="5"/>
        <v>0</v>
      </c>
      <c r="N20" s="164"/>
      <c r="O20" s="164"/>
      <c r="P20" s="164"/>
      <c r="Q20" s="164">
        <f t="shared" ref="Q20:Q50" si="6">J20*F20</f>
        <v>0</v>
      </c>
      <c r="R20" s="162"/>
      <c r="S20" s="164"/>
      <c r="U20" s="162"/>
      <c r="V20" s="164">
        <f t="shared" si="0"/>
        <v>0</v>
      </c>
    </row>
    <row r="21" spans="2:22">
      <c r="B21" s="169" t="s">
        <v>50</v>
      </c>
      <c r="C21" s="546">
        <v>6354</v>
      </c>
      <c r="D21" s="546">
        <v>864</v>
      </c>
      <c r="E21" s="546">
        <f t="shared" si="2"/>
        <v>457488</v>
      </c>
      <c r="F21" s="332">
        <v>11.55</v>
      </c>
      <c r="G21" s="332"/>
      <c r="H21" s="164">
        <f t="shared" si="3"/>
        <v>73388.700000000012</v>
      </c>
      <c r="I21" s="164">
        <f>VLOOKUP($B$7,WNLA!A:B,2,FALSE)*(SUM(C21:E21)/SUM(C21:E21))</f>
        <v>0</v>
      </c>
      <c r="J21" s="164">
        <f>C21*'Monthly # of Customers'!R118</f>
        <v>-474</v>
      </c>
      <c r="K21" s="162"/>
      <c r="L21" s="164">
        <f t="shared" si="4"/>
        <v>5880</v>
      </c>
      <c r="M21" s="164">
        <f t="shared" si="5"/>
        <v>423360</v>
      </c>
      <c r="N21" s="164"/>
      <c r="O21" s="164"/>
      <c r="P21" s="164">
        <f>I21*G21</f>
        <v>0</v>
      </c>
      <c r="Q21" s="164">
        <f t="shared" si="6"/>
        <v>-5474.7000000000007</v>
      </c>
      <c r="R21" s="162">
        <f>K21*G21</f>
        <v>0</v>
      </c>
      <c r="S21" s="164">
        <f>H21+N21+O21+P21+Q21+R21</f>
        <v>67914.000000000015</v>
      </c>
      <c r="U21" s="162">
        <f>'Proposed Rates'!F92</f>
        <v>13.43</v>
      </c>
      <c r="V21" s="164">
        <f t="shared" si="0"/>
        <v>78968.399999999994</v>
      </c>
    </row>
    <row r="22" spans="2:22">
      <c r="B22" s="169" t="s">
        <v>51</v>
      </c>
      <c r="C22" s="546">
        <v>871</v>
      </c>
      <c r="D22" s="546">
        <v>1896</v>
      </c>
      <c r="E22" s="546">
        <f t="shared" si="2"/>
        <v>137618</v>
      </c>
      <c r="F22" s="332">
        <v>19.88</v>
      </c>
      <c r="G22" s="332"/>
      <c r="H22" s="164">
        <f t="shared" si="3"/>
        <v>17315.48</v>
      </c>
      <c r="I22" s="164">
        <f>VLOOKUP($B$7,WNLA!A:B,2,FALSE)*(SUM(C22:E22)/SUM(C22:E22))</f>
        <v>0</v>
      </c>
      <c r="J22" s="164">
        <f>C22*'Monthly # of Customers'!R120</f>
        <v>-19</v>
      </c>
      <c r="K22" s="162"/>
      <c r="L22" s="164">
        <f t="shared" si="4"/>
        <v>852</v>
      </c>
      <c r="M22" s="164">
        <f t="shared" si="5"/>
        <v>134616</v>
      </c>
      <c r="N22" s="164"/>
      <c r="O22" s="164"/>
      <c r="P22" s="164">
        <f>I22*G22</f>
        <v>0</v>
      </c>
      <c r="Q22" s="164">
        <f t="shared" si="6"/>
        <v>-377.71999999999997</v>
      </c>
      <c r="R22" s="162">
        <f>K22*G22</f>
        <v>0</v>
      </c>
      <c r="S22" s="164">
        <f>H22+N22+O22+P22+Q22+R22</f>
        <v>16937.759999999998</v>
      </c>
      <c r="U22" s="162">
        <f>'Proposed Rates'!F93</f>
        <v>23.11</v>
      </c>
      <c r="V22" s="164">
        <f t="shared" si="0"/>
        <v>19689.72</v>
      </c>
    </row>
    <row r="23" spans="2:22">
      <c r="B23" s="169"/>
      <c r="C23" s="546"/>
      <c r="D23" s="546"/>
      <c r="E23" s="546"/>
      <c r="F23" s="332"/>
      <c r="G23" s="332"/>
      <c r="H23" s="164"/>
      <c r="I23" s="164"/>
      <c r="J23" s="164"/>
      <c r="K23" s="164"/>
      <c r="L23" s="164">
        <f t="shared" si="4"/>
        <v>0</v>
      </c>
      <c r="M23" s="164">
        <f t="shared" si="5"/>
        <v>0</v>
      </c>
      <c r="N23" s="164"/>
      <c r="O23" s="164"/>
      <c r="P23" s="164"/>
      <c r="Q23" s="164">
        <f t="shared" si="6"/>
        <v>0</v>
      </c>
      <c r="R23" s="162"/>
      <c r="S23" s="164"/>
      <c r="U23" s="162"/>
      <c r="V23" s="164">
        <f t="shared" si="0"/>
        <v>0</v>
      </c>
    </row>
    <row r="24" spans="2:22">
      <c r="B24" s="169" t="s">
        <v>31</v>
      </c>
      <c r="C24" s="546"/>
      <c r="D24" s="546"/>
      <c r="E24" s="546"/>
      <c r="F24" s="332"/>
      <c r="G24" s="332"/>
      <c r="H24" s="164"/>
      <c r="I24" s="164"/>
      <c r="J24" s="164"/>
      <c r="K24" s="164"/>
      <c r="L24" s="164">
        <f t="shared" si="4"/>
        <v>0</v>
      </c>
      <c r="M24" s="164">
        <f t="shared" si="5"/>
        <v>0</v>
      </c>
      <c r="N24" s="164"/>
      <c r="O24" s="164"/>
      <c r="P24" s="164"/>
      <c r="Q24" s="164">
        <f t="shared" si="6"/>
        <v>0</v>
      </c>
      <c r="R24" s="162"/>
      <c r="S24" s="164"/>
      <c r="U24" s="162"/>
      <c r="V24" s="164">
        <f t="shared" si="0"/>
        <v>0</v>
      </c>
    </row>
    <row r="25" spans="2:22">
      <c r="B25" s="169" t="s">
        <v>26</v>
      </c>
      <c r="C25" s="546"/>
      <c r="D25" s="546"/>
      <c r="E25" s="546"/>
      <c r="F25" s="332"/>
      <c r="G25" s="332"/>
      <c r="H25" s="164"/>
      <c r="I25" s="164"/>
      <c r="J25" s="164"/>
      <c r="K25" s="164"/>
      <c r="L25" s="164">
        <f t="shared" si="4"/>
        <v>0</v>
      </c>
      <c r="M25" s="164">
        <f t="shared" si="5"/>
        <v>0</v>
      </c>
      <c r="N25" s="164"/>
      <c r="O25" s="164"/>
      <c r="P25" s="164"/>
      <c r="Q25" s="164">
        <f t="shared" si="6"/>
        <v>0</v>
      </c>
      <c r="R25" s="162"/>
      <c r="S25" s="164"/>
      <c r="U25" s="162"/>
      <c r="V25" s="164">
        <f t="shared" si="0"/>
        <v>0</v>
      </c>
    </row>
    <row r="26" spans="2:22">
      <c r="B26" s="169" t="s">
        <v>52</v>
      </c>
      <c r="C26" s="546">
        <v>8782</v>
      </c>
      <c r="D26" s="546">
        <f>D15</f>
        <v>484</v>
      </c>
      <c r="E26" s="546">
        <f t="shared" si="2"/>
        <v>354207.33333333331</v>
      </c>
      <c r="F26" s="332">
        <v>16.420000000000002</v>
      </c>
      <c r="G26" s="332"/>
      <c r="H26" s="164">
        <f t="shared" si="3"/>
        <v>144200.44</v>
      </c>
      <c r="I26" s="164">
        <f>VLOOKUP($B$7,WNLA!A:B,2,FALSE)*(SUM(C26:E26)/SUM(C26:E26))</f>
        <v>0</v>
      </c>
      <c r="J26" s="164">
        <f>C26*'Monthly # of Customers'!R128</f>
        <v>-418</v>
      </c>
      <c r="K26" s="162"/>
      <c r="L26" s="164">
        <f t="shared" si="4"/>
        <v>8364</v>
      </c>
      <c r="M26" s="164">
        <f t="shared" si="5"/>
        <v>337348</v>
      </c>
      <c r="N26" s="164"/>
      <c r="O26" s="164"/>
      <c r="P26" s="164">
        <f>I26*G26</f>
        <v>0</v>
      </c>
      <c r="Q26" s="164">
        <f t="shared" si="6"/>
        <v>-6863.56</v>
      </c>
      <c r="R26" s="162">
        <f>K26*G26</f>
        <v>0</v>
      </c>
      <c r="S26" s="164">
        <f>H26+N26+O26+P26+Q26+R26</f>
        <v>137336.88</v>
      </c>
      <c r="U26" s="162">
        <f>'Proposed Rates'!F97</f>
        <v>19.09</v>
      </c>
      <c r="V26" s="164">
        <f t="shared" si="0"/>
        <v>159668.76</v>
      </c>
    </row>
    <row r="27" spans="2:22">
      <c r="B27" s="169" t="s">
        <v>53</v>
      </c>
      <c r="C27" s="546">
        <v>818</v>
      </c>
      <c r="D27" s="546">
        <f>D16</f>
        <v>704</v>
      </c>
      <c r="E27" s="546">
        <f t="shared" si="2"/>
        <v>47989.333333333336</v>
      </c>
      <c r="F27" s="332">
        <v>25.83</v>
      </c>
      <c r="G27" s="332"/>
      <c r="H27" s="164">
        <f t="shared" si="3"/>
        <v>21128.94</v>
      </c>
      <c r="I27" s="164">
        <f>VLOOKUP($B$7,WNLA!A:B,2,FALSE)*(SUM(C27:E27)/SUM(C27:E27))</f>
        <v>0</v>
      </c>
      <c r="J27" s="164">
        <f>C27*'Monthly # of Customers'!R132</f>
        <v>22</v>
      </c>
      <c r="K27" s="162"/>
      <c r="L27" s="164">
        <f t="shared" si="4"/>
        <v>840</v>
      </c>
      <c r="M27" s="164">
        <f t="shared" si="5"/>
        <v>49280</v>
      </c>
      <c r="N27" s="164"/>
      <c r="O27" s="164"/>
      <c r="P27" s="164">
        <f>I27*G27</f>
        <v>0</v>
      </c>
      <c r="Q27" s="164">
        <f t="shared" si="6"/>
        <v>568.26</v>
      </c>
      <c r="R27" s="162">
        <f>K27*G27</f>
        <v>0</v>
      </c>
      <c r="S27" s="164">
        <f>H27+N27+O27+P27+Q27+R27</f>
        <v>21697.199999999997</v>
      </c>
      <c r="U27" s="162">
        <f>'Proposed Rates'!F98</f>
        <v>30.03</v>
      </c>
      <c r="V27" s="164">
        <f t="shared" si="0"/>
        <v>25225.200000000001</v>
      </c>
    </row>
    <row r="28" spans="2:22">
      <c r="B28" s="169" t="s">
        <v>205</v>
      </c>
      <c r="C28" s="546">
        <v>25</v>
      </c>
      <c r="D28" s="546">
        <f>D19</f>
        <v>1236</v>
      </c>
      <c r="E28" s="546">
        <f t="shared" si="2"/>
        <v>2575</v>
      </c>
      <c r="F28" s="332">
        <v>30.07</v>
      </c>
      <c r="G28" s="332"/>
      <c r="H28" s="164">
        <f t="shared" ref="H28" si="7">(C28*F28)+(E28*G28)</f>
        <v>751.75</v>
      </c>
      <c r="I28" s="164">
        <f>VLOOKUP($B$7,WNLA!A:B,2,FALSE)*(SUM(C28:E28)/SUM(C28:E28))</f>
        <v>0</v>
      </c>
      <c r="J28" s="164">
        <f>C28*'Monthly # of Customers'!R131</f>
        <v>-1</v>
      </c>
      <c r="K28" s="162"/>
      <c r="L28" s="164">
        <f t="shared" si="4"/>
        <v>24</v>
      </c>
      <c r="M28" s="164">
        <f t="shared" si="5"/>
        <v>2472</v>
      </c>
      <c r="N28" s="164"/>
      <c r="O28" s="164"/>
      <c r="P28" s="164">
        <f>I28*G28</f>
        <v>0</v>
      </c>
      <c r="Q28" s="164">
        <f t="shared" si="6"/>
        <v>-30.07</v>
      </c>
      <c r="R28" s="162">
        <f>K28*G28</f>
        <v>0</v>
      </c>
      <c r="S28" s="164">
        <f>H28+N28+O28+P28+Q28+R28</f>
        <v>721.68</v>
      </c>
      <c r="U28" s="162">
        <f>'Proposed Rates'!F105</f>
        <v>34.96</v>
      </c>
      <c r="V28" s="164">
        <f t="shared" si="0"/>
        <v>839.04</v>
      </c>
    </row>
    <row r="29" spans="2:22">
      <c r="B29" s="169" t="s">
        <v>493</v>
      </c>
      <c r="C29" s="546">
        <v>39</v>
      </c>
      <c r="D29" s="546">
        <f>D18</f>
        <v>2000</v>
      </c>
      <c r="E29" s="546">
        <f t="shared" si="2"/>
        <v>6500</v>
      </c>
      <c r="F29" s="332">
        <v>39.47</v>
      </c>
      <c r="G29" s="332"/>
      <c r="H29" s="164">
        <f>(C29*F29)+(E29*G29)</f>
        <v>1539.33</v>
      </c>
      <c r="I29" s="164">
        <f>VLOOKUP($B$7,WNLA!A:B,2,FALSE)*(SUM(C29:E29)/SUM(C29:E29))</f>
        <v>0</v>
      </c>
      <c r="J29" s="164">
        <f>C29*'Monthly # of Customers'!R133</f>
        <v>9</v>
      </c>
      <c r="K29" s="162"/>
      <c r="L29" s="164">
        <f t="shared" si="4"/>
        <v>48</v>
      </c>
      <c r="M29" s="164">
        <f t="shared" si="5"/>
        <v>8000</v>
      </c>
      <c r="N29" s="164"/>
      <c r="O29" s="164"/>
      <c r="P29" s="164">
        <f>I29*G29</f>
        <v>0</v>
      </c>
      <c r="Q29" s="164">
        <f t="shared" si="6"/>
        <v>355.23</v>
      </c>
      <c r="R29" s="162">
        <f>K29*G29</f>
        <v>0</v>
      </c>
      <c r="S29" s="164">
        <f>H29+N29+O29+P29+Q29+R29</f>
        <v>1894.56</v>
      </c>
      <c r="U29" s="162">
        <f>'Proposed Rates'!F106</f>
        <v>45.88</v>
      </c>
      <c r="V29" s="164">
        <f t="shared" si="0"/>
        <v>2202.2400000000002</v>
      </c>
    </row>
    <row r="30" spans="2:22">
      <c r="B30" s="169"/>
      <c r="C30" s="546"/>
      <c r="D30" s="546"/>
      <c r="E30" s="546"/>
      <c r="F30" s="332"/>
      <c r="G30" s="332"/>
      <c r="H30" s="164"/>
      <c r="I30" s="164"/>
      <c r="J30" s="164"/>
      <c r="K30" s="164"/>
      <c r="L30" s="164">
        <f t="shared" si="4"/>
        <v>0</v>
      </c>
      <c r="M30" s="164">
        <f t="shared" si="5"/>
        <v>0</v>
      </c>
      <c r="N30" s="164"/>
      <c r="O30" s="164"/>
      <c r="P30" s="164"/>
      <c r="Q30" s="164">
        <f t="shared" si="6"/>
        <v>0</v>
      </c>
      <c r="R30" s="162"/>
      <c r="S30" s="164"/>
      <c r="U30" s="162"/>
      <c r="V30" s="164">
        <f t="shared" si="0"/>
        <v>0</v>
      </c>
    </row>
    <row r="31" spans="2:22">
      <c r="B31" s="169" t="s">
        <v>27</v>
      </c>
      <c r="C31" s="546"/>
      <c r="D31" s="546"/>
      <c r="E31" s="546"/>
      <c r="F31" s="332"/>
      <c r="G31" s="332"/>
      <c r="H31" s="164"/>
      <c r="I31" s="164"/>
      <c r="J31" s="164"/>
      <c r="K31" s="164"/>
      <c r="L31" s="164">
        <f t="shared" si="4"/>
        <v>0</v>
      </c>
      <c r="M31" s="164">
        <f t="shared" si="5"/>
        <v>0</v>
      </c>
      <c r="N31" s="164"/>
      <c r="O31" s="164"/>
      <c r="P31" s="164"/>
      <c r="Q31" s="164">
        <f t="shared" si="6"/>
        <v>0</v>
      </c>
      <c r="S31" s="164"/>
      <c r="U31" s="162"/>
      <c r="V31" s="164">
        <f t="shared" si="0"/>
        <v>0</v>
      </c>
    </row>
    <row r="32" spans="2:22">
      <c r="B32" s="169" t="s">
        <v>54</v>
      </c>
      <c r="C32" s="546">
        <v>60</v>
      </c>
      <c r="D32" s="546">
        <f>D21</f>
        <v>864</v>
      </c>
      <c r="E32" s="546">
        <f t="shared" si="2"/>
        <v>4320</v>
      </c>
      <c r="F32" s="332">
        <v>13.25</v>
      </c>
      <c r="G32" s="332"/>
      <c r="H32" s="164">
        <f t="shared" si="3"/>
        <v>795</v>
      </c>
      <c r="I32" s="164">
        <f>VLOOKUP($B$7,WNLA!A:B,2,FALSE)*(SUM(C32:E32)/SUM(C32:E32))</f>
        <v>0</v>
      </c>
      <c r="J32" s="164">
        <f>C32*'Monthly # of Customers'!R123</f>
        <v>0</v>
      </c>
      <c r="K32" s="162"/>
      <c r="L32" s="164">
        <f t="shared" si="4"/>
        <v>60</v>
      </c>
      <c r="M32" s="164">
        <f t="shared" si="5"/>
        <v>4320</v>
      </c>
      <c r="N32" s="164"/>
      <c r="O32" s="164"/>
      <c r="P32" s="164">
        <f>I32*G32</f>
        <v>0</v>
      </c>
      <c r="Q32" s="164">
        <f t="shared" si="6"/>
        <v>0</v>
      </c>
      <c r="R32" s="162">
        <f>K32*G32</f>
        <v>0</v>
      </c>
      <c r="S32" s="164">
        <f>H32+N32+O32+P32+Q32+R32</f>
        <v>795</v>
      </c>
      <c r="U32" s="162">
        <f>'Proposed Rates'!F101</f>
        <v>15.4</v>
      </c>
      <c r="V32" s="164">
        <f t="shared" si="0"/>
        <v>924</v>
      </c>
    </row>
    <row r="33" spans="2:22">
      <c r="B33" s="169"/>
      <c r="C33" s="546"/>
      <c r="D33" s="546"/>
      <c r="E33" s="546"/>
      <c r="F33" s="332"/>
      <c r="G33" s="332"/>
      <c r="H33" s="164"/>
      <c r="I33" s="164"/>
      <c r="J33" s="164"/>
      <c r="K33" s="164"/>
      <c r="L33" s="164">
        <f t="shared" si="4"/>
        <v>0</v>
      </c>
      <c r="M33" s="164">
        <f t="shared" si="5"/>
        <v>0</v>
      </c>
      <c r="N33" s="164"/>
      <c r="O33" s="164"/>
      <c r="P33" s="164"/>
      <c r="Q33" s="164">
        <f t="shared" si="6"/>
        <v>0</v>
      </c>
      <c r="S33" s="164"/>
      <c r="U33" s="162"/>
      <c r="V33" s="164">
        <f t="shared" si="0"/>
        <v>0</v>
      </c>
    </row>
    <row r="34" spans="2:22">
      <c r="B34" s="169" t="s">
        <v>32</v>
      </c>
      <c r="C34" s="546"/>
      <c r="D34" s="546"/>
      <c r="E34" s="546"/>
      <c r="F34" s="332"/>
      <c r="G34" s="332"/>
      <c r="H34" s="164"/>
      <c r="I34" s="164"/>
      <c r="J34" s="164"/>
      <c r="K34" s="164"/>
      <c r="L34" s="164">
        <f t="shared" si="4"/>
        <v>0</v>
      </c>
      <c r="M34" s="164">
        <f t="shared" si="5"/>
        <v>0</v>
      </c>
      <c r="N34" s="164"/>
      <c r="O34" s="164"/>
      <c r="P34" s="164"/>
      <c r="Q34" s="164">
        <f t="shared" si="6"/>
        <v>0</v>
      </c>
      <c r="S34" s="164"/>
      <c r="U34" s="162"/>
      <c r="V34" s="164">
        <f t="shared" si="0"/>
        <v>0</v>
      </c>
    </row>
    <row r="35" spans="2:22">
      <c r="B35" s="169" t="s">
        <v>26</v>
      </c>
      <c r="C35" s="546"/>
      <c r="D35" s="546"/>
      <c r="E35" s="546"/>
      <c r="F35" s="332"/>
      <c r="G35" s="332"/>
      <c r="H35" s="164"/>
      <c r="I35" s="164"/>
      <c r="J35" s="164"/>
      <c r="K35" s="164"/>
      <c r="L35" s="164">
        <f t="shared" si="4"/>
        <v>0</v>
      </c>
      <c r="M35" s="164">
        <f t="shared" si="5"/>
        <v>0</v>
      </c>
      <c r="N35" s="164"/>
      <c r="O35" s="164"/>
      <c r="P35" s="164"/>
      <c r="Q35" s="164">
        <f t="shared" si="6"/>
        <v>0</v>
      </c>
      <c r="S35" s="164"/>
      <c r="U35" s="162"/>
      <c r="V35" s="164">
        <f t="shared" si="0"/>
        <v>0</v>
      </c>
    </row>
    <row r="36" spans="2:22">
      <c r="B36" s="169" t="s">
        <v>55</v>
      </c>
      <c r="C36" s="546">
        <v>19871</v>
      </c>
      <c r="D36" s="546">
        <f>D17</f>
        <v>1012</v>
      </c>
      <c r="E36" s="546">
        <f t="shared" si="2"/>
        <v>1675787.6666666667</v>
      </c>
      <c r="F36" s="332">
        <v>14.38</v>
      </c>
      <c r="G36" s="332"/>
      <c r="H36" s="164">
        <f t="shared" si="3"/>
        <v>285744.98000000004</v>
      </c>
      <c r="I36" s="164">
        <f>VLOOKUP($B$7,WNLA!A:B,2,FALSE)*(SUM(C36:E36)/SUM(C36:E36))</f>
        <v>0</v>
      </c>
      <c r="J36" s="164">
        <f>C36*'Monthly # of Customers'!R125</f>
        <v>-587</v>
      </c>
      <c r="K36" s="162"/>
      <c r="L36" s="164">
        <f t="shared" si="4"/>
        <v>19284</v>
      </c>
      <c r="M36" s="164">
        <f t="shared" si="5"/>
        <v>1626284</v>
      </c>
      <c r="N36" s="164"/>
      <c r="O36" s="164"/>
      <c r="P36" s="164">
        <f>I36*G36</f>
        <v>0</v>
      </c>
      <c r="Q36" s="164">
        <f t="shared" si="6"/>
        <v>-8441.0600000000013</v>
      </c>
      <c r="R36" s="162">
        <f>K36*G36</f>
        <v>0</v>
      </c>
      <c r="S36" s="164">
        <f>H36+N36+O36+P36+Q36+R36</f>
        <v>277303.92000000004</v>
      </c>
      <c r="U36" s="162">
        <f>'Proposed Rates'!F110</f>
        <v>16.72</v>
      </c>
      <c r="V36" s="164">
        <f t="shared" si="0"/>
        <v>322428.48</v>
      </c>
    </row>
    <row r="37" spans="2:22">
      <c r="B37" s="169" t="s">
        <v>56</v>
      </c>
      <c r="C37" s="546">
        <v>47012</v>
      </c>
      <c r="D37" s="546">
        <f>D18</f>
        <v>2000</v>
      </c>
      <c r="E37" s="546">
        <f t="shared" si="2"/>
        <v>7835333.333333333</v>
      </c>
      <c r="F37" s="332">
        <v>21</v>
      </c>
      <c r="G37" s="332"/>
      <c r="H37" s="164">
        <f t="shared" si="3"/>
        <v>987252</v>
      </c>
      <c r="I37" s="164">
        <f>VLOOKUP($B$7,WNLA!A:B,2,FALSE)*(SUM(C37:E37)/SUM(C37:E37))</f>
        <v>0</v>
      </c>
      <c r="J37" s="164">
        <f>C37*'Monthly # of Customers'!R126</f>
        <v>-1460</v>
      </c>
      <c r="K37" s="162"/>
      <c r="L37" s="164">
        <f t="shared" si="4"/>
        <v>45552</v>
      </c>
      <c r="M37" s="164">
        <f t="shared" si="5"/>
        <v>7592000</v>
      </c>
      <c r="N37" s="164"/>
      <c r="O37" s="164"/>
      <c r="P37" s="164">
        <f>I37*G37</f>
        <v>0</v>
      </c>
      <c r="Q37" s="164">
        <f t="shared" si="6"/>
        <v>-30660</v>
      </c>
      <c r="R37" s="162">
        <f>K37*G37</f>
        <v>0</v>
      </c>
      <c r="S37" s="164">
        <f>H37+N37+O37+P37+Q37+R37</f>
        <v>956592</v>
      </c>
      <c r="U37" s="162">
        <f>'Proposed Rates'!F111</f>
        <v>24.41</v>
      </c>
      <c r="V37" s="164">
        <f t="shared" si="0"/>
        <v>1111924.32</v>
      </c>
    </row>
    <row r="38" spans="2:22">
      <c r="B38" s="169"/>
      <c r="C38" s="546"/>
      <c r="D38" s="546"/>
      <c r="E38" s="546"/>
      <c r="F38" s="332"/>
      <c r="G38" s="332"/>
      <c r="H38" s="164"/>
      <c r="I38" s="164"/>
      <c r="J38" s="164"/>
      <c r="K38" s="164"/>
      <c r="L38" s="164">
        <f t="shared" si="4"/>
        <v>0</v>
      </c>
      <c r="M38" s="164">
        <f t="shared" si="5"/>
        <v>0</v>
      </c>
      <c r="N38" s="164"/>
      <c r="O38" s="164"/>
      <c r="P38" s="164"/>
      <c r="Q38" s="164">
        <f t="shared" si="6"/>
        <v>0</v>
      </c>
      <c r="S38" s="164"/>
      <c r="V38" s="164">
        <f t="shared" si="0"/>
        <v>0</v>
      </c>
    </row>
    <row r="39" spans="2:22">
      <c r="B39" s="169" t="s">
        <v>28</v>
      </c>
      <c r="C39" s="546"/>
      <c r="D39" s="546"/>
      <c r="E39" s="546"/>
      <c r="F39" s="332"/>
      <c r="G39" s="332"/>
      <c r="H39" s="164"/>
      <c r="I39" s="164"/>
      <c r="J39" s="164"/>
      <c r="K39" s="164"/>
      <c r="L39" s="164">
        <f t="shared" si="4"/>
        <v>0</v>
      </c>
      <c r="M39" s="164">
        <f t="shared" si="5"/>
        <v>0</v>
      </c>
      <c r="N39" s="164"/>
      <c r="O39" s="164"/>
      <c r="P39" s="164"/>
      <c r="Q39" s="164">
        <f t="shared" si="6"/>
        <v>0</v>
      </c>
      <c r="S39" s="164"/>
      <c r="V39" s="164">
        <f t="shared" si="0"/>
        <v>0</v>
      </c>
    </row>
    <row r="40" spans="2:22">
      <c r="B40" s="169" t="s">
        <v>57</v>
      </c>
      <c r="C40" s="546">
        <v>2108</v>
      </c>
      <c r="D40" s="546">
        <v>1204</v>
      </c>
      <c r="E40" s="546">
        <f t="shared" si="2"/>
        <v>211502.66666666666</v>
      </c>
      <c r="F40" s="332">
        <v>17.45</v>
      </c>
      <c r="G40" s="332"/>
      <c r="H40" s="164">
        <f t="shared" si="3"/>
        <v>36784.6</v>
      </c>
      <c r="I40" s="164">
        <f>VLOOKUP($B$7,WNLA!A:B,2,FALSE)*(SUM(C40:E40)/SUM(C40:E40))</f>
        <v>0</v>
      </c>
      <c r="J40" s="164">
        <f>C40*'Monthly # of Customers'!R127</f>
        <v>-164</v>
      </c>
      <c r="K40" s="162"/>
      <c r="L40" s="164">
        <f t="shared" si="4"/>
        <v>1944</v>
      </c>
      <c r="M40" s="164">
        <f t="shared" si="5"/>
        <v>195048</v>
      </c>
      <c r="N40" s="164"/>
      <c r="O40" s="164"/>
      <c r="P40" s="164">
        <f>I40*G40</f>
        <v>0</v>
      </c>
      <c r="Q40" s="164">
        <f t="shared" si="6"/>
        <v>-2861.7999999999997</v>
      </c>
      <c r="R40" s="162">
        <f>K40*G40</f>
        <v>0</v>
      </c>
      <c r="S40" s="164">
        <f>H40+N40+O40+P40+Q40+R40</f>
        <v>33922.799999999996</v>
      </c>
      <c r="U40" s="541">
        <f>'Proposed Rates'!F114</f>
        <v>20.29</v>
      </c>
      <c r="V40" s="164">
        <f t="shared" si="0"/>
        <v>39443.759999999995</v>
      </c>
    </row>
    <row r="41" spans="2:22">
      <c r="B41" s="169" t="s">
        <v>58</v>
      </c>
      <c r="C41" s="546">
        <v>10917</v>
      </c>
      <c r="D41" s="546">
        <v>1896</v>
      </c>
      <c r="E41" s="546">
        <f t="shared" si="2"/>
        <v>1724886</v>
      </c>
      <c r="F41" s="332">
        <v>21.98</v>
      </c>
      <c r="G41" s="332"/>
      <c r="H41" s="164">
        <f t="shared" si="3"/>
        <v>239955.66</v>
      </c>
      <c r="I41" s="164">
        <f>VLOOKUP($B$7,WNLA!A:B,2,FALSE)*(SUM(C41:E41)/SUM(C41:E41))</f>
        <v>0</v>
      </c>
      <c r="J41" s="164">
        <f>C41*'Monthly # of Customers'!R130</f>
        <v>-429</v>
      </c>
      <c r="K41" s="162"/>
      <c r="L41" s="164">
        <f t="shared" si="4"/>
        <v>10488</v>
      </c>
      <c r="M41" s="164">
        <f t="shared" si="5"/>
        <v>1657104</v>
      </c>
      <c r="N41" s="164"/>
      <c r="O41" s="164"/>
      <c r="P41" s="164">
        <f>I41*G41</f>
        <v>0</v>
      </c>
      <c r="Q41" s="164">
        <f t="shared" si="6"/>
        <v>-9429.42</v>
      </c>
      <c r="R41" s="162">
        <f>K41*G41</f>
        <v>0</v>
      </c>
      <c r="S41" s="164">
        <f>H41+N41+O41+P41+Q41+R41</f>
        <v>230526.24</v>
      </c>
      <c r="U41" s="541">
        <f>'Proposed Rates'!F115</f>
        <v>25.55</v>
      </c>
      <c r="V41" s="164">
        <f t="shared" si="0"/>
        <v>267968.40000000002</v>
      </c>
    </row>
    <row r="42" spans="2:22">
      <c r="B42" s="169" t="s">
        <v>491</v>
      </c>
      <c r="C42" s="546">
        <v>92</v>
      </c>
      <c r="D42" s="546">
        <f>D40</f>
        <v>1204</v>
      </c>
      <c r="E42" s="546">
        <f t="shared" si="2"/>
        <v>9230.6666666666661</v>
      </c>
      <c r="F42" s="332">
        <v>22.76</v>
      </c>
      <c r="G42" s="332"/>
      <c r="H42" s="164">
        <f t="shared" si="3"/>
        <v>2093.92</v>
      </c>
      <c r="I42" s="164">
        <f>VLOOKUP($B$7,WNLA!A:B,2,FALSE)*(SUM(C42:E42)/SUM(C42:E42))</f>
        <v>0</v>
      </c>
      <c r="J42" s="164">
        <f>C42*'Monthly # of Customers'!R134</f>
        <v>28</v>
      </c>
      <c r="K42" s="162"/>
      <c r="L42" s="164">
        <f t="shared" si="4"/>
        <v>120</v>
      </c>
      <c r="M42" s="164">
        <f t="shared" si="5"/>
        <v>12040</v>
      </c>
      <c r="N42" s="164"/>
      <c r="O42" s="164"/>
      <c r="P42" s="164">
        <f>I42*G42</f>
        <v>0</v>
      </c>
      <c r="Q42" s="164">
        <f t="shared" si="6"/>
        <v>637.28000000000009</v>
      </c>
      <c r="R42" s="162">
        <f>K42*G42</f>
        <v>0</v>
      </c>
      <c r="S42" s="164">
        <f>H42+N42+O42+P42+Q42+R42</f>
        <v>2731.2000000000003</v>
      </c>
      <c r="U42" s="541">
        <f>'Proposed Rates'!F119</f>
        <v>26.46</v>
      </c>
      <c r="V42" s="164">
        <f t="shared" si="0"/>
        <v>3175.2000000000003</v>
      </c>
    </row>
    <row r="43" spans="2:22">
      <c r="B43" s="169" t="s">
        <v>59</v>
      </c>
      <c r="C43" s="546">
        <v>1240</v>
      </c>
      <c r="D43" s="546">
        <v>4540</v>
      </c>
      <c r="E43" s="546">
        <f t="shared" si="2"/>
        <v>469133.33333333331</v>
      </c>
      <c r="F43" s="332">
        <v>40.01</v>
      </c>
      <c r="G43" s="332"/>
      <c r="H43" s="164">
        <f t="shared" si="3"/>
        <v>49612.399999999994</v>
      </c>
      <c r="I43" s="164">
        <f>VLOOKUP($B$7,WNLA!A:B,2,FALSE)*(SUM(C43:E43)/SUM(C43:E43))</f>
        <v>0</v>
      </c>
      <c r="J43" s="164">
        <f>C43*'Monthly # of Customers'!R135</f>
        <v>-316</v>
      </c>
      <c r="K43" s="162"/>
      <c r="L43" s="164">
        <f t="shared" si="4"/>
        <v>924</v>
      </c>
      <c r="M43" s="164">
        <f t="shared" si="5"/>
        <v>349580</v>
      </c>
      <c r="N43" s="164"/>
      <c r="O43" s="164"/>
      <c r="P43" s="164">
        <f>I43*G43</f>
        <v>0</v>
      </c>
      <c r="Q43" s="164">
        <f t="shared" si="6"/>
        <v>-12643.16</v>
      </c>
      <c r="R43" s="162">
        <f>K43*G43</f>
        <v>0</v>
      </c>
      <c r="S43" s="164">
        <f>H43+N43+O43+P43+Q43+R43</f>
        <v>36969.239999999991</v>
      </c>
      <c r="U43" s="541">
        <f>'Proposed Rates'!F116</f>
        <v>46.51</v>
      </c>
      <c r="V43" s="164">
        <f t="shared" si="0"/>
        <v>42975.24</v>
      </c>
    </row>
    <row r="44" spans="2:22">
      <c r="B44" s="169" t="s">
        <v>490</v>
      </c>
      <c r="C44" s="546">
        <v>138</v>
      </c>
      <c r="D44" s="546">
        <v>1896</v>
      </c>
      <c r="E44" s="546">
        <f t="shared" si="2"/>
        <v>21804</v>
      </c>
      <c r="F44" s="332">
        <v>27.78</v>
      </c>
      <c r="G44" s="332"/>
      <c r="H44" s="164">
        <f t="shared" si="3"/>
        <v>3833.6400000000003</v>
      </c>
      <c r="I44" s="164">
        <f>VLOOKUP($B$7,WNLA!A:B,2,FALSE)*(SUM(C44:E44)/SUM(C44:E44))</f>
        <v>0</v>
      </c>
      <c r="J44" s="164">
        <f>C44*'Monthly # of Customers'!R136</f>
        <v>6</v>
      </c>
      <c r="K44" s="162"/>
      <c r="L44" s="164">
        <f t="shared" si="4"/>
        <v>144</v>
      </c>
      <c r="M44" s="164">
        <f t="shared" si="5"/>
        <v>22752</v>
      </c>
      <c r="N44" s="164"/>
      <c r="O44" s="164"/>
      <c r="P44" s="164">
        <f>I44*G44</f>
        <v>0</v>
      </c>
      <c r="Q44" s="164">
        <f t="shared" si="6"/>
        <v>166.68</v>
      </c>
      <c r="R44" s="162">
        <f>K44*G44</f>
        <v>0</v>
      </c>
      <c r="S44" s="164">
        <f>H44+N44+O44+P44+Q44+R44</f>
        <v>4000.32</v>
      </c>
      <c r="U44" s="541">
        <f>'Proposed Rates'!F120</f>
        <v>32.29</v>
      </c>
      <c r="V44" s="164">
        <f t="shared" si="0"/>
        <v>4649.76</v>
      </c>
    </row>
    <row r="45" spans="2:22">
      <c r="B45" s="169"/>
      <c r="C45" s="546"/>
      <c r="D45" s="546"/>
      <c r="E45" s="546"/>
      <c r="F45" s="332"/>
      <c r="G45" s="332"/>
      <c r="H45" s="164"/>
      <c r="I45" s="164"/>
      <c r="J45" s="164"/>
      <c r="K45" s="162"/>
      <c r="L45" s="164">
        <f t="shared" si="4"/>
        <v>0</v>
      </c>
      <c r="M45" s="164">
        <f t="shared" si="5"/>
        <v>0</v>
      </c>
      <c r="N45" s="164"/>
      <c r="O45" s="164"/>
      <c r="P45" s="164"/>
      <c r="Q45" s="164">
        <f t="shared" si="6"/>
        <v>0</v>
      </c>
      <c r="R45" s="162"/>
      <c r="S45" s="164"/>
      <c r="U45" s="541"/>
      <c r="V45" s="164"/>
    </row>
    <row r="46" spans="2:22">
      <c r="B46" s="169" t="s">
        <v>611</v>
      </c>
      <c r="C46" s="546"/>
      <c r="D46" s="546"/>
      <c r="E46" s="546"/>
      <c r="F46" s="332"/>
      <c r="G46" s="332"/>
      <c r="H46" s="164"/>
      <c r="I46" s="164"/>
      <c r="J46" s="164"/>
      <c r="K46" s="162"/>
      <c r="L46" s="164">
        <f t="shared" si="4"/>
        <v>0</v>
      </c>
      <c r="M46" s="164">
        <f t="shared" si="5"/>
        <v>0</v>
      </c>
      <c r="N46" s="164"/>
      <c r="O46" s="164"/>
      <c r="P46" s="164"/>
      <c r="Q46" s="164">
        <f t="shared" si="6"/>
        <v>0</v>
      </c>
      <c r="R46" s="162"/>
      <c r="S46" s="164"/>
      <c r="U46" s="541"/>
      <c r="V46" s="164"/>
    </row>
    <row r="47" spans="2:22">
      <c r="B47" s="169" t="s">
        <v>829</v>
      </c>
      <c r="C47" s="546">
        <f>113613+4+14+3</f>
        <v>113634</v>
      </c>
      <c r="D47" s="546">
        <v>189.46977000000001</v>
      </c>
      <c r="E47" s="546">
        <f t="shared" si="2"/>
        <v>1794183.9870150003</v>
      </c>
      <c r="F47" s="332">
        <v>6.62</v>
      </c>
      <c r="G47" s="332"/>
      <c r="H47" s="164">
        <f t="shared" si="3"/>
        <v>752257.08</v>
      </c>
      <c r="I47" s="164"/>
      <c r="J47" s="164">
        <f>C47*'Monthly # of Customers'!U140</f>
        <v>39786</v>
      </c>
      <c r="K47" s="162"/>
      <c r="L47" s="164">
        <f t="shared" si="4"/>
        <v>153420</v>
      </c>
      <c r="M47" s="164">
        <f t="shared" si="5"/>
        <v>2422371.0094500002</v>
      </c>
      <c r="N47" s="164"/>
      <c r="O47" s="164"/>
      <c r="P47" s="164"/>
      <c r="Q47" s="164">
        <f t="shared" si="6"/>
        <v>263383.32</v>
      </c>
      <c r="R47" s="162"/>
      <c r="S47" s="164">
        <f>H47+N47+O47+P47+Q47+R47</f>
        <v>1015640.3999999999</v>
      </c>
      <c r="U47" s="541">
        <f>'Proposed Rates'!F157</f>
        <v>7.7</v>
      </c>
      <c r="V47" s="164">
        <f t="shared" ref="V47:V50" si="8">U47*L47</f>
        <v>1181334</v>
      </c>
    </row>
    <row r="48" spans="2:22">
      <c r="B48" s="169" t="s">
        <v>612</v>
      </c>
      <c r="C48" s="546">
        <v>80</v>
      </c>
      <c r="D48" s="546">
        <v>317</v>
      </c>
      <c r="E48" s="546">
        <f t="shared" si="2"/>
        <v>2113.3333333333335</v>
      </c>
      <c r="F48" s="332">
        <v>19.05</v>
      </c>
      <c r="G48" s="332"/>
      <c r="H48" s="164">
        <f t="shared" si="3"/>
        <v>1524</v>
      </c>
      <c r="I48" s="164"/>
      <c r="J48" s="164">
        <f>C48*'Monthly # of Customers'!R141</f>
        <v>40</v>
      </c>
      <c r="K48" s="162"/>
      <c r="L48" s="164">
        <f t="shared" si="4"/>
        <v>120</v>
      </c>
      <c r="M48" s="164">
        <f t="shared" si="5"/>
        <v>3170</v>
      </c>
      <c r="N48" s="164"/>
      <c r="O48" s="164"/>
      <c r="P48" s="164"/>
      <c r="Q48" s="164">
        <f t="shared" si="6"/>
        <v>762</v>
      </c>
      <c r="R48" s="162"/>
      <c r="S48" s="164">
        <f>H48+N48+O48+P48+Q48+R48</f>
        <v>2286</v>
      </c>
      <c r="U48" s="541">
        <f>'Proposed Rates'!F158</f>
        <v>22.15</v>
      </c>
      <c r="V48" s="164">
        <f t="shared" si="8"/>
        <v>2658</v>
      </c>
    </row>
    <row r="49" spans="2:22">
      <c r="B49" s="169" t="s">
        <v>613</v>
      </c>
      <c r="C49" s="546">
        <v>806</v>
      </c>
      <c r="D49" s="546">
        <v>716</v>
      </c>
      <c r="E49" s="546">
        <f t="shared" si="2"/>
        <v>48091.333333333336</v>
      </c>
      <c r="F49" s="332">
        <v>24.75</v>
      </c>
      <c r="G49" s="332"/>
      <c r="H49" s="164">
        <f t="shared" si="3"/>
        <v>19948.5</v>
      </c>
      <c r="I49" s="164"/>
      <c r="J49" s="164">
        <f>C49*'Monthly # of Customers'!R142</f>
        <v>1750</v>
      </c>
      <c r="K49" s="162"/>
      <c r="L49" s="164">
        <f t="shared" si="4"/>
        <v>2556</v>
      </c>
      <c r="M49" s="164">
        <f t="shared" si="5"/>
        <v>152508</v>
      </c>
      <c r="N49" s="164"/>
      <c r="O49" s="164"/>
      <c r="P49" s="164"/>
      <c r="Q49" s="164">
        <f t="shared" si="6"/>
        <v>43312.5</v>
      </c>
      <c r="R49" s="162"/>
      <c r="S49" s="164">
        <f>H49+N49+O49+P49+Q49+R49</f>
        <v>63261</v>
      </c>
      <c r="U49" s="541">
        <f>'Proposed Rates'!F159</f>
        <v>28.77</v>
      </c>
      <c r="V49" s="164">
        <f t="shared" si="8"/>
        <v>73536.12</v>
      </c>
    </row>
    <row r="50" spans="2:22">
      <c r="B50" s="169" t="s">
        <v>614</v>
      </c>
      <c r="C50" s="546">
        <v>415</v>
      </c>
      <c r="D50" s="546">
        <v>1457</v>
      </c>
      <c r="E50" s="546">
        <f t="shared" si="2"/>
        <v>50387.916666666664</v>
      </c>
      <c r="F50" s="332">
        <v>30.4</v>
      </c>
      <c r="G50" s="332"/>
      <c r="H50" s="164">
        <f t="shared" si="3"/>
        <v>12616</v>
      </c>
      <c r="I50" s="164"/>
      <c r="J50" s="164">
        <f>C50*'Monthly # of Customers'!R143</f>
        <v>569</v>
      </c>
      <c r="K50" s="162"/>
      <c r="L50" s="164">
        <f t="shared" si="4"/>
        <v>984</v>
      </c>
      <c r="M50" s="164">
        <f t="shared" si="5"/>
        <v>119474</v>
      </c>
      <c r="N50" s="164"/>
      <c r="O50" s="164"/>
      <c r="P50" s="164"/>
      <c r="Q50" s="164">
        <f t="shared" si="6"/>
        <v>17297.599999999999</v>
      </c>
      <c r="R50" s="162"/>
      <c r="S50" s="164">
        <f>H50+N50+O50+P50+Q50+R50</f>
        <v>29913.599999999999</v>
      </c>
      <c r="U50" s="541">
        <f>'Proposed Rates'!F160</f>
        <v>35.340000000000003</v>
      </c>
      <c r="V50" s="164">
        <f t="shared" si="8"/>
        <v>34774.560000000005</v>
      </c>
    </row>
    <row r="51" spans="2:22">
      <c r="B51" s="169" t="s">
        <v>830</v>
      </c>
      <c r="C51" s="546"/>
      <c r="D51" s="546"/>
      <c r="E51" s="546"/>
      <c r="F51" s="332"/>
      <c r="G51" s="332"/>
      <c r="H51" s="164"/>
      <c r="I51" s="164"/>
      <c r="J51" s="164"/>
      <c r="K51" s="162"/>
      <c r="L51" s="164">
        <f t="shared" si="4"/>
        <v>0</v>
      </c>
      <c r="M51" s="164"/>
      <c r="N51" s="164"/>
      <c r="O51" s="164"/>
      <c r="P51" s="164"/>
      <c r="R51" s="162"/>
      <c r="S51" s="164"/>
      <c r="U51" s="541"/>
      <c r="V51" s="164"/>
    </row>
    <row r="52" spans="2:22">
      <c r="B52" s="169"/>
      <c r="C52" s="546"/>
      <c r="D52" s="546"/>
      <c r="E52" s="546"/>
      <c r="F52" s="546"/>
      <c r="G52" s="546"/>
      <c r="H52" s="164"/>
      <c r="I52" s="164"/>
      <c r="J52" s="164"/>
      <c r="K52" s="164"/>
      <c r="L52" s="164">
        <f t="shared" si="4"/>
        <v>0</v>
      </c>
      <c r="M52" s="164"/>
      <c r="N52" s="164"/>
      <c r="O52" s="164"/>
      <c r="P52" s="164"/>
      <c r="S52" s="164"/>
      <c r="V52" s="164">
        <f t="shared" ref="V52:V57" si="9">U52*L52</f>
        <v>0</v>
      </c>
    </row>
    <row r="53" spans="2:22">
      <c r="B53" s="169" t="s">
        <v>33</v>
      </c>
      <c r="C53" s="546"/>
      <c r="D53" s="546"/>
      <c r="E53" s="546"/>
      <c r="F53" s="546"/>
      <c r="G53" s="546"/>
      <c r="H53" s="164"/>
      <c r="I53" s="164"/>
      <c r="J53" s="164"/>
      <c r="K53" s="164"/>
      <c r="L53" s="164">
        <f t="shared" si="4"/>
        <v>0</v>
      </c>
      <c r="M53" s="164"/>
      <c r="N53" s="164"/>
      <c r="O53" s="164"/>
      <c r="P53" s="164"/>
      <c r="S53" s="164"/>
      <c r="V53" s="164">
        <f t="shared" si="9"/>
        <v>0</v>
      </c>
    </row>
    <row r="54" spans="2:22">
      <c r="B54" s="169" t="s">
        <v>60</v>
      </c>
      <c r="C54" s="546">
        <v>50537</v>
      </c>
      <c r="D54" s="546"/>
      <c r="E54" s="546"/>
      <c r="F54" s="332">
        <v>3.61</v>
      </c>
      <c r="G54" s="332"/>
      <c r="H54" s="164">
        <f t="shared" si="3"/>
        <v>182438.57</v>
      </c>
      <c r="I54" s="164">
        <f>VLOOKUP($B$7,WNLA!A:B,2,FALSE)*(SUM(C54:E54)/SUM(C54:E54))</f>
        <v>0</v>
      </c>
      <c r="J54" s="164">
        <f>VLOOKUP($B$7,'Monthly # of Customers'!A:R,18,FALSE)*SUM(C54:E54)</f>
        <v>-197.9931427336864</v>
      </c>
      <c r="K54" s="162"/>
      <c r="L54" s="164">
        <f t="shared" si="4"/>
        <v>50339.006857266315</v>
      </c>
      <c r="M54" s="164"/>
      <c r="N54" s="164"/>
      <c r="O54" s="164"/>
      <c r="P54" s="164">
        <f>I54*G54</f>
        <v>0</v>
      </c>
      <c r="Q54" s="164">
        <f>J54*G54</f>
        <v>0</v>
      </c>
      <c r="R54" s="162">
        <f>K54*G54</f>
        <v>0</v>
      </c>
      <c r="S54" s="164">
        <f>H54+N54+O54+P54+Q54+R54</f>
        <v>182438.57</v>
      </c>
      <c r="U54" s="541">
        <f>'Proposed Rates'!F125</f>
        <v>4.2</v>
      </c>
      <c r="V54" s="164">
        <f t="shared" si="9"/>
        <v>211423.82880051853</v>
      </c>
    </row>
    <row r="55" spans="2:22">
      <c r="B55" s="169" t="s">
        <v>61</v>
      </c>
      <c r="C55" s="546">
        <v>53943</v>
      </c>
      <c r="D55" s="546"/>
      <c r="E55" s="546"/>
      <c r="F55" s="332">
        <v>2</v>
      </c>
      <c r="G55" s="332"/>
      <c r="H55" s="164">
        <f t="shared" si="3"/>
        <v>107886</v>
      </c>
      <c r="I55" s="164">
        <f>VLOOKUP($B$7,WNLA!A:B,2,FALSE)*(SUM(C55:E55)/SUM(C55:E55))</f>
        <v>0</v>
      </c>
      <c r="J55" s="164">
        <f>VLOOKUP($B$7,'Monthly # of Customers'!A:R,18,FALSE)*SUM(C55:E55)</f>
        <v>-211.33712128704207</v>
      </c>
      <c r="K55" s="162"/>
      <c r="L55" s="164">
        <f t="shared" si="4"/>
        <v>53731.662878712959</v>
      </c>
      <c r="M55" s="164"/>
      <c r="N55" s="164"/>
      <c r="O55" s="164"/>
      <c r="P55" s="164">
        <f>I55*G55</f>
        <v>0</v>
      </c>
      <c r="Q55" s="164">
        <f>J55*G55</f>
        <v>0</v>
      </c>
      <c r="R55" s="162">
        <f>K55*G55</f>
        <v>0</v>
      </c>
      <c r="S55" s="164">
        <f>H55+N55+O55+P55+Q55+R55</f>
        <v>107886</v>
      </c>
      <c r="U55" s="541">
        <f>'Proposed Rates'!F126</f>
        <v>2.33</v>
      </c>
      <c r="V55" s="164">
        <f t="shared" si="9"/>
        <v>125194.77450740121</v>
      </c>
    </row>
    <row r="56" spans="2:22">
      <c r="B56" s="169" t="s">
        <v>62</v>
      </c>
      <c r="C56" s="546">
        <v>560</v>
      </c>
      <c r="D56" s="546"/>
      <c r="E56" s="546"/>
      <c r="F56" s="332">
        <v>6.77</v>
      </c>
      <c r="G56" s="332"/>
      <c r="H56" s="164">
        <f t="shared" si="3"/>
        <v>3791.2</v>
      </c>
      <c r="I56" s="164">
        <f>VLOOKUP($B$7,WNLA!A:B,2,FALSE)*(SUM(C56:E56)/SUM(C56:E56))</f>
        <v>0</v>
      </c>
      <c r="J56" s="164">
        <f>VLOOKUP($B$7,'Monthly # of Customers'!A:R,18,FALSE)*SUM(C56:E56)</f>
        <v>-2.1939600674924189</v>
      </c>
      <c r="K56" s="162"/>
      <c r="L56" s="164">
        <f t="shared" si="4"/>
        <v>557.80603993250759</v>
      </c>
      <c r="M56" s="164"/>
      <c r="N56" s="164"/>
      <c r="O56" s="164"/>
      <c r="P56" s="164">
        <f>I56*G56</f>
        <v>0</v>
      </c>
      <c r="Q56" s="164">
        <f>J56*G56</f>
        <v>0</v>
      </c>
      <c r="R56" s="162">
        <f>K56*G56</f>
        <v>0</v>
      </c>
      <c r="S56" s="164">
        <f>H56+N56+O56+P56+Q56+R56</f>
        <v>3791.2</v>
      </c>
      <c r="U56" s="541">
        <f>'Proposed Rates'!F127</f>
        <v>7.87</v>
      </c>
      <c r="V56" s="164">
        <f t="shared" si="9"/>
        <v>4389.9335342688346</v>
      </c>
    </row>
    <row r="57" spans="2:22">
      <c r="C57" s="164"/>
      <c r="D57" s="164"/>
      <c r="E57" s="164"/>
      <c r="F57" s="164"/>
      <c r="G57" s="164"/>
      <c r="H57" s="164"/>
      <c r="I57" s="164"/>
      <c r="J57" s="164"/>
      <c r="K57" s="164"/>
      <c r="L57" s="164"/>
      <c r="M57" s="164"/>
      <c r="N57" s="164"/>
      <c r="O57" s="164"/>
      <c r="P57" s="164"/>
      <c r="S57" s="164"/>
      <c r="V57" s="164">
        <f t="shared" si="9"/>
        <v>0</v>
      </c>
    </row>
    <row r="58" spans="2:22">
      <c r="B58" s="169" t="s">
        <v>486</v>
      </c>
      <c r="C58" s="170"/>
      <c r="D58" s="170"/>
      <c r="E58" s="170"/>
      <c r="F58" s="170"/>
      <c r="G58" s="170"/>
      <c r="H58" s="164">
        <f>'B&amp;A Surcharges'!U17</f>
        <v>7629.6536099256018</v>
      </c>
      <c r="I58" s="164"/>
      <c r="J58" s="164"/>
      <c r="K58" s="164"/>
      <c r="L58" s="164"/>
      <c r="M58" s="164"/>
      <c r="N58" s="164"/>
      <c r="O58" s="164"/>
      <c r="P58" s="164"/>
      <c r="S58" s="164">
        <f>VLOOKUP(B7,'B&amp;A Surcharges'!A:U,21,FALSE)</f>
        <v>7629.6536099256018</v>
      </c>
      <c r="V58" s="170">
        <f>S58</f>
        <v>7629.6536099256018</v>
      </c>
    </row>
    <row r="59" spans="2:22">
      <c r="B59" s="150" t="s">
        <v>517</v>
      </c>
      <c r="C59" s="164">
        <v>37817168</v>
      </c>
      <c r="D59" s="164"/>
      <c r="E59" s="164">
        <f>SUM(E15:E50)</f>
        <v>37817167.570348337</v>
      </c>
      <c r="F59" s="203">
        <v>2.6120000000000001E-2</v>
      </c>
      <c r="G59" s="203"/>
      <c r="H59" s="164">
        <f>(C59*F59)+(E59*G59)</f>
        <v>987784.42816000001</v>
      </c>
      <c r="M59" s="532">
        <f>SUM(M15:M56)</f>
        <v>35957675.009450004</v>
      </c>
      <c r="N59" s="170"/>
      <c r="O59" s="170"/>
      <c r="P59" s="170"/>
      <c r="Q59" s="170"/>
      <c r="R59" s="170"/>
      <c r="S59" s="532">
        <f>H59</f>
        <v>987784.42816000001</v>
      </c>
      <c r="V59" s="532">
        <f>S59</f>
        <v>987784.42816000001</v>
      </c>
    </row>
    <row r="60" spans="2:22">
      <c r="B60" s="150" t="s">
        <v>14</v>
      </c>
      <c r="C60" s="164"/>
      <c r="D60" s="164"/>
      <c r="E60" s="164"/>
      <c r="F60" s="164"/>
      <c r="G60" s="164"/>
      <c r="H60" s="164">
        <f>VLOOKUP(B7,'B&amp;A Surcharges'!A:U,2,FALSE)</f>
        <v>1005977.2999999999</v>
      </c>
      <c r="I60" s="164"/>
      <c r="J60" s="164"/>
      <c r="K60" s="164"/>
      <c r="L60" s="164"/>
      <c r="M60" s="164"/>
      <c r="N60" s="164"/>
      <c r="O60" s="164"/>
      <c r="P60" s="164"/>
      <c r="S60" s="164"/>
      <c r="T60" s="168"/>
      <c r="U60" s="168"/>
    </row>
    <row r="61" spans="2:22">
      <c r="C61" s="164"/>
      <c r="D61" s="164"/>
      <c r="E61" s="164"/>
      <c r="F61" s="164"/>
      <c r="G61" s="164"/>
      <c r="I61" s="164"/>
      <c r="J61" s="164"/>
      <c r="K61" s="164"/>
      <c r="L61" s="164"/>
      <c r="M61" s="164"/>
      <c r="N61" s="164"/>
      <c r="O61" s="164"/>
      <c r="P61" s="164"/>
      <c r="S61" s="164"/>
    </row>
    <row r="62" spans="2:22">
      <c r="B62" s="150" t="s">
        <v>208</v>
      </c>
      <c r="C62" s="164"/>
      <c r="D62" s="164"/>
      <c r="E62" s="164"/>
      <c r="F62" s="164"/>
      <c r="G62" s="164"/>
      <c r="H62" s="164">
        <f>VLOOKUP(B7,'B&amp;A Surcharges'!A:U,16,FALSE)</f>
        <v>0</v>
      </c>
      <c r="I62" s="164"/>
      <c r="J62" s="164"/>
      <c r="K62" s="164"/>
      <c r="L62" s="164"/>
      <c r="M62" s="164"/>
      <c r="N62" s="164"/>
      <c r="O62" s="164"/>
      <c r="P62" s="164"/>
      <c r="S62" s="164"/>
    </row>
    <row r="63" spans="2:22">
      <c r="C63" s="164"/>
      <c r="D63" s="164"/>
      <c r="E63" s="164"/>
      <c r="F63" s="164"/>
      <c r="G63" s="164"/>
      <c r="I63" s="164"/>
      <c r="J63" s="164"/>
      <c r="K63" s="164"/>
      <c r="L63" s="164"/>
      <c r="M63" s="164"/>
      <c r="N63" s="164"/>
      <c r="O63" s="164"/>
      <c r="P63" s="164"/>
      <c r="S63" s="164"/>
    </row>
    <row r="64" spans="2:22">
      <c r="B64" s="150" t="s">
        <v>16</v>
      </c>
      <c r="C64" s="164"/>
      <c r="D64" s="164"/>
      <c r="E64" s="164"/>
      <c r="F64" s="164"/>
      <c r="G64" s="164"/>
      <c r="H64" s="164">
        <f>VLOOKUP(B7,'B&amp;A Surcharges'!A:U,4,FALSE)</f>
        <v>-12821</v>
      </c>
      <c r="I64" s="164"/>
      <c r="J64" s="164"/>
      <c r="K64" s="164"/>
      <c r="L64" s="164"/>
      <c r="M64" s="164"/>
      <c r="N64" s="164"/>
      <c r="O64" s="164"/>
      <c r="P64" s="164"/>
      <c r="S64" s="164"/>
    </row>
    <row r="65" spans="2:22">
      <c r="C65" s="164"/>
      <c r="D65" s="164"/>
      <c r="E65" s="164"/>
      <c r="F65" s="164"/>
      <c r="G65" s="164"/>
      <c r="H65" s="164"/>
      <c r="I65" s="164"/>
      <c r="J65" s="164"/>
      <c r="K65" s="164"/>
      <c r="L65" s="164"/>
      <c r="M65" s="164"/>
      <c r="N65" s="164"/>
      <c r="O65" s="164"/>
      <c r="P65" s="164"/>
      <c r="S65" s="164"/>
    </row>
    <row r="66" spans="2:22">
      <c r="B66" s="150" t="s">
        <v>161</v>
      </c>
      <c r="C66" s="164"/>
      <c r="D66" s="164"/>
      <c r="E66" s="164"/>
      <c r="F66" s="164"/>
      <c r="G66" s="164"/>
      <c r="H66" s="164">
        <f>VLOOKUP(B7,'B&amp;A Surcharges'!A:U,6,FALSE)</f>
        <v>43269.54065548387</v>
      </c>
      <c r="I66" s="164"/>
      <c r="J66" s="164"/>
      <c r="K66" s="164"/>
      <c r="L66" s="164"/>
      <c r="M66" s="164"/>
      <c r="N66" s="164"/>
      <c r="O66" s="164"/>
      <c r="P66" s="164"/>
      <c r="S66" s="164"/>
    </row>
    <row r="67" spans="2:22">
      <c r="C67" s="164"/>
      <c r="D67" s="164"/>
      <c r="E67" s="164"/>
      <c r="F67" s="164"/>
      <c r="G67" s="164"/>
      <c r="H67" s="164"/>
      <c r="I67" s="164"/>
      <c r="J67" s="164"/>
      <c r="K67" s="164"/>
      <c r="L67" s="164"/>
      <c r="M67" s="164"/>
      <c r="N67" s="164"/>
      <c r="O67" s="164"/>
      <c r="P67" s="164"/>
      <c r="S67" s="164"/>
    </row>
    <row r="68" spans="2:22">
      <c r="C68" s="164"/>
      <c r="D68" s="164"/>
      <c r="E68" s="164"/>
      <c r="F68" s="164"/>
      <c r="G68" s="164"/>
      <c r="H68" s="164"/>
      <c r="I68" s="164"/>
      <c r="J68" s="164"/>
      <c r="K68" s="164"/>
      <c r="L68" s="164"/>
      <c r="M68" s="164"/>
      <c r="Q68" s="150"/>
      <c r="R68" s="150"/>
    </row>
    <row r="69" spans="2:22">
      <c r="C69" s="164"/>
      <c r="D69" s="164"/>
      <c r="E69" s="164"/>
      <c r="F69" s="164"/>
      <c r="G69" s="164"/>
      <c r="H69" s="164"/>
      <c r="I69" s="164"/>
      <c r="J69" s="164"/>
      <c r="K69" s="164"/>
      <c r="L69" s="164"/>
      <c r="M69" s="164"/>
      <c r="N69" s="164"/>
      <c r="O69" s="164"/>
      <c r="P69" s="164"/>
      <c r="S69" s="164"/>
    </row>
    <row r="70" spans="2:22">
      <c r="B70" s="150" t="s">
        <v>15</v>
      </c>
      <c r="C70" s="164"/>
      <c r="D70" s="164"/>
      <c r="E70" s="164"/>
      <c r="F70" s="164"/>
      <c r="G70" s="164"/>
      <c r="H70" s="164">
        <f>VLOOKUP(B7,'B&amp;A Surcharges'!A:U,10,FALSE)</f>
        <v>544659.37</v>
      </c>
      <c r="I70" s="164"/>
      <c r="J70" s="164"/>
      <c r="K70" s="164"/>
      <c r="L70" s="164"/>
      <c r="M70" s="164"/>
      <c r="N70" s="164">
        <f>VLOOKUP(B7,'Envir FGD adj'!A:F,6,FALSE)</f>
        <v>-350997.43034523702</v>
      </c>
      <c r="O70" s="164"/>
      <c r="P70" s="164"/>
      <c r="S70" s="164">
        <f t="shared" ref="S70" si="10">N70+O70+P70+Q70</f>
        <v>-350997.43034523702</v>
      </c>
    </row>
    <row r="71" spans="2:22">
      <c r="C71" s="164"/>
      <c r="D71" s="164"/>
      <c r="E71" s="164"/>
      <c r="F71" s="164"/>
      <c r="G71" s="164"/>
      <c r="H71" s="164"/>
      <c r="I71" s="164"/>
      <c r="J71" s="164"/>
      <c r="K71" s="164"/>
      <c r="L71" s="164"/>
      <c r="M71" s="164"/>
      <c r="N71" s="164"/>
      <c r="O71" s="164"/>
      <c r="P71" s="164"/>
      <c r="S71" s="164"/>
    </row>
    <row r="72" spans="2:22">
      <c r="B72" s="150" t="s">
        <v>265</v>
      </c>
      <c r="C72" s="164"/>
      <c r="D72" s="164"/>
      <c r="E72" s="164"/>
      <c r="F72" s="164"/>
      <c r="G72" s="164"/>
      <c r="H72" s="164">
        <f>VLOOKUP(B7,'B&amp;A Surcharges'!A:U,12,FALSE)</f>
        <v>28420.841289032254</v>
      </c>
      <c r="I72" s="164"/>
      <c r="J72" s="164"/>
      <c r="K72" s="164"/>
      <c r="L72" s="164"/>
      <c r="M72" s="164"/>
      <c r="N72" s="164"/>
      <c r="O72" s="164"/>
      <c r="P72" s="164"/>
      <c r="S72" s="164"/>
    </row>
    <row r="73" spans="2:22">
      <c r="C73" s="164"/>
      <c r="D73" s="164"/>
      <c r="E73" s="164"/>
      <c r="F73" s="164"/>
      <c r="G73" s="164"/>
      <c r="H73" s="164"/>
      <c r="I73" s="164"/>
      <c r="J73" s="164"/>
      <c r="K73" s="164"/>
      <c r="L73" s="164"/>
      <c r="M73" s="164"/>
      <c r="N73" s="164"/>
      <c r="O73" s="164"/>
      <c r="P73" s="164"/>
      <c r="S73" s="164"/>
    </row>
    <row r="74" spans="2:22">
      <c r="B74" s="150" t="s">
        <v>329</v>
      </c>
      <c r="C74" s="164"/>
      <c r="D74" s="164"/>
      <c r="E74" s="164"/>
      <c r="F74" s="164"/>
      <c r="G74" s="164"/>
      <c r="H74" s="164">
        <f>VLOOKUP(B7,'B&amp;A Surcharges'!A:U,14,FALSE)</f>
        <v>563556.17999999993</v>
      </c>
      <c r="I74" s="164"/>
      <c r="J74" s="164"/>
      <c r="K74" s="164"/>
      <c r="L74" s="164"/>
      <c r="M74" s="164"/>
      <c r="N74" s="164"/>
      <c r="O74" s="164"/>
      <c r="P74" s="164"/>
      <c r="S74" s="164"/>
    </row>
    <row r="75" spans="2:22">
      <c r="C75" s="164"/>
      <c r="D75" s="164"/>
      <c r="E75" s="164"/>
      <c r="F75" s="164"/>
      <c r="G75" s="164"/>
      <c r="H75" s="164"/>
      <c r="I75" s="164"/>
      <c r="J75" s="164"/>
      <c r="K75" s="164"/>
      <c r="L75" s="164"/>
      <c r="M75" s="164"/>
      <c r="N75" s="164"/>
      <c r="O75" s="164"/>
      <c r="P75" s="164"/>
      <c r="S75" s="164"/>
    </row>
    <row r="76" spans="2:22">
      <c r="B76" s="150" t="s">
        <v>264</v>
      </c>
      <c r="C76" s="164"/>
      <c r="D76" s="164"/>
      <c r="E76" s="164"/>
      <c r="F76" s="164"/>
      <c r="G76" s="164"/>
      <c r="H76" s="164">
        <f>VLOOKUP(B7,'B&amp;A Surcharges'!A:U,18,FALSE)</f>
        <v>0</v>
      </c>
      <c r="I76" s="164"/>
      <c r="J76" s="164"/>
      <c r="K76" s="164"/>
      <c r="L76" s="164"/>
      <c r="M76" s="164"/>
      <c r="N76" s="164"/>
      <c r="O76" s="164"/>
      <c r="P76" s="164"/>
      <c r="S76" s="164"/>
    </row>
    <row r="77" spans="2:22">
      <c r="C77" s="164"/>
      <c r="D77" s="164"/>
      <c r="E77" s="164"/>
      <c r="F77" s="164"/>
      <c r="G77" s="164"/>
      <c r="H77" s="164"/>
      <c r="Q77" s="150"/>
      <c r="R77" s="150"/>
    </row>
    <row r="78" spans="2:22">
      <c r="B78" s="150" t="s">
        <v>346</v>
      </c>
      <c r="C78" s="164"/>
      <c r="D78" s="164"/>
      <c r="E78" s="164"/>
      <c r="F78" s="164"/>
      <c r="G78" s="164"/>
      <c r="H78" s="164">
        <f>VLOOKUP(B7,'B&amp;A Surcharges'!A:U,19,FALSE)</f>
        <v>-254480.01</v>
      </c>
      <c r="Q78" s="150"/>
      <c r="R78" s="150"/>
    </row>
    <row r="79" spans="2:22">
      <c r="B79" s="157"/>
      <c r="C79" s="165"/>
      <c r="D79" s="165"/>
      <c r="E79" s="165"/>
      <c r="F79" s="165"/>
      <c r="G79" s="165"/>
      <c r="H79" s="165"/>
      <c r="I79" s="165"/>
      <c r="J79" s="165"/>
      <c r="K79" s="165"/>
      <c r="L79" s="165"/>
      <c r="M79" s="165"/>
      <c r="N79" s="165"/>
      <c r="O79" s="165"/>
      <c r="P79" s="165"/>
      <c r="Q79" s="165"/>
      <c r="R79" s="165"/>
      <c r="S79" s="165"/>
      <c r="V79" s="157"/>
    </row>
    <row r="81" spans="2:22" s="168" customFormat="1">
      <c r="B81" s="168" t="s">
        <v>17</v>
      </c>
      <c r="H81" s="168">
        <f>SUM(H15:H78)</f>
        <v>10245675.303714443</v>
      </c>
      <c r="N81" s="168">
        <f t="shared" ref="N81:R81" si="11">SUM(N15:N78)</f>
        <v>-350997.43034523702</v>
      </c>
      <c r="O81" s="168">
        <f t="shared" si="11"/>
        <v>0</v>
      </c>
      <c r="P81" s="168">
        <f t="shared" si="11"/>
        <v>0</v>
      </c>
      <c r="Q81" s="168">
        <f>SUM(Q15:Q78)</f>
        <v>-153855.02999999988</v>
      </c>
      <c r="R81" s="168">
        <f t="shared" si="11"/>
        <v>0</v>
      </c>
      <c r="S81" s="168">
        <f>SUM(S15:S78)</f>
        <v>7822240.621424688</v>
      </c>
      <c r="T81" s="150"/>
      <c r="U81" s="150"/>
      <c r="V81" s="168">
        <f>SUM(V13:V79)</f>
        <v>9339072.9786121156</v>
      </c>
    </row>
    <row r="82" spans="2:22">
      <c r="H82" s="532"/>
      <c r="I82" s="532"/>
      <c r="J82" s="532"/>
      <c r="K82" s="532"/>
      <c r="L82" s="532"/>
      <c r="M82" s="532"/>
      <c r="N82" s="158"/>
      <c r="O82" s="158"/>
      <c r="S82" s="531"/>
    </row>
    <row r="83" spans="2:22">
      <c r="H83" s="186"/>
      <c r="I83" s="186"/>
      <c r="J83" s="186"/>
      <c r="K83" s="186"/>
      <c r="L83" s="186"/>
      <c r="M83" s="186"/>
      <c r="N83" s="186"/>
      <c r="O83" s="158"/>
    </row>
    <row r="84" spans="2:22">
      <c r="H84" s="158"/>
      <c r="I84" s="158"/>
      <c r="J84" s="158"/>
      <c r="K84" s="158"/>
      <c r="L84" s="158"/>
      <c r="M84" s="158"/>
      <c r="N84" s="158"/>
      <c r="O84" s="158"/>
    </row>
    <row r="85" spans="2:22">
      <c r="H85" s="160"/>
      <c r="I85" s="160"/>
      <c r="J85" s="160"/>
      <c r="K85" s="160"/>
      <c r="L85" s="160"/>
      <c r="M85" s="160"/>
      <c r="N85" s="160"/>
      <c r="O85" s="160"/>
    </row>
  </sheetData>
  <mergeCells count="2">
    <mergeCell ref="I8:K8"/>
    <mergeCell ref="N8:R8"/>
  </mergeCells>
  <pageMargins left="0.25" right="0.25" top="0.75" bottom="0.75" header="0.3" footer="0.3"/>
  <pageSetup paperSize="5" scale="7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AB81"/>
  <sheetViews>
    <sheetView zoomScale="80" zoomScaleNormal="80" workbookViewId="0">
      <pane xSplit="2" ySplit="12" topLeftCell="E13" activePane="bottomRight" state="frozen"/>
      <selection activeCell="N33" sqref="N33"/>
      <selection pane="topRight" activeCell="N33" sqref="N33"/>
      <selection pane="bottomLeft" activeCell="N33" sqref="N33"/>
      <selection pane="bottomRight" activeCell="N33" sqref="N33"/>
    </sheetView>
  </sheetViews>
  <sheetFormatPr defaultColWidth="9.140625" defaultRowHeight="11.25"/>
  <cols>
    <col min="1" max="1" width="2.5703125" style="150" customWidth="1"/>
    <col min="2" max="2" width="30" style="150" customWidth="1"/>
    <col min="3" max="14" width="12.85546875" style="150" customWidth="1"/>
    <col min="15" max="16" width="12.85546875" style="164" customWidth="1"/>
    <col min="17" max="17" width="12.85546875" style="150" customWidth="1"/>
    <col min="18" max="18" width="4.28515625" style="150" customWidth="1"/>
    <col min="19" max="20" width="12.85546875" style="150" customWidth="1"/>
    <col min="21" max="21" width="9.140625" style="150" customWidth="1"/>
    <col min="22" max="22" width="9.140625" style="150"/>
    <col min="23" max="23" width="12.140625" style="150" bestFit="1" customWidth="1"/>
    <col min="24" max="26" width="9.140625" style="150"/>
    <col min="27" max="27" width="11.85546875" style="150" bestFit="1" customWidth="1"/>
    <col min="28" max="16384" width="9.140625" style="150"/>
  </cols>
  <sheetData>
    <row r="1" spans="2:28">
      <c r="K1" s="547"/>
    </row>
    <row r="2" spans="2:28">
      <c r="B2" s="150" t="str">
        <f>RS!B2</f>
        <v>KENTUCKY POWER BILLING ANALYSIS</v>
      </c>
      <c r="G2" s="151"/>
      <c r="H2" s="151"/>
      <c r="I2" s="151"/>
      <c r="J2" s="151"/>
      <c r="K2" s="547"/>
    </row>
    <row r="3" spans="2:28">
      <c r="B3" s="150" t="str">
        <f>RS!B3</f>
        <v>PER BOOKS</v>
      </c>
      <c r="G3" s="531"/>
      <c r="H3" s="531"/>
      <c r="I3" s="531"/>
      <c r="J3" s="531"/>
      <c r="K3" s="547"/>
    </row>
    <row r="4" spans="2:28">
      <c r="B4" s="150" t="str">
        <f>RS!B4</f>
        <v>TEST YEAR ENDED MARCH 31, 2023</v>
      </c>
      <c r="K4" s="547"/>
    </row>
    <row r="5" spans="2:28">
      <c r="K5" s="547"/>
    </row>
    <row r="6" spans="2:28">
      <c r="B6" s="150" t="s">
        <v>63</v>
      </c>
      <c r="K6" s="547"/>
    </row>
    <row r="7" spans="2:28">
      <c r="B7" s="150" t="s">
        <v>36</v>
      </c>
      <c r="K7" s="547"/>
    </row>
    <row r="8" spans="2:28">
      <c r="E8" s="154"/>
      <c r="F8" s="154"/>
      <c r="H8" s="580" t="str">
        <f>RS!H8</f>
        <v>Unit Adjustments</v>
      </c>
      <c r="I8" s="580"/>
      <c r="J8" s="580"/>
      <c r="K8" s="533"/>
      <c r="L8" s="580" t="str">
        <f>RS!L8</f>
        <v>Base Revenues Adjustments</v>
      </c>
      <c r="M8" s="580"/>
      <c r="N8" s="580"/>
      <c r="O8" s="580"/>
      <c r="P8" s="580"/>
      <c r="Q8" s="154"/>
    </row>
    <row r="9" spans="2:28">
      <c r="B9" s="154"/>
      <c r="C9" s="154" t="str">
        <f>RS!C9</f>
        <v>Apr - Mar</v>
      </c>
      <c r="D9" s="154">
        <f>RS!D9</f>
        <v>0</v>
      </c>
      <c r="E9" s="154" t="str">
        <f>RS!E9</f>
        <v>Apr - Mar</v>
      </c>
      <c r="F9" s="154">
        <f>RS!F9</f>
        <v>0</v>
      </c>
      <c r="G9" s="154" t="str">
        <f>RS!G9</f>
        <v>Per Books</v>
      </c>
      <c r="H9" s="154" t="str">
        <f>RS!H9</f>
        <v>Weather</v>
      </c>
      <c r="I9" s="154" t="str">
        <f>RS!I9</f>
        <v>Customer</v>
      </c>
      <c r="J9" s="154" t="str">
        <f>RS!J9</f>
        <v>Customer</v>
      </c>
      <c r="K9" s="533" t="str">
        <f>RS!K9</f>
        <v>Adjusted</v>
      </c>
      <c r="L9" s="154" t="str">
        <f>RS!L9</f>
        <v>Enviro Sur</v>
      </c>
      <c r="M9" s="154" t="str">
        <f>RS!M9</f>
        <v>Rate</v>
      </c>
      <c r="N9" s="154" t="str">
        <f>RS!N9</f>
        <v>Weather</v>
      </c>
      <c r="O9" s="154" t="str">
        <f>RS!O9</f>
        <v>Customer</v>
      </c>
      <c r="P9" s="154" t="str">
        <f>RS!P9</f>
        <v>Customer</v>
      </c>
      <c r="Q9" s="154" t="str">
        <f>RS!Q9</f>
        <v>Adjusted Base</v>
      </c>
      <c r="S9" s="154" t="s">
        <v>170</v>
      </c>
      <c r="T9" s="154" t="s">
        <v>172</v>
      </c>
    </row>
    <row r="10" spans="2:28">
      <c r="B10" s="416" t="str">
        <f>RS!B10</f>
        <v>Description</v>
      </c>
      <c r="C10" s="416" t="str">
        <f>RS!C10</f>
        <v>Units</v>
      </c>
      <c r="D10" s="416">
        <f>RS!D10</f>
        <v>0</v>
      </c>
      <c r="E10" s="416" t="str">
        <f>RS!E10</f>
        <v>Rate</v>
      </c>
      <c r="F10" s="416">
        <f>RS!F10</f>
        <v>0</v>
      </c>
      <c r="G10" s="416" t="str">
        <f>RS!G10</f>
        <v>Revenue</v>
      </c>
      <c r="H10" s="416" t="str">
        <f>RS!H10</f>
        <v>Normalization</v>
      </c>
      <c r="I10" s="416" t="str">
        <f>RS!I10</f>
        <v>Annualization</v>
      </c>
      <c r="J10" s="416" t="str">
        <f>RS!J10</f>
        <v>Pro Forma</v>
      </c>
      <c r="K10" s="416" t="str">
        <f>RS!K10</f>
        <v>Units</v>
      </c>
      <c r="L10" s="416" t="str">
        <f>RS!L10</f>
        <v>Excl FGD</v>
      </c>
      <c r="M10" s="416" t="str">
        <f>RS!M10</f>
        <v>Annualization</v>
      </c>
      <c r="N10" s="416" t="str">
        <f>RS!N10</f>
        <v>Normalization</v>
      </c>
      <c r="O10" s="416" t="str">
        <f>RS!O10</f>
        <v>Annualization</v>
      </c>
      <c r="P10" s="416" t="str">
        <f>RS!P10</f>
        <v>Pro Forma</v>
      </c>
      <c r="Q10" s="416" t="str">
        <f>RS!Q10</f>
        <v>Revenue</v>
      </c>
      <c r="S10" s="416" t="s">
        <v>532</v>
      </c>
      <c r="T10" s="416" t="s">
        <v>6</v>
      </c>
    </row>
    <row r="11" spans="2:28">
      <c r="B11" s="534" t="str">
        <f>RS!B11</f>
        <v>(1)</v>
      </c>
      <c r="C11" s="534" t="str">
        <f>RS!C11</f>
        <v>(2)</v>
      </c>
      <c r="D11" s="534" t="str">
        <f>RS!D11</f>
        <v>(3)</v>
      </c>
      <c r="E11" s="535" t="str">
        <f>RS!E11</f>
        <v>(4)</v>
      </c>
      <c r="F11" s="534" t="str">
        <f>RS!F11</f>
        <v>(5)</v>
      </c>
      <c r="G11" s="534" t="str">
        <f>RS!G11</f>
        <v>(6)</v>
      </c>
      <c r="H11" s="534" t="str">
        <f>RS!H11</f>
        <v>(7)</v>
      </c>
      <c r="I11" s="534" t="str">
        <f>RS!I11</f>
        <v>(8)</v>
      </c>
      <c r="J11" s="534" t="str">
        <f>RS!J11</f>
        <v>(9)</v>
      </c>
      <c r="K11" s="534" t="str">
        <f>RS!K11</f>
        <v>(10)</v>
      </c>
      <c r="L11" s="534" t="str">
        <f>RS!L11</f>
        <v>(11)</v>
      </c>
      <c r="M11" s="536" t="str">
        <f>RS!M11</f>
        <v>(12)</v>
      </c>
      <c r="N11" s="534" t="str">
        <f>RS!N11</f>
        <v>(13)</v>
      </c>
      <c r="O11" s="536" t="str">
        <f>RS!O11</f>
        <v>(14)</v>
      </c>
      <c r="P11" s="537" t="str">
        <f>RS!P11</f>
        <v>(15)</v>
      </c>
      <c r="Q11" s="537" t="str">
        <f>RS!Q11</f>
        <v>(16)</v>
      </c>
    </row>
    <row r="12" spans="2:28">
      <c r="C12" s="164"/>
      <c r="D12" s="164"/>
      <c r="E12" s="164"/>
      <c r="F12" s="164"/>
      <c r="G12" s="164"/>
      <c r="H12" s="164"/>
      <c r="I12" s="164"/>
      <c r="J12" s="164"/>
      <c r="K12" s="164"/>
      <c r="L12" s="164"/>
      <c r="M12" s="164"/>
      <c r="N12" s="164"/>
      <c r="Q12" s="164"/>
    </row>
    <row r="13" spans="2:28">
      <c r="B13" s="169"/>
      <c r="S13" s="203"/>
      <c r="T13" s="164"/>
    </row>
    <row r="14" spans="2:28">
      <c r="B14" s="169" t="s">
        <v>29</v>
      </c>
      <c r="S14" s="203"/>
      <c r="T14" s="164"/>
    </row>
    <row r="15" spans="2:28">
      <c r="B15" s="169" t="s">
        <v>64</v>
      </c>
      <c r="C15" s="548">
        <v>90012</v>
      </c>
      <c r="D15" s="548"/>
      <c r="E15" s="549">
        <v>7.61</v>
      </c>
      <c r="F15" s="549"/>
      <c r="G15" s="164">
        <f>(C15*E15)+(D15*F15)</f>
        <v>684991.32000000007</v>
      </c>
      <c r="H15" s="164">
        <f>VLOOKUP($B$7,WNLA!A:B,2,FALSE)*IF(SUM(C15:D15)=0,0,SUM(C15:D15)/SUM(C15:D15))</f>
        <v>0</v>
      </c>
      <c r="I15" s="164">
        <f>VLOOKUP($B$7,'Monthly # of Customers'!A:R,18,FALSE)*SUM(C15:D15)</f>
        <v>72.956917513560697</v>
      </c>
      <c r="J15" s="162"/>
      <c r="K15" s="164">
        <f>C15+D15+H15+I15+J15</f>
        <v>90084.956917513555</v>
      </c>
      <c r="L15" s="164"/>
      <c r="M15" s="164"/>
      <c r="N15" s="164">
        <f>H15*F15</f>
        <v>0</v>
      </c>
      <c r="O15" s="164">
        <f>I15*E15</f>
        <v>555.2021422781969</v>
      </c>
      <c r="P15" s="162">
        <f>J15*F15</f>
        <v>0</v>
      </c>
      <c r="Q15" s="164">
        <f>G15+L15+M15+N15+O15+P15</f>
        <v>685546.52214227826</v>
      </c>
      <c r="S15" s="162">
        <f>'Proposed Rates'!F133</f>
        <v>8.49</v>
      </c>
      <c r="T15" s="164">
        <f t="shared" ref="T15:T51" si="0">S15*K15</f>
        <v>764821.28422969009</v>
      </c>
      <c r="X15" s="532"/>
      <c r="Z15" s="532"/>
      <c r="AA15" s="532"/>
      <c r="AB15" s="550"/>
    </row>
    <row r="16" spans="2:28">
      <c r="B16" s="169" t="s">
        <v>65</v>
      </c>
      <c r="C16" s="548">
        <v>1200</v>
      </c>
      <c r="D16" s="548"/>
      <c r="E16" s="549">
        <v>8.36</v>
      </c>
      <c r="F16" s="549"/>
      <c r="G16" s="164">
        <f t="shared" ref="G16:G38" si="1">(C16*E16)+(D16*F16)</f>
        <v>10032</v>
      </c>
      <c r="H16" s="164">
        <f>VLOOKUP($B$7,WNLA!A:B,2,FALSE)*IF(SUM(C16:D16)=0,0,SUM(C16:D16)/SUM(C16:D16))</f>
        <v>0</v>
      </c>
      <c r="I16" s="164">
        <f>VLOOKUP($B$7,'Monthly # of Customers'!A:R,18,FALSE)*SUM(C16:D16)</f>
        <v>0.97262921628530463</v>
      </c>
      <c r="J16" s="162"/>
      <c r="K16" s="164">
        <f t="shared" ref="K16:K30" si="2">C16+D16+H16+I16+J16</f>
        <v>1200.9726292162852</v>
      </c>
      <c r="L16" s="164"/>
      <c r="M16" s="164"/>
      <c r="N16" s="164">
        <f t="shared" ref="N16:N30" si="3">H16*F16</f>
        <v>0</v>
      </c>
      <c r="O16" s="164">
        <f t="shared" ref="O16:O49" si="4">I16*E16</f>
        <v>8.1311802481451458</v>
      </c>
      <c r="P16" s="162">
        <f t="shared" ref="P16:P30" si="5">J16*F16</f>
        <v>0</v>
      </c>
      <c r="Q16" s="164">
        <f>G16+L16+M16+N16+O16+P16</f>
        <v>10040.131180248145</v>
      </c>
      <c r="S16" s="162">
        <f>'Proposed Rates'!F134</f>
        <v>9.32</v>
      </c>
      <c r="T16" s="164">
        <f t="shared" si="0"/>
        <v>11193.064904295779</v>
      </c>
      <c r="X16" s="532"/>
      <c r="Z16" s="532"/>
      <c r="AA16" s="532"/>
      <c r="AB16" s="550"/>
    </row>
    <row r="17" spans="2:28">
      <c r="B17" s="169" t="s">
        <v>66</v>
      </c>
      <c r="C17" s="548">
        <v>26652</v>
      </c>
      <c r="D17" s="548"/>
      <c r="E17" s="549">
        <v>9.9</v>
      </c>
      <c r="F17" s="549"/>
      <c r="G17" s="164">
        <f t="shared" si="1"/>
        <v>263854.8</v>
      </c>
      <c r="H17" s="164">
        <f>VLOOKUP($B$7,WNLA!A:B,2,FALSE)*IF(SUM(C17:D17)=0,0,SUM(C17:D17)/SUM(C17:D17))</f>
        <v>0</v>
      </c>
      <c r="I17" s="164">
        <f>VLOOKUP($B$7,'Monthly # of Customers'!A:R,18,FALSE)*SUM(C17:D17)</f>
        <v>21.602094893696616</v>
      </c>
      <c r="J17" s="162"/>
      <c r="K17" s="164">
        <f t="shared" si="2"/>
        <v>26673.602094893697</v>
      </c>
      <c r="L17" s="164"/>
      <c r="M17" s="164"/>
      <c r="N17" s="164">
        <f t="shared" si="3"/>
        <v>0</v>
      </c>
      <c r="O17" s="164">
        <f t="shared" si="4"/>
        <v>213.8607394475965</v>
      </c>
      <c r="P17" s="162">
        <f t="shared" si="5"/>
        <v>0</v>
      </c>
      <c r="Q17" s="164">
        <f t="shared" ref="Q17:Q30" si="6">G17+L17+M17+N17+O17+P17</f>
        <v>264068.66073944757</v>
      </c>
      <c r="S17" s="162">
        <f>'Proposed Rates'!F135</f>
        <v>11.04</v>
      </c>
      <c r="T17" s="164">
        <f t="shared" si="0"/>
        <v>294476.56712762639</v>
      </c>
      <c r="X17" s="532"/>
      <c r="Z17" s="532"/>
      <c r="AA17" s="532"/>
      <c r="AB17" s="550"/>
    </row>
    <row r="18" spans="2:28">
      <c r="B18" s="169" t="s">
        <v>67</v>
      </c>
      <c r="C18" s="548">
        <v>6252</v>
      </c>
      <c r="D18" s="548"/>
      <c r="E18" s="549">
        <v>13</v>
      </c>
      <c r="F18" s="549"/>
      <c r="G18" s="164">
        <f t="shared" si="1"/>
        <v>81276</v>
      </c>
      <c r="H18" s="164">
        <f>VLOOKUP($B$7,WNLA!A:B,2,FALSE)*IF(SUM(C18:D18)=0,0,SUM(C18:D18)/SUM(C18:D18))</f>
        <v>0</v>
      </c>
      <c r="I18" s="164">
        <f>VLOOKUP($B$7,'Monthly # of Customers'!A:R,18,FALSE)*SUM(C18:D18)</f>
        <v>5.0673982168464367</v>
      </c>
      <c r="J18" s="162"/>
      <c r="K18" s="164">
        <f t="shared" si="2"/>
        <v>6257.0673982168464</v>
      </c>
      <c r="L18" s="164"/>
      <c r="M18" s="164"/>
      <c r="N18" s="164">
        <f t="shared" si="3"/>
        <v>0</v>
      </c>
      <c r="O18" s="164">
        <f t="shared" si="4"/>
        <v>65.876176819003675</v>
      </c>
      <c r="P18" s="162">
        <f t="shared" si="5"/>
        <v>0</v>
      </c>
      <c r="Q18" s="164">
        <f t="shared" si="6"/>
        <v>81341.876176819002</v>
      </c>
      <c r="S18" s="162">
        <f>'Proposed Rates'!F136</f>
        <v>14.5</v>
      </c>
      <c r="T18" s="164">
        <f t="shared" si="0"/>
        <v>90727.477274144272</v>
      </c>
      <c r="X18" s="532"/>
      <c r="Z18" s="532"/>
      <c r="AA18" s="532"/>
      <c r="AB18" s="550"/>
    </row>
    <row r="19" spans="2:28">
      <c r="B19" s="169"/>
      <c r="C19" s="548"/>
      <c r="D19" s="548"/>
      <c r="E19" s="549"/>
      <c r="F19" s="549"/>
      <c r="G19" s="164"/>
      <c r="H19" s="164"/>
      <c r="I19" s="164"/>
      <c r="J19" s="162"/>
      <c r="K19" s="164"/>
      <c r="L19" s="164"/>
      <c r="M19" s="164"/>
      <c r="N19" s="164"/>
      <c r="P19" s="162"/>
      <c r="Q19" s="164"/>
      <c r="S19" s="162"/>
      <c r="T19" s="164"/>
      <c r="X19" s="532"/>
      <c r="Z19" s="532"/>
      <c r="AA19" s="532"/>
      <c r="AB19" s="550"/>
    </row>
    <row r="20" spans="2:28" ht="9" customHeight="1">
      <c r="B20" s="169" t="s">
        <v>615</v>
      </c>
      <c r="C20" s="548">
        <v>3504</v>
      </c>
      <c r="D20" s="548"/>
      <c r="E20" s="549">
        <v>8.7100000000000009</v>
      </c>
      <c r="F20" s="549"/>
      <c r="G20" s="164">
        <f t="shared" si="1"/>
        <v>30519.840000000004</v>
      </c>
      <c r="H20" s="164"/>
      <c r="I20" s="164">
        <f>VLOOKUP($B$7,'Monthly # of Customers'!A:R,18,FALSE)*SUM(C20:D20)</f>
        <v>2.8400773115530895</v>
      </c>
      <c r="J20" s="162"/>
      <c r="K20" s="164">
        <f t="shared" si="2"/>
        <v>3506.8400773115532</v>
      </c>
      <c r="L20" s="164"/>
      <c r="M20" s="164"/>
      <c r="N20" s="164"/>
      <c r="O20" s="164">
        <f t="shared" si="4"/>
        <v>24.737073383627411</v>
      </c>
      <c r="P20" s="162"/>
      <c r="Q20" s="164">
        <f t="shared" si="6"/>
        <v>30544.577073383633</v>
      </c>
      <c r="S20" s="162">
        <f>'Proposed Rates'!F163</f>
        <v>9.7100000000000009</v>
      </c>
      <c r="T20" s="164">
        <f t="shared" si="0"/>
        <v>34051.417150695182</v>
      </c>
      <c r="X20" s="532"/>
      <c r="Z20" s="532"/>
      <c r="AA20" s="532"/>
      <c r="AB20" s="550"/>
    </row>
    <row r="21" spans="2:28">
      <c r="B21" s="169" t="s">
        <v>616</v>
      </c>
      <c r="C21" s="548">
        <v>132</v>
      </c>
      <c r="D21" s="548"/>
      <c r="E21" s="549">
        <v>11.19</v>
      </c>
      <c r="F21" s="549"/>
      <c r="G21" s="164">
        <f t="shared" si="1"/>
        <v>1477.08</v>
      </c>
      <c r="H21" s="164"/>
      <c r="I21" s="164">
        <f>VLOOKUP($B$7,'Monthly # of Customers'!A:R,18,FALSE)*SUM(C21:D21)</f>
        <v>0.10698921379138351</v>
      </c>
      <c r="J21" s="162"/>
      <c r="K21" s="164">
        <f t="shared" si="2"/>
        <v>132.10698921379139</v>
      </c>
      <c r="L21" s="164"/>
      <c r="M21" s="164"/>
      <c r="N21" s="164"/>
      <c r="O21" s="164">
        <f t="shared" si="4"/>
        <v>1.1972093023255814</v>
      </c>
      <c r="P21" s="162"/>
      <c r="Q21" s="164">
        <f t="shared" si="6"/>
        <v>1478.2772093023254</v>
      </c>
      <c r="S21" s="162">
        <f>'Proposed Rates'!F164</f>
        <v>12.48</v>
      </c>
      <c r="T21" s="164">
        <f t="shared" si="0"/>
        <v>1648.6952253881166</v>
      </c>
      <c r="X21" s="532"/>
      <c r="Z21" s="532"/>
      <c r="AA21" s="532"/>
      <c r="AB21" s="550"/>
    </row>
    <row r="22" spans="2:28">
      <c r="B22" s="169" t="s">
        <v>617</v>
      </c>
      <c r="C22" s="548">
        <v>120</v>
      </c>
      <c r="D22" s="548"/>
      <c r="E22" s="549">
        <v>13.34</v>
      </c>
      <c r="F22" s="549"/>
      <c r="G22" s="164">
        <f t="shared" si="1"/>
        <v>1600.8</v>
      </c>
      <c r="H22" s="164"/>
      <c r="I22" s="164">
        <f>VLOOKUP($B$7,'Monthly # of Customers'!A:R,18,FALSE)*SUM(C22:D22)</f>
        <v>9.7262921628530466E-2</v>
      </c>
      <c r="J22" s="162"/>
      <c r="K22" s="164">
        <f t="shared" si="2"/>
        <v>120.09726292162853</v>
      </c>
      <c r="L22" s="164"/>
      <c r="M22" s="164"/>
      <c r="N22" s="164"/>
      <c r="O22" s="164">
        <f t="shared" si="4"/>
        <v>1.2974873745245965</v>
      </c>
      <c r="P22" s="162"/>
      <c r="Q22" s="164">
        <f t="shared" si="6"/>
        <v>1602.0974873745245</v>
      </c>
      <c r="S22" s="162">
        <f>'Proposed Rates'!F165</f>
        <v>14.87</v>
      </c>
      <c r="T22" s="164">
        <f t="shared" si="0"/>
        <v>1785.846299644616</v>
      </c>
      <c r="X22" s="532"/>
      <c r="Z22" s="532"/>
      <c r="AA22" s="532"/>
      <c r="AB22" s="550"/>
    </row>
    <row r="23" spans="2:28">
      <c r="B23" s="169" t="s">
        <v>618</v>
      </c>
      <c r="C23" s="548">
        <v>1104</v>
      </c>
      <c r="D23" s="548"/>
      <c r="E23" s="549">
        <v>9.0500000000000007</v>
      </c>
      <c r="F23" s="549"/>
      <c r="G23" s="164">
        <f t="shared" si="1"/>
        <v>9991.2000000000007</v>
      </c>
      <c r="H23" s="164"/>
      <c r="I23" s="164">
        <f>VLOOKUP($B$7,'Monthly # of Customers'!A:R,18,FALSE)*SUM(C23:D23)</f>
        <v>0.89481887898248025</v>
      </c>
      <c r="J23" s="162"/>
      <c r="K23" s="164">
        <f t="shared" si="2"/>
        <v>1104.8948188789825</v>
      </c>
      <c r="L23" s="164"/>
      <c r="M23" s="164"/>
      <c r="N23" s="164"/>
      <c r="O23" s="164">
        <f t="shared" si="4"/>
        <v>8.0981108547914467</v>
      </c>
      <c r="P23" s="162"/>
      <c r="Q23" s="164">
        <f t="shared" si="6"/>
        <v>9999.298110854792</v>
      </c>
      <c r="S23" s="162">
        <f>'Proposed Rates'!F166</f>
        <v>10.09</v>
      </c>
      <c r="T23" s="164">
        <f t="shared" si="0"/>
        <v>11148.388722488933</v>
      </c>
      <c r="X23" s="532"/>
      <c r="Z23" s="532"/>
      <c r="AA23" s="532"/>
      <c r="AB23" s="550"/>
    </row>
    <row r="24" spans="2:28">
      <c r="B24" s="169" t="s">
        <v>619</v>
      </c>
      <c r="C24" s="548"/>
      <c r="D24" s="548"/>
      <c r="E24" s="549">
        <v>20.07</v>
      </c>
      <c r="F24" s="549"/>
      <c r="G24" s="164">
        <f t="shared" si="1"/>
        <v>0</v>
      </c>
      <c r="H24" s="164"/>
      <c r="I24" s="164">
        <f>VLOOKUP($B$7,'Monthly # of Customers'!A:R,18,FALSE)*SUM(C24:D24)</f>
        <v>0</v>
      </c>
      <c r="J24" s="162"/>
      <c r="K24" s="164">
        <f t="shared" si="2"/>
        <v>0</v>
      </c>
      <c r="L24" s="164"/>
      <c r="M24" s="164"/>
      <c r="N24" s="164"/>
      <c r="O24" s="164">
        <f t="shared" si="4"/>
        <v>0</v>
      </c>
      <c r="P24" s="162"/>
      <c r="Q24" s="164">
        <f t="shared" si="6"/>
        <v>0</v>
      </c>
      <c r="S24" s="162"/>
      <c r="T24" s="164">
        <f t="shared" si="0"/>
        <v>0</v>
      </c>
      <c r="X24" s="532"/>
      <c r="Z24" s="532"/>
      <c r="AA24" s="532"/>
      <c r="AB24" s="550"/>
    </row>
    <row r="25" spans="2:28">
      <c r="B25" s="169" t="s">
        <v>620</v>
      </c>
      <c r="C25" s="548"/>
      <c r="D25" s="548"/>
      <c r="E25" s="549">
        <v>14.69</v>
      </c>
      <c r="F25" s="549"/>
      <c r="G25" s="164">
        <f t="shared" si="1"/>
        <v>0</v>
      </c>
      <c r="H25" s="164"/>
      <c r="I25" s="164">
        <f>VLOOKUP($B$7,'Monthly # of Customers'!A:R,18,FALSE)*SUM(C25:D25)</f>
        <v>0</v>
      </c>
      <c r="J25" s="162"/>
      <c r="K25" s="164">
        <f t="shared" si="2"/>
        <v>0</v>
      </c>
      <c r="L25" s="164"/>
      <c r="M25" s="164"/>
      <c r="N25" s="164"/>
      <c r="O25" s="164">
        <f t="shared" si="4"/>
        <v>0</v>
      </c>
      <c r="P25" s="162"/>
      <c r="Q25" s="164">
        <f t="shared" si="6"/>
        <v>0</v>
      </c>
      <c r="S25" s="162"/>
      <c r="T25" s="164">
        <f t="shared" si="0"/>
        <v>0</v>
      </c>
      <c r="X25" s="532"/>
      <c r="Z25" s="532"/>
      <c r="AA25" s="532"/>
      <c r="AB25" s="550"/>
    </row>
    <row r="26" spans="2:28">
      <c r="B26" s="169"/>
      <c r="C26" s="474"/>
      <c r="D26" s="548"/>
      <c r="E26" s="549"/>
      <c r="F26" s="549"/>
      <c r="G26" s="164"/>
      <c r="H26" s="164"/>
      <c r="I26" s="164"/>
      <c r="J26" s="162"/>
      <c r="K26" s="164"/>
      <c r="L26" s="164"/>
      <c r="M26" s="164"/>
      <c r="N26" s="164"/>
      <c r="O26" s="164">
        <f t="shared" si="4"/>
        <v>0</v>
      </c>
      <c r="P26" s="162"/>
      <c r="Q26" s="164"/>
      <c r="S26" s="162"/>
      <c r="T26" s="164"/>
      <c r="X26" s="532"/>
      <c r="Z26" s="532"/>
      <c r="AA26" s="532"/>
      <c r="AB26" s="550"/>
    </row>
    <row r="27" spans="2:28">
      <c r="B27" s="169" t="s">
        <v>133</v>
      </c>
      <c r="C27" s="474"/>
      <c r="D27" s="548"/>
      <c r="E27" s="549"/>
      <c r="F27" s="549"/>
      <c r="G27" s="164"/>
      <c r="H27" s="164"/>
      <c r="I27" s="164"/>
      <c r="J27" s="162"/>
      <c r="K27" s="164"/>
      <c r="L27" s="164"/>
      <c r="M27" s="164"/>
      <c r="N27" s="164"/>
      <c r="O27" s="164">
        <f t="shared" si="4"/>
        <v>0</v>
      </c>
      <c r="P27" s="162"/>
      <c r="Q27" s="164"/>
      <c r="S27" s="162"/>
      <c r="T27" s="164"/>
      <c r="X27" s="532"/>
      <c r="Z27" s="532"/>
      <c r="AA27" s="532"/>
      <c r="AB27" s="550"/>
    </row>
    <row r="28" spans="2:28">
      <c r="B28" s="169" t="s">
        <v>64</v>
      </c>
      <c r="C28" s="548">
        <v>5316</v>
      </c>
      <c r="D28" s="548"/>
      <c r="E28" s="549">
        <v>11.9</v>
      </c>
      <c r="F28" s="549"/>
      <c r="G28" s="164">
        <f t="shared" si="1"/>
        <v>63260.4</v>
      </c>
      <c r="H28" s="164">
        <f>VLOOKUP($B$7,WNLA!A:B,2,FALSE)*IF(SUM(C28:D28)=0,0,SUM(C28:D28)/SUM(C28:D28))</f>
        <v>0</v>
      </c>
      <c r="I28" s="164">
        <f>VLOOKUP($B$7,'Monthly # of Customers'!A:R,18,FALSE)*SUM(C28:D28)</f>
        <v>4.3087474281438993</v>
      </c>
      <c r="J28" s="162"/>
      <c r="K28" s="164">
        <f t="shared" ref="K28" si="7">C28+D28+H28+I28+J28</f>
        <v>5320.3087474281438</v>
      </c>
      <c r="L28" s="164"/>
      <c r="M28" s="164"/>
      <c r="N28" s="164">
        <f t="shared" ref="N28" si="8">H28*F28</f>
        <v>0</v>
      </c>
      <c r="O28" s="164">
        <f t="shared" si="4"/>
        <v>51.274094394912403</v>
      </c>
      <c r="P28" s="162">
        <f t="shared" ref="P28" si="9">J28*F28</f>
        <v>0</v>
      </c>
      <c r="Q28" s="164">
        <f t="shared" ref="Q28" si="10">G28+L28+M28+N28+O28+P28</f>
        <v>63311.674094394912</v>
      </c>
      <c r="S28" s="162">
        <f>'Proposed Rates'!F140</f>
        <v>13.27</v>
      </c>
      <c r="T28" s="164">
        <f t="shared" si="0"/>
        <v>70600.497078371467</v>
      </c>
      <c r="X28" s="532"/>
      <c r="Z28" s="532"/>
      <c r="AA28" s="532"/>
      <c r="AB28" s="550"/>
    </row>
    <row r="29" spans="2:28">
      <c r="B29" s="169" t="s">
        <v>65</v>
      </c>
      <c r="C29" s="548">
        <v>312</v>
      </c>
      <c r="D29" s="548"/>
      <c r="E29" s="549">
        <v>12.75</v>
      </c>
      <c r="F29" s="549"/>
      <c r="G29" s="164">
        <f t="shared" si="1"/>
        <v>3978</v>
      </c>
      <c r="H29" s="164">
        <f>VLOOKUP($B$7,WNLA!A:B,2,FALSE)*IF(SUM(C29:D29)=0,0,SUM(C29:D29)/SUM(C29:D29))</f>
        <v>0</v>
      </c>
      <c r="I29" s="164">
        <f>VLOOKUP($B$7,'Monthly # of Customers'!A:R,18,FALSE)*SUM(C29:D29)</f>
        <v>0.25288359623417922</v>
      </c>
      <c r="J29" s="162"/>
      <c r="K29" s="164">
        <f t="shared" si="2"/>
        <v>312.2528835962342</v>
      </c>
      <c r="L29" s="164"/>
      <c r="M29" s="164"/>
      <c r="N29" s="164">
        <f t="shared" si="3"/>
        <v>0</v>
      </c>
      <c r="O29" s="164">
        <f t="shared" si="4"/>
        <v>3.224265851985785</v>
      </c>
      <c r="P29" s="162">
        <f t="shared" si="5"/>
        <v>0</v>
      </c>
      <c r="Q29" s="164">
        <f t="shared" si="6"/>
        <v>3981.2242658519858</v>
      </c>
      <c r="S29" s="162">
        <f>'Proposed Rates'!F141</f>
        <v>14.22</v>
      </c>
      <c r="T29" s="164">
        <f t="shared" si="0"/>
        <v>4440.2360047384509</v>
      </c>
      <c r="X29" s="532"/>
      <c r="Z29" s="532"/>
      <c r="AA29" s="532"/>
      <c r="AB29" s="550"/>
    </row>
    <row r="30" spans="2:28">
      <c r="B30" s="169" t="s">
        <v>66</v>
      </c>
      <c r="C30" s="548">
        <v>6300</v>
      </c>
      <c r="D30" s="548"/>
      <c r="E30" s="549">
        <v>14.3</v>
      </c>
      <c r="F30" s="549"/>
      <c r="G30" s="164">
        <f t="shared" si="1"/>
        <v>90090</v>
      </c>
      <c r="H30" s="164">
        <f>VLOOKUP($B$7,WNLA!A:B,2,FALSE)*IF(SUM(C30:D30)=0,0,SUM(C30:D30)/SUM(C30:D30))</f>
        <v>0</v>
      </c>
      <c r="I30" s="164">
        <f>VLOOKUP($B$7,'Monthly # of Customers'!A:R,18,FALSE)*SUM(C30:D30)</f>
        <v>5.1063033854978492</v>
      </c>
      <c r="J30" s="162"/>
      <c r="K30" s="164">
        <f t="shared" si="2"/>
        <v>6305.106303385498</v>
      </c>
      <c r="L30" s="164"/>
      <c r="M30" s="164"/>
      <c r="N30" s="164">
        <f t="shared" si="3"/>
        <v>0</v>
      </c>
      <c r="O30" s="164">
        <f t="shared" si="4"/>
        <v>73.020138412619247</v>
      </c>
      <c r="P30" s="162">
        <f t="shared" si="5"/>
        <v>0</v>
      </c>
      <c r="Q30" s="164">
        <f t="shared" si="6"/>
        <v>90163.020138412612</v>
      </c>
      <c r="S30" s="162">
        <f>'Proposed Rates'!F142</f>
        <v>15.94</v>
      </c>
      <c r="T30" s="164">
        <f t="shared" si="0"/>
        <v>100503.39447596483</v>
      </c>
      <c r="X30" s="532"/>
      <c r="Z30" s="532"/>
      <c r="AA30" s="532"/>
      <c r="AB30" s="550"/>
    </row>
    <row r="31" spans="2:28">
      <c r="B31" s="169" t="s">
        <v>67</v>
      </c>
      <c r="C31" s="548">
        <v>1548</v>
      </c>
      <c r="D31" s="548"/>
      <c r="E31" s="549">
        <v>18.350000000000001</v>
      </c>
      <c r="F31" s="549"/>
      <c r="G31" s="164">
        <f t="shared" si="1"/>
        <v>28405.800000000003</v>
      </c>
      <c r="H31" s="164">
        <f>VLOOKUP($B$7,WNLA!A:B,2,FALSE)*IF(SUM(C31:D31)=0,0,SUM(C31:D31)/SUM(C31:D31))</f>
        <v>0</v>
      </c>
      <c r="I31" s="164">
        <f>VLOOKUP($B$7,'Monthly # of Customers'!A:R,18,FALSE)*SUM(C31:D31)</f>
        <v>1.2546916890080431</v>
      </c>
      <c r="J31" s="162"/>
      <c r="K31" s="164">
        <f t="shared" ref="K31:K38" si="11">C31+D31+H31+I31+J31</f>
        <v>1549.254691689008</v>
      </c>
      <c r="L31" s="164"/>
      <c r="M31" s="164"/>
      <c r="N31" s="164">
        <f t="shared" ref="N31" si="12">H31*F31</f>
        <v>0</v>
      </c>
      <c r="O31" s="164">
        <f t="shared" si="4"/>
        <v>23.023592493297592</v>
      </c>
      <c r="P31" s="162">
        <f t="shared" ref="P31" si="13">J31*F31</f>
        <v>0</v>
      </c>
      <c r="Q31" s="164">
        <f t="shared" ref="Q31:Q38" si="14">G31+L31+M31+N31+O31+P31</f>
        <v>28428.8235924933</v>
      </c>
      <c r="S31" s="162">
        <f>'Proposed Rates'!F143</f>
        <v>20.46</v>
      </c>
      <c r="T31" s="164">
        <f t="shared" si="0"/>
        <v>31697.750991957106</v>
      </c>
      <c r="X31" s="532"/>
      <c r="Z31" s="532"/>
      <c r="AA31" s="532"/>
      <c r="AB31" s="550"/>
    </row>
    <row r="32" spans="2:28">
      <c r="B32" s="169"/>
      <c r="C32" s="548"/>
      <c r="D32" s="548"/>
      <c r="E32" s="549"/>
      <c r="F32" s="549"/>
      <c r="G32" s="164"/>
      <c r="H32" s="164"/>
      <c r="I32" s="164"/>
      <c r="J32" s="162"/>
      <c r="K32" s="164"/>
      <c r="L32" s="164"/>
      <c r="M32" s="164"/>
      <c r="N32" s="164"/>
      <c r="P32" s="162"/>
      <c r="Q32" s="164"/>
      <c r="S32" s="162"/>
      <c r="T32" s="164"/>
      <c r="X32" s="532"/>
      <c r="Z32" s="532"/>
      <c r="AA32" s="532"/>
      <c r="AB32" s="550"/>
    </row>
    <row r="33" spans="2:28">
      <c r="B33" s="169" t="s">
        <v>615</v>
      </c>
      <c r="C33" s="548">
        <v>72</v>
      </c>
      <c r="D33" s="548"/>
      <c r="E33" s="549">
        <v>14.36</v>
      </c>
      <c r="F33" s="549"/>
      <c r="G33" s="164">
        <f t="shared" si="1"/>
        <v>1033.92</v>
      </c>
      <c r="H33" s="164"/>
      <c r="I33" s="164">
        <f>VLOOKUP($B$7,'Monthly # of Customers'!A:R,18,FALSE)*SUM(C33:D33)</f>
        <v>5.8357752977118274E-2</v>
      </c>
      <c r="J33" s="162"/>
      <c r="K33" s="164">
        <f t="shared" si="11"/>
        <v>72.058357752977116</v>
      </c>
      <c r="L33" s="164"/>
      <c r="M33" s="164"/>
      <c r="N33" s="164"/>
      <c r="O33" s="164">
        <f t="shared" si="4"/>
        <v>0.83801733275141843</v>
      </c>
      <c r="P33" s="162"/>
      <c r="Q33" s="164">
        <f t="shared" si="14"/>
        <v>1034.7580173327515</v>
      </c>
      <c r="S33" s="162">
        <f>'Proposed Rates'!F168</f>
        <v>16.010000000000002</v>
      </c>
      <c r="T33" s="164">
        <f t="shared" si="0"/>
        <v>1153.6543076251637</v>
      </c>
      <c r="X33" s="532"/>
      <c r="Z33" s="532"/>
      <c r="AA33" s="532"/>
      <c r="AB33" s="550"/>
    </row>
    <row r="34" spans="2:28">
      <c r="B34" s="169" t="s">
        <v>616</v>
      </c>
      <c r="C34" s="548"/>
      <c r="D34" s="548"/>
      <c r="E34" s="549">
        <v>16.850000000000001</v>
      </c>
      <c r="F34" s="549"/>
      <c r="G34" s="164">
        <f t="shared" si="1"/>
        <v>0</v>
      </c>
      <c r="H34" s="164"/>
      <c r="I34" s="164"/>
      <c r="J34" s="162"/>
      <c r="K34" s="164">
        <f t="shared" si="11"/>
        <v>0</v>
      </c>
      <c r="L34" s="164"/>
      <c r="M34" s="164"/>
      <c r="N34" s="164"/>
      <c r="O34" s="164">
        <f t="shared" si="4"/>
        <v>0</v>
      </c>
      <c r="P34" s="162"/>
      <c r="Q34" s="164">
        <f t="shared" si="14"/>
        <v>0</v>
      </c>
      <c r="S34" s="162"/>
      <c r="T34" s="164">
        <f t="shared" si="0"/>
        <v>0</v>
      </c>
      <c r="X34" s="532"/>
      <c r="Z34" s="532"/>
      <c r="AA34" s="532"/>
      <c r="AB34" s="550"/>
    </row>
    <row r="35" spans="2:28">
      <c r="B35" s="169" t="s">
        <v>617</v>
      </c>
      <c r="C35" s="548"/>
      <c r="D35" s="548"/>
      <c r="E35" s="549">
        <v>19</v>
      </c>
      <c r="F35" s="549"/>
      <c r="G35" s="164">
        <f t="shared" si="1"/>
        <v>0</v>
      </c>
      <c r="H35" s="164"/>
      <c r="I35" s="164"/>
      <c r="J35" s="162"/>
      <c r="K35" s="164">
        <f t="shared" si="11"/>
        <v>0</v>
      </c>
      <c r="L35" s="164"/>
      <c r="M35" s="164"/>
      <c r="N35" s="164"/>
      <c r="O35" s="164">
        <f t="shared" si="4"/>
        <v>0</v>
      </c>
      <c r="P35" s="162"/>
      <c r="Q35" s="164">
        <f t="shared" si="14"/>
        <v>0</v>
      </c>
      <c r="S35" s="162"/>
      <c r="T35" s="164">
        <f t="shared" si="0"/>
        <v>0</v>
      </c>
      <c r="X35" s="532"/>
      <c r="Z35" s="532"/>
      <c r="AA35" s="532"/>
      <c r="AB35" s="550"/>
    </row>
    <row r="36" spans="2:28">
      <c r="B36" s="169" t="s">
        <v>618</v>
      </c>
      <c r="C36" s="548"/>
      <c r="D36" s="548"/>
      <c r="E36" s="549">
        <v>14.7</v>
      </c>
      <c r="F36" s="549"/>
      <c r="G36" s="164">
        <f t="shared" si="1"/>
        <v>0</v>
      </c>
      <c r="H36" s="164"/>
      <c r="I36" s="164"/>
      <c r="J36" s="162"/>
      <c r="K36" s="164">
        <f t="shared" si="11"/>
        <v>0</v>
      </c>
      <c r="L36" s="164"/>
      <c r="M36" s="164"/>
      <c r="N36" s="164"/>
      <c r="O36" s="164">
        <f t="shared" si="4"/>
        <v>0</v>
      </c>
      <c r="P36" s="162"/>
      <c r="Q36" s="164">
        <f t="shared" si="14"/>
        <v>0</v>
      </c>
      <c r="S36" s="162"/>
      <c r="T36" s="164">
        <f t="shared" si="0"/>
        <v>0</v>
      </c>
      <c r="X36" s="532"/>
      <c r="Z36" s="532"/>
      <c r="AA36" s="532"/>
      <c r="AB36" s="550"/>
    </row>
    <row r="37" spans="2:28">
      <c r="B37" s="169" t="s">
        <v>619</v>
      </c>
      <c r="C37" s="548"/>
      <c r="D37" s="548"/>
      <c r="E37" s="549">
        <v>25.73</v>
      </c>
      <c r="F37" s="549"/>
      <c r="G37" s="164">
        <f t="shared" si="1"/>
        <v>0</v>
      </c>
      <c r="H37" s="164"/>
      <c r="I37" s="164"/>
      <c r="J37" s="162"/>
      <c r="K37" s="164">
        <f t="shared" si="11"/>
        <v>0</v>
      </c>
      <c r="L37" s="164"/>
      <c r="M37" s="164"/>
      <c r="N37" s="164"/>
      <c r="O37" s="164">
        <f t="shared" si="4"/>
        <v>0</v>
      </c>
      <c r="P37" s="162"/>
      <c r="Q37" s="164">
        <f t="shared" si="14"/>
        <v>0</v>
      </c>
      <c r="S37" s="162"/>
      <c r="T37" s="164">
        <f t="shared" si="0"/>
        <v>0</v>
      </c>
      <c r="X37" s="532"/>
      <c r="Z37" s="532"/>
      <c r="AA37" s="532"/>
      <c r="AB37" s="550"/>
    </row>
    <row r="38" spans="2:28">
      <c r="B38" s="169" t="s">
        <v>620</v>
      </c>
      <c r="C38" s="548"/>
      <c r="D38" s="548"/>
      <c r="E38" s="549">
        <v>20.350000000000001</v>
      </c>
      <c r="F38" s="549"/>
      <c r="G38" s="164">
        <f t="shared" si="1"/>
        <v>0</v>
      </c>
      <c r="H38" s="164"/>
      <c r="I38" s="164"/>
      <c r="J38" s="162"/>
      <c r="K38" s="164">
        <f t="shared" si="11"/>
        <v>0</v>
      </c>
      <c r="L38" s="164"/>
      <c r="M38" s="164"/>
      <c r="N38" s="164"/>
      <c r="O38" s="164">
        <f t="shared" si="4"/>
        <v>0</v>
      </c>
      <c r="P38" s="162"/>
      <c r="Q38" s="164">
        <f t="shared" si="14"/>
        <v>0</v>
      </c>
      <c r="S38" s="162"/>
      <c r="T38" s="164">
        <f t="shared" si="0"/>
        <v>0</v>
      </c>
      <c r="X38" s="532"/>
      <c r="Z38" s="532"/>
      <c r="AA38" s="532"/>
      <c r="AB38" s="550"/>
    </row>
    <row r="39" spans="2:28">
      <c r="B39" s="169"/>
      <c r="C39" s="474"/>
      <c r="D39" s="548"/>
      <c r="E39" s="549"/>
      <c r="F39" s="549"/>
      <c r="G39" s="164"/>
      <c r="H39" s="164"/>
      <c r="I39" s="164"/>
      <c r="J39" s="162"/>
      <c r="K39" s="164"/>
      <c r="L39" s="164"/>
      <c r="M39" s="164"/>
      <c r="N39" s="164"/>
      <c r="P39" s="162"/>
      <c r="Q39" s="164"/>
      <c r="S39" s="162"/>
      <c r="T39" s="164"/>
      <c r="X39" s="532"/>
      <c r="Z39" s="532"/>
      <c r="AA39" s="532"/>
      <c r="AB39" s="550"/>
    </row>
    <row r="40" spans="2:28">
      <c r="B40" s="169" t="s">
        <v>68</v>
      </c>
      <c r="C40" s="546"/>
      <c r="D40" s="548"/>
      <c r="E40" s="546"/>
      <c r="F40" s="546"/>
      <c r="G40" s="164"/>
      <c r="H40" s="164"/>
      <c r="I40" s="164"/>
      <c r="J40" s="164"/>
      <c r="K40" s="164"/>
      <c r="L40" s="164"/>
      <c r="M40" s="164"/>
      <c r="N40" s="164"/>
      <c r="O40" s="164">
        <f t="shared" si="4"/>
        <v>0</v>
      </c>
      <c r="Q40" s="164"/>
      <c r="S40" s="162"/>
      <c r="T40" s="164">
        <f t="shared" si="0"/>
        <v>0</v>
      </c>
      <c r="X40" s="532"/>
      <c r="Z40" s="532"/>
      <c r="AA40" s="532"/>
      <c r="AB40" s="550"/>
    </row>
    <row r="41" spans="2:28">
      <c r="B41" s="169" t="s">
        <v>64</v>
      </c>
      <c r="C41" s="548">
        <v>0</v>
      </c>
      <c r="D41" s="548"/>
      <c r="E41" s="549">
        <v>24.8</v>
      </c>
      <c r="F41" s="549"/>
      <c r="G41" s="164">
        <f t="shared" ref="G41:G51" si="15">(C41*E41)+(D41*F41)</f>
        <v>0</v>
      </c>
      <c r="H41" s="164">
        <f>VLOOKUP($B$7,WNLA!A:B,2,FALSE)*IF(SUM(C41:D41)=0,0,SUM(C41:D41)/SUM(C41:D41))</f>
        <v>0</v>
      </c>
      <c r="I41" s="164">
        <f>VLOOKUP($B$7,'Monthly # of Customers'!A:R,18,FALSE)*SUM(C41:D41)</f>
        <v>0</v>
      </c>
      <c r="J41" s="162"/>
      <c r="K41" s="164">
        <f t="shared" ref="K41:K43" si="16">C41+D41+H41+I41+J41</f>
        <v>0</v>
      </c>
      <c r="L41" s="164"/>
      <c r="M41" s="164"/>
      <c r="N41" s="164">
        <f t="shared" ref="N41:N43" si="17">H41*F41</f>
        <v>0</v>
      </c>
      <c r="O41" s="164">
        <f t="shared" si="4"/>
        <v>0</v>
      </c>
      <c r="P41" s="162">
        <f t="shared" ref="P41:P43" si="18">J41*F41</f>
        <v>0</v>
      </c>
      <c r="Q41" s="164">
        <f t="shared" ref="Q41:Q43" si="19">G41+L41+M41+N41+O41+P41</f>
        <v>0</v>
      </c>
      <c r="S41" s="162">
        <f>'Proposed Rates'!F147</f>
        <v>27.65</v>
      </c>
      <c r="T41" s="164">
        <f t="shared" si="0"/>
        <v>0</v>
      </c>
      <c r="X41" s="532"/>
      <c r="Z41" s="532"/>
      <c r="AA41" s="532"/>
      <c r="AB41" s="550"/>
    </row>
    <row r="42" spans="2:28">
      <c r="B42" s="169" t="s">
        <v>65</v>
      </c>
      <c r="C42" s="548">
        <v>0</v>
      </c>
      <c r="D42" s="548"/>
      <c r="E42" s="549">
        <v>25.7</v>
      </c>
      <c r="F42" s="549"/>
      <c r="G42" s="164">
        <f t="shared" si="15"/>
        <v>0</v>
      </c>
      <c r="H42" s="164">
        <f>VLOOKUP($B$7,WNLA!A:B,2,FALSE)*IF(SUM(C42:D42)=0,0,SUM(C42:D42)/SUM(C42:D42))</f>
        <v>0</v>
      </c>
      <c r="I42" s="164">
        <f>VLOOKUP($B$7,'Monthly # of Customers'!A:R,18,FALSE)*SUM(C42:D42)</f>
        <v>0</v>
      </c>
      <c r="J42" s="162"/>
      <c r="K42" s="164">
        <f t="shared" si="16"/>
        <v>0</v>
      </c>
      <c r="L42" s="164"/>
      <c r="M42" s="164"/>
      <c r="N42" s="164">
        <f t="shared" si="17"/>
        <v>0</v>
      </c>
      <c r="O42" s="164">
        <f t="shared" si="4"/>
        <v>0</v>
      </c>
      <c r="P42" s="162">
        <f t="shared" si="18"/>
        <v>0</v>
      </c>
      <c r="Q42" s="164">
        <f t="shared" si="19"/>
        <v>0</v>
      </c>
      <c r="S42" s="162">
        <f>'Proposed Rates'!F148</f>
        <v>28.66</v>
      </c>
      <c r="T42" s="164">
        <f t="shared" si="0"/>
        <v>0</v>
      </c>
      <c r="X42" s="532"/>
      <c r="Z42" s="532"/>
      <c r="AA42" s="532"/>
      <c r="AB42" s="550"/>
    </row>
    <row r="43" spans="2:28">
      <c r="B43" s="169" t="s">
        <v>66</v>
      </c>
      <c r="C43" s="548">
        <v>1068</v>
      </c>
      <c r="D43" s="548"/>
      <c r="E43" s="549">
        <v>27.25</v>
      </c>
      <c r="F43" s="549"/>
      <c r="G43" s="164">
        <f t="shared" si="15"/>
        <v>29103</v>
      </c>
      <c r="H43" s="164">
        <f>VLOOKUP($B$7,WNLA!A:B,2,FALSE)*IF(SUM(C43:D43)=0,0,SUM(C43:D43)/SUM(C43:D43))</f>
        <v>0</v>
      </c>
      <c r="I43" s="164">
        <f>VLOOKUP($B$7,'Monthly # of Customers'!A:R,18,FALSE)*SUM(C43:D43)</f>
        <v>0.86564000249392115</v>
      </c>
      <c r="J43" s="162"/>
      <c r="K43" s="164">
        <f t="shared" si="16"/>
        <v>1068.8656400024938</v>
      </c>
      <c r="L43" s="164"/>
      <c r="M43" s="164"/>
      <c r="N43" s="164">
        <f t="shared" si="17"/>
        <v>0</v>
      </c>
      <c r="O43" s="164">
        <f t="shared" si="4"/>
        <v>23.588690067959352</v>
      </c>
      <c r="P43" s="162">
        <f t="shared" si="18"/>
        <v>0</v>
      </c>
      <c r="Q43" s="164">
        <f t="shared" si="19"/>
        <v>29126.588690067958</v>
      </c>
      <c r="S43" s="162">
        <f>'Proposed Rates'!F149</f>
        <v>30.38</v>
      </c>
      <c r="T43" s="164">
        <f t="shared" si="0"/>
        <v>32472.138143275763</v>
      </c>
      <c r="X43" s="532"/>
      <c r="Z43" s="532"/>
      <c r="AA43" s="532"/>
      <c r="AB43" s="550"/>
    </row>
    <row r="44" spans="2:28">
      <c r="B44" s="169" t="s">
        <v>67</v>
      </c>
      <c r="C44" s="546">
        <v>852</v>
      </c>
      <c r="D44" s="548"/>
      <c r="E44" s="549">
        <v>30.35</v>
      </c>
      <c r="F44" s="549"/>
      <c r="G44" s="164">
        <f t="shared" si="15"/>
        <v>25858.2</v>
      </c>
      <c r="H44" s="164">
        <f>VLOOKUP($B$7,WNLA!A:B,2,FALSE)*(SUM(C44:D44)/SUM(C44:D44))</f>
        <v>0</v>
      </c>
      <c r="I44" s="164">
        <f>VLOOKUP($B$7,'Monthly # of Customers'!A:R,18,FALSE)*SUM(C44:D44)</f>
        <v>0.69056674356256631</v>
      </c>
      <c r="J44" s="162"/>
      <c r="K44" s="164">
        <f>C44+D44+H44+I44+J44</f>
        <v>852.69056674356261</v>
      </c>
      <c r="L44" s="164"/>
      <c r="M44" s="164"/>
      <c r="N44" s="164">
        <f t="shared" ref="N44" si="20">H44*F44</f>
        <v>0</v>
      </c>
      <c r="O44" s="164">
        <f t="shared" si="4"/>
        <v>20.958700667123889</v>
      </c>
      <c r="P44" s="162">
        <f t="shared" ref="P44" si="21">J44*F44</f>
        <v>0</v>
      </c>
      <c r="Q44" s="164">
        <f t="shared" ref="Q44:Q51" si="22">G44+L44+M44+N44+O44+P44</f>
        <v>25879.158700667125</v>
      </c>
      <c r="S44" s="162">
        <f>'Proposed Rates'!F150</f>
        <v>33.840000000000003</v>
      </c>
      <c r="T44" s="164">
        <f t="shared" si="0"/>
        <v>28855.048778602162</v>
      </c>
      <c r="X44" s="532"/>
      <c r="Z44" s="532"/>
      <c r="AA44" s="532"/>
      <c r="AB44" s="550"/>
    </row>
    <row r="45" spans="2:28">
      <c r="B45" s="169"/>
      <c r="C45" s="546"/>
      <c r="D45" s="548"/>
      <c r="E45" s="549"/>
      <c r="F45" s="549"/>
      <c r="G45" s="164"/>
      <c r="H45" s="164"/>
      <c r="I45" s="164"/>
      <c r="J45" s="162"/>
      <c r="K45" s="164"/>
      <c r="L45" s="164"/>
      <c r="M45" s="164"/>
      <c r="N45" s="164"/>
      <c r="P45" s="162"/>
      <c r="Q45" s="164"/>
      <c r="S45" s="162"/>
      <c r="T45" s="164"/>
      <c r="X45" s="532"/>
      <c r="Z45" s="532"/>
      <c r="AA45" s="532"/>
      <c r="AB45" s="550"/>
    </row>
    <row r="46" spans="2:28">
      <c r="B46" s="169" t="s">
        <v>615</v>
      </c>
      <c r="C46" s="546"/>
      <c r="D46" s="548"/>
      <c r="E46" s="549">
        <v>25.1</v>
      </c>
      <c r="F46" s="549"/>
      <c r="G46" s="164">
        <f t="shared" si="15"/>
        <v>0</v>
      </c>
      <c r="H46" s="164"/>
      <c r="I46" s="164">
        <f>VLOOKUP($B$7,'Monthly # of Customers'!A:R,18,FALSE)*SUM(C46:D46)</f>
        <v>0</v>
      </c>
      <c r="J46" s="162"/>
      <c r="K46" s="164">
        <f>C46+D46+H46+I46+J46</f>
        <v>0</v>
      </c>
      <c r="L46" s="164"/>
      <c r="M46" s="164"/>
      <c r="N46" s="164"/>
      <c r="O46" s="164">
        <f t="shared" si="4"/>
        <v>0</v>
      </c>
      <c r="P46" s="162"/>
      <c r="Q46" s="164">
        <f t="shared" si="22"/>
        <v>0</v>
      </c>
      <c r="S46" s="162"/>
      <c r="T46" s="164">
        <f t="shared" si="0"/>
        <v>0</v>
      </c>
      <c r="X46" s="532"/>
      <c r="Z46" s="532"/>
      <c r="AA46" s="532"/>
      <c r="AB46" s="550"/>
    </row>
    <row r="47" spans="2:28">
      <c r="B47" s="169" t="s">
        <v>616</v>
      </c>
      <c r="C47" s="546">
        <v>12</v>
      </c>
      <c r="D47" s="548"/>
      <c r="E47" s="549">
        <v>26.78</v>
      </c>
      <c r="F47" s="549"/>
      <c r="G47" s="164">
        <f t="shared" si="15"/>
        <v>321.36</v>
      </c>
      <c r="H47" s="164"/>
      <c r="I47" s="164">
        <f>VLOOKUP($B$7,'Monthly # of Customers'!A:R,18,FALSE)*SUM(C47:D47)</f>
        <v>9.7262921628530462E-3</v>
      </c>
      <c r="J47" s="162"/>
      <c r="K47" s="164">
        <f t="shared" ref="K47:K51" si="23">C47+D47+H47+I47+J47</f>
        <v>12.009726292162853</v>
      </c>
      <c r="L47" s="164"/>
      <c r="M47" s="164"/>
      <c r="N47" s="164"/>
      <c r="O47" s="164">
        <f t="shared" si="4"/>
        <v>0.26047010412120458</v>
      </c>
      <c r="P47" s="162"/>
      <c r="Q47" s="164">
        <f t="shared" si="22"/>
        <v>321.62047010412124</v>
      </c>
      <c r="S47" s="162">
        <f>'Proposed Rates'!F169</f>
        <v>29.86</v>
      </c>
      <c r="T47" s="164">
        <f t="shared" si="0"/>
        <v>358.61042708398276</v>
      </c>
      <c r="X47" s="532"/>
      <c r="Z47" s="532"/>
      <c r="AA47" s="532"/>
      <c r="AB47" s="550"/>
    </row>
    <row r="48" spans="2:28">
      <c r="B48" s="169" t="s">
        <v>617</v>
      </c>
      <c r="C48" s="546">
        <v>24</v>
      </c>
      <c r="D48" s="548"/>
      <c r="E48" s="549">
        <v>28.11</v>
      </c>
      <c r="F48" s="549"/>
      <c r="G48" s="164">
        <f t="shared" si="15"/>
        <v>674.64</v>
      </c>
      <c r="H48" s="164"/>
      <c r="I48" s="164">
        <f>VLOOKUP($B$7,'Monthly # of Customers'!A:R,18,FALSE)*SUM(C48:D48)</f>
        <v>1.9452584325706092E-2</v>
      </c>
      <c r="J48" s="162"/>
      <c r="K48" s="164">
        <f t="shared" si="23"/>
        <v>24.019452584325705</v>
      </c>
      <c r="L48" s="164"/>
      <c r="M48" s="164"/>
      <c r="N48" s="164"/>
      <c r="O48" s="164">
        <f t="shared" si="4"/>
        <v>0.5468121453955983</v>
      </c>
      <c r="P48" s="162"/>
      <c r="Q48" s="164">
        <f t="shared" si="22"/>
        <v>675.18681214539561</v>
      </c>
      <c r="S48" s="162">
        <f>'Proposed Rates'!F170</f>
        <v>31.34</v>
      </c>
      <c r="T48" s="164">
        <f t="shared" si="0"/>
        <v>752.76964399276756</v>
      </c>
      <c r="X48" s="532"/>
      <c r="Z48" s="532"/>
      <c r="AA48" s="532"/>
      <c r="AB48" s="550"/>
    </row>
    <row r="49" spans="2:28">
      <c r="B49" s="169" t="s">
        <v>618</v>
      </c>
      <c r="C49" s="546"/>
      <c r="D49" s="548"/>
      <c r="E49" s="549">
        <v>25.85</v>
      </c>
      <c r="F49" s="549"/>
      <c r="G49" s="164">
        <f t="shared" si="15"/>
        <v>0</v>
      </c>
      <c r="H49" s="164"/>
      <c r="I49" s="164">
        <f>VLOOKUP($B$7,'Monthly # of Customers'!A:R,18,FALSE)*SUM(C49:D49)</f>
        <v>0</v>
      </c>
      <c r="J49" s="162"/>
      <c r="K49" s="164">
        <f t="shared" si="23"/>
        <v>0</v>
      </c>
      <c r="L49" s="164"/>
      <c r="M49" s="164"/>
      <c r="N49" s="164"/>
      <c r="O49" s="164">
        <f t="shared" si="4"/>
        <v>0</v>
      </c>
      <c r="P49" s="162"/>
      <c r="Q49" s="164">
        <f t="shared" si="22"/>
        <v>0</v>
      </c>
      <c r="S49" s="162"/>
      <c r="T49" s="164">
        <f t="shared" si="0"/>
        <v>0</v>
      </c>
      <c r="X49" s="532"/>
      <c r="Z49" s="532"/>
      <c r="AA49" s="532"/>
      <c r="AB49" s="550"/>
    </row>
    <row r="50" spans="2:28">
      <c r="B50" s="169" t="s">
        <v>619</v>
      </c>
      <c r="C50" s="546"/>
      <c r="D50" s="548"/>
      <c r="E50" s="549">
        <v>36.74</v>
      </c>
      <c r="F50" s="549"/>
      <c r="G50" s="164">
        <f t="shared" si="15"/>
        <v>0</v>
      </c>
      <c r="H50" s="164"/>
      <c r="I50" s="164">
        <f>VLOOKUP($B$7,'Monthly # of Customers'!A:R,18,FALSE)*SUM(C50:D50)</f>
        <v>0</v>
      </c>
      <c r="J50" s="162"/>
      <c r="K50" s="164">
        <f t="shared" si="23"/>
        <v>0</v>
      </c>
      <c r="L50" s="164"/>
      <c r="M50" s="164"/>
      <c r="N50" s="164"/>
      <c r="P50" s="162"/>
      <c r="Q50" s="164">
        <f t="shared" si="22"/>
        <v>0</v>
      </c>
      <c r="S50" s="162"/>
      <c r="T50" s="164">
        <f t="shared" si="0"/>
        <v>0</v>
      </c>
      <c r="X50" s="532"/>
      <c r="Z50" s="532"/>
      <c r="AA50" s="532"/>
      <c r="AB50" s="550"/>
    </row>
    <row r="51" spans="2:28">
      <c r="B51" s="169" t="s">
        <v>620</v>
      </c>
      <c r="C51" s="546"/>
      <c r="D51" s="548"/>
      <c r="E51" s="549">
        <v>29.42</v>
      </c>
      <c r="F51" s="549"/>
      <c r="G51" s="164">
        <f t="shared" si="15"/>
        <v>0</v>
      </c>
      <c r="H51" s="164"/>
      <c r="I51" s="164">
        <f>VLOOKUP($B$7,'Monthly # of Customers'!A:R,18,FALSE)*SUM(C51:D51)</f>
        <v>0</v>
      </c>
      <c r="J51" s="162"/>
      <c r="K51" s="164">
        <f t="shared" si="23"/>
        <v>0</v>
      </c>
      <c r="L51" s="164"/>
      <c r="M51" s="164"/>
      <c r="N51" s="164"/>
      <c r="P51" s="162"/>
      <c r="Q51" s="164">
        <f t="shared" si="22"/>
        <v>0</v>
      </c>
      <c r="S51" s="162"/>
      <c r="T51" s="164">
        <f t="shared" si="0"/>
        <v>0</v>
      </c>
      <c r="X51" s="532"/>
      <c r="Z51" s="532"/>
      <c r="AA51" s="532"/>
      <c r="AB51" s="550"/>
    </row>
    <row r="52" spans="2:28">
      <c r="B52" s="169"/>
      <c r="C52" s="546"/>
      <c r="D52" s="546"/>
      <c r="E52" s="546"/>
      <c r="F52" s="546"/>
      <c r="G52" s="164"/>
      <c r="H52" s="164"/>
      <c r="I52" s="164"/>
      <c r="J52" s="164"/>
      <c r="K52" s="164"/>
      <c r="L52" s="164"/>
      <c r="M52" s="164"/>
      <c r="N52" s="164"/>
      <c r="Q52" s="164"/>
      <c r="S52" s="162"/>
      <c r="T52" s="164"/>
    </row>
    <row r="53" spans="2:28">
      <c r="B53" s="169" t="s">
        <v>486</v>
      </c>
      <c r="C53" s="170"/>
      <c r="D53" s="170"/>
      <c r="E53" s="170"/>
      <c r="F53" s="170"/>
      <c r="G53" s="164">
        <f>'B&amp;A Surcharges'!U61</f>
        <v>15.253212046278069</v>
      </c>
      <c r="H53" s="164"/>
      <c r="I53" s="164"/>
      <c r="J53" s="164"/>
      <c r="K53" s="164"/>
      <c r="L53" s="164"/>
      <c r="M53" s="164"/>
      <c r="N53" s="164"/>
      <c r="Q53" s="164">
        <f>VLOOKUP(B7,'B&amp;A Surcharges'!A:U,21,FALSE)</f>
        <v>15.253212046278069</v>
      </c>
      <c r="S53" s="162"/>
      <c r="T53" s="164">
        <f>Q53</f>
        <v>15.253212046278069</v>
      </c>
    </row>
    <row r="54" spans="2:28">
      <c r="C54" s="164"/>
      <c r="D54" s="164"/>
      <c r="E54" s="164"/>
      <c r="F54" s="164"/>
      <c r="L54" s="170"/>
      <c r="M54" s="170"/>
      <c r="N54" s="170"/>
      <c r="O54" s="170"/>
      <c r="P54" s="170"/>
      <c r="S54" s="162"/>
      <c r="T54" s="164"/>
    </row>
    <row r="55" spans="2:28">
      <c r="B55" s="150" t="s">
        <v>515</v>
      </c>
      <c r="C55" s="164">
        <v>8426444</v>
      </c>
      <c r="D55" s="164"/>
      <c r="E55" s="203">
        <v>2.6120000000000001E-2</v>
      </c>
      <c r="F55" s="203"/>
      <c r="G55" s="164">
        <f>(C55*E55)+(D55*F55)</f>
        <v>220098.71728000001</v>
      </c>
      <c r="I55" s="164"/>
      <c r="K55" s="164"/>
      <c r="L55" s="170"/>
      <c r="M55" s="170"/>
      <c r="N55" s="170"/>
      <c r="O55" s="170"/>
      <c r="P55" s="170"/>
      <c r="Q55" s="201">
        <f>G55</f>
        <v>220098.71728000001</v>
      </c>
      <c r="S55" s="162"/>
      <c r="T55" s="164">
        <f>Q55</f>
        <v>220098.71728000001</v>
      </c>
      <c r="X55" s="532"/>
      <c r="AA55" s="532"/>
    </row>
    <row r="56" spans="2:28">
      <c r="B56" s="150" t="s">
        <v>516</v>
      </c>
      <c r="C56" s="164"/>
      <c r="D56" s="164"/>
      <c r="G56" s="164">
        <f>VLOOKUP(B7,'B&amp;A Surcharges'!A:U,2,FALSE)</f>
        <v>230284.12</v>
      </c>
      <c r="H56" s="164"/>
      <c r="I56" s="164"/>
      <c r="J56" s="164"/>
      <c r="K56" s="164"/>
      <c r="L56" s="164"/>
      <c r="M56" s="164"/>
      <c r="N56" s="164"/>
      <c r="Q56" s="164"/>
      <c r="S56" s="162"/>
      <c r="T56" s="164"/>
    </row>
    <row r="57" spans="2:28">
      <c r="C57" s="164"/>
      <c r="D57" s="164"/>
      <c r="E57" s="164"/>
      <c r="F57" s="164"/>
      <c r="H57" s="164"/>
      <c r="I57" s="164"/>
      <c r="J57" s="164"/>
      <c r="K57" s="164"/>
      <c r="L57" s="164"/>
      <c r="M57" s="164"/>
      <c r="N57" s="164"/>
      <c r="Q57" s="164"/>
      <c r="S57" s="162"/>
      <c r="T57" s="164"/>
      <c r="X57" s="532"/>
      <c r="AA57" s="532"/>
    </row>
    <row r="58" spans="2:28">
      <c r="B58" s="150" t="s">
        <v>208</v>
      </c>
      <c r="C58" s="164"/>
      <c r="D58" s="164"/>
      <c r="E58" s="164"/>
      <c r="F58" s="164"/>
      <c r="G58" s="164">
        <f>VLOOKUP(B7,'B&amp;A Surcharges'!A:U,16,FALSE)</f>
        <v>0</v>
      </c>
      <c r="O58" s="150"/>
      <c r="P58" s="150"/>
      <c r="T58" s="164"/>
    </row>
    <row r="59" spans="2:28">
      <c r="C59" s="164"/>
      <c r="D59" s="164"/>
      <c r="E59" s="164"/>
      <c r="F59" s="164"/>
      <c r="O59" s="150"/>
      <c r="P59" s="150"/>
      <c r="T59" s="164"/>
    </row>
    <row r="60" spans="2:28">
      <c r="B60" s="150" t="s">
        <v>16</v>
      </c>
      <c r="C60" s="164"/>
      <c r="D60" s="164"/>
      <c r="E60" s="164"/>
      <c r="F60" s="164"/>
      <c r="G60" s="164">
        <f>VLOOKUP(B7,'B&amp;A Surcharges'!A:U,4,FALSE)</f>
        <v>-2880.9700000000003</v>
      </c>
      <c r="H60" s="164"/>
      <c r="I60" s="164"/>
      <c r="J60" s="164"/>
      <c r="K60" s="164"/>
      <c r="L60" s="164"/>
      <c r="M60" s="164"/>
      <c r="N60" s="164"/>
      <c r="Q60" s="164"/>
      <c r="T60" s="164"/>
    </row>
    <row r="61" spans="2:28">
      <c r="C61" s="164"/>
      <c r="D61" s="164"/>
      <c r="E61" s="164"/>
      <c r="F61" s="164"/>
      <c r="G61" s="164"/>
      <c r="H61" s="164"/>
      <c r="I61" s="164"/>
      <c r="J61" s="164"/>
      <c r="K61" s="164"/>
      <c r="L61" s="164"/>
      <c r="M61" s="164"/>
      <c r="N61" s="164"/>
      <c r="Q61" s="164"/>
      <c r="T61" s="164"/>
    </row>
    <row r="62" spans="2:28">
      <c r="B62" s="150" t="s">
        <v>161</v>
      </c>
      <c r="C62" s="164"/>
      <c r="D62" s="164"/>
      <c r="E62" s="164"/>
      <c r="F62" s="164"/>
      <c r="G62" s="164">
        <f>VLOOKUP(B7,'B&amp;A Surcharges'!A:U,6,FALSE)</f>
        <v>9035.4126541935475</v>
      </c>
      <c r="H62" s="164"/>
      <c r="I62" s="164"/>
      <c r="J62" s="164"/>
      <c r="K62" s="164"/>
      <c r="L62" s="164"/>
      <c r="M62" s="164"/>
      <c r="N62" s="164"/>
      <c r="Q62" s="164"/>
      <c r="T62" s="164"/>
    </row>
    <row r="63" spans="2:28">
      <c r="C63" s="164"/>
      <c r="D63" s="164"/>
      <c r="E63" s="164"/>
      <c r="F63" s="164"/>
      <c r="G63" s="164"/>
      <c r="H63" s="164"/>
      <c r="I63" s="164"/>
      <c r="J63" s="164"/>
      <c r="K63" s="164"/>
      <c r="L63" s="164"/>
      <c r="M63" s="164"/>
      <c r="N63" s="164"/>
      <c r="Q63" s="164"/>
      <c r="T63" s="164"/>
    </row>
    <row r="64" spans="2:28">
      <c r="C64" s="164"/>
      <c r="D64" s="164"/>
      <c r="E64" s="164"/>
      <c r="F64" s="164"/>
      <c r="G64" s="164"/>
      <c r="H64" s="164"/>
      <c r="I64" s="164"/>
      <c r="J64" s="164"/>
      <c r="K64" s="164"/>
      <c r="L64" s="164"/>
      <c r="M64" s="164"/>
      <c r="N64" s="164"/>
      <c r="Q64" s="164"/>
      <c r="T64" s="164"/>
    </row>
    <row r="65" spans="2:20">
      <c r="C65" s="164"/>
      <c r="D65" s="164"/>
      <c r="E65" s="164"/>
      <c r="F65" s="164"/>
      <c r="G65" s="164"/>
      <c r="H65" s="164"/>
      <c r="I65" s="164"/>
      <c r="J65" s="164"/>
      <c r="K65" s="164"/>
      <c r="L65" s="164"/>
      <c r="M65" s="164"/>
      <c r="N65" s="164"/>
      <c r="Q65" s="164"/>
      <c r="T65" s="164"/>
    </row>
    <row r="66" spans="2:20">
      <c r="B66" s="150" t="s">
        <v>15</v>
      </c>
      <c r="C66" s="164"/>
      <c r="D66" s="164"/>
      <c r="E66" s="164"/>
      <c r="F66" s="164"/>
      <c r="G66" s="164">
        <f>VLOOKUP(B7,'B&amp;A Surcharges'!A:U,10,FALSE)</f>
        <v>100774.33</v>
      </c>
      <c r="H66" s="164"/>
      <c r="I66" s="164"/>
      <c r="J66" s="164"/>
      <c r="K66" s="164"/>
      <c r="L66" s="164">
        <f>VLOOKUP(B7,'Envir FGD adj'!A:F,6,FALSE)</f>
        <v>-64942.48115985396</v>
      </c>
      <c r="M66" s="164"/>
      <c r="N66" s="164"/>
      <c r="Q66" s="164">
        <f t="shared" ref="Q66" si="24">L66+M66+N66+O66</f>
        <v>-64942.48115985396</v>
      </c>
      <c r="T66" s="164"/>
    </row>
    <row r="67" spans="2:20">
      <c r="C67" s="164"/>
      <c r="D67" s="164"/>
      <c r="E67" s="164"/>
      <c r="F67" s="164"/>
      <c r="G67" s="164"/>
      <c r="H67" s="164"/>
      <c r="I67" s="164"/>
      <c r="J67" s="164"/>
      <c r="K67" s="164"/>
      <c r="L67" s="164"/>
      <c r="M67" s="164"/>
      <c r="N67" s="164"/>
      <c r="Q67" s="164"/>
      <c r="T67" s="164"/>
    </row>
    <row r="68" spans="2:20">
      <c r="B68" s="150" t="s">
        <v>265</v>
      </c>
      <c r="C68" s="164"/>
      <c r="D68" s="164"/>
      <c r="E68" s="164"/>
      <c r="F68" s="164"/>
      <c r="G68" s="164">
        <f>VLOOKUP(B7,'B&amp;A Surcharges'!A:U,12,FALSE)</f>
        <v>6151.831341612904</v>
      </c>
      <c r="H68" s="164"/>
      <c r="I68" s="164"/>
      <c r="J68" s="164"/>
      <c r="K68" s="164"/>
      <c r="L68" s="164"/>
      <c r="M68" s="164"/>
      <c r="N68" s="164"/>
      <c r="Q68" s="164"/>
      <c r="T68" s="164"/>
    </row>
    <row r="69" spans="2:20">
      <c r="C69" s="164"/>
      <c r="D69" s="164"/>
      <c r="E69" s="164"/>
      <c r="F69" s="164"/>
      <c r="G69" s="164"/>
      <c r="H69" s="164"/>
      <c r="I69" s="164"/>
      <c r="J69" s="164"/>
      <c r="K69" s="164"/>
      <c r="L69" s="164"/>
      <c r="M69" s="164"/>
      <c r="N69" s="164"/>
      <c r="Q69" s="164"/>
      <c r="T69" s="164"/>
    </row>
    <row r="70" spans="2:20">
      <c r="B70" s="150" t="s">
        <v>329</v>
      </c>
      <c r="C70" s="164"/>
      <c r="D70" s="164"/>
      <c r="E70" s="164"/>
      <c r="F70" s="164"/>
      <c r="G70" s="164">
        <f>VLOOKUP(B7,'B&amp;A Surcharges'!A:U,14,FALSE)</f>
        <v>103953.86000000002</v>
      </c>
      <c r="H70" s="164"/>
      <c r="I70" s="164"/>
      <c r="J70" s="164"/>
      <c r="K70" s="164"/>
      <c r="L70" s="164"/>
      <c r="M70" s="164"/>
      <c r="N70" s="164"/>
      <c r="Q70" s="164"/>
      <c r="T70" s="164"/>
    </row>
    <row r="71" spans="2:20">
      <c r="C71" s="164"/>
      <c r="D71" s="164"/>
      <c r="E71" s="164"/>
      <c r="F71" s="164"/>
      <c r="G71" s="164"/>
      <c r="H71" s="164"/>
      <c r="I71" s="164"/>
      <c r="J71" s="164"/>
      <c r="K71" s="164"/>
      <c r="L71" s="164"/>
      <c r="M71" s="164"/>
      <c r="N71" s="164"/>
      <c r="Q71" s="164"/>
      <c r="T71" s="164"/>
    </row>
    <row r="72" spans="2:20">
      <c r="B72" s="150" t="s">
        <v>264</v>
      </c>
      <c r="C72" s="164"/>
      <c r="D72" s="164"/>
      <c r="E72" s="164"/>
      <c r="F72" s="164"/>
      <c r="G72" s="164">
        <f>VLOOKUP(B7,'B&amp;A Surcharges'!A:U,18,FALSE)</f>
        <v>0</v>
      </c>
      <c r="H72" s="164"/>
      <c r="I72" s="164"/>
      <c r="J72" s="164"/>
      <c r="K72" s="164"/>
      <c r="L72" s="164"/>
      <c r="M72" s="164"/>
      <c r="N72" s="164"/>
      <c r="Q72" s="164"/>
      <c r="T72" s="170"/>
    </row>
    <row r="73" spans="2:20">
      <c r="C73" s="164"/>
      <c r="D73" s="164"/>
      <c r="E73" s="164"/>
      <c r="F73" s="164"/>
      <c r="G73" s="164"/>
      <c r="H73" s="164"/>
      <c r="I73" s="164"/>
      <c r="J73" s="164"/>
      <c r="K73" s="164"/>
      <c r="L73" s="164"/>
      <c r="M73" s="164"/>
      <c r="N73" s="164"/>
      <c r="Q73" s="164"/>
    </row>
    <row r="74" spans="2:20">
      <c r="B74" s="150" t="s">
        <v>346</v>
      </c>
      <c r="C74" s="164"/>
      <c r="D74" s="164"/>
      <c r="E74" s="164"/>
      <c r="F74" s="164"/>
      <c r="G74" s="164">
        <f>VLOOKUP(B7,'B&amp;A Surcharges'!A:U,19,FALSE)</f>
        <v>-56626.54</v>
      </c>
      <c r="H74" s="164"/>
      <c r="I74" s="164"/>
      <c r="J74" s="164"/>
      <c r="K74" s="164"/>
      <c r="L74" s="164"/>
      <c r="M74" s="164"/>
      <c r="N74" s="164"/>
      <c r="Q74" s="164"/>
      <c r="R74" s="168"/>
      <c r="S74" s="168"/>
    </row>
    <row r="75" spans="2:20">
      <c r="B75" s="157"/>
      <c r="C75" s="165"/>
      <c r="D75" s="165"/>
      <c r="E75" s="165"/>
      <c r="F75" s="165"/>
      <c r="G75" s="157"/>
      <c r="H75" s="157"/>
      <c r="I75" s="157"/>
      <c r="J75" s="157"/>
      <c r="K75" s="157"/>
      <c r="L75" s="157"/>
      <c r="M75" s="157"/>
      <c r="N75" s="157"/>
      <c r="O75" s="157"/>
      <c r="P75" s="157"/>
      <c r="Q75" s="157"/>
      <c r="T75" s="157"/>
    </row>
    <row r="76" spans="2:20">
      <c r="O76" s="150"/>
      <c r="P76" s="150"/>
    </row>
    <row r="77" spans="2:20" s="168" customFormat="1">
      <c r="B77" s="168" t="s">
        <v>17</v>
      </c>
      <c r="G77" s="168">
        <f>SUM(G15:G74)</f>
        <v>1937274.3744878529</v>
      </c>
      <c r="L77" s="168">
        <f>SUM(L15:L74)</f>
        <v>-64942.48115985396</v>
      </c>
      <c r="M77" s="168">
        <f>SUM(M15:M74)</f>
        <v>0</v>
      </c>
      <c r="N77" s="168">
        <v>0</v>
      </c>
      <c r="O77" s="539">
        <f>SUM(O15:O74)</f>
        <v>1075.1349011783777</v>
      </c>
      <c r="P77" s="539">
        <f>SUM(P15:P74)</f>
        <v>0</v>
      </c>
      <c r="Q77" s="168">
        <f>SUM(Q15:Q74)</f>
        <v>1482714.9842333707</v>
      </c>
      <c r="R77" s="150"/>
      <c r="S77" s="150"/>
      <c r="T77" s="168">
        <f>SUM(T13:T71)</f>
        <v>1700800.811277631</v>
      </c>
    </row>
    <row r="78" spans="2:20">
      <c r="G78" s="532"/>
      <c r="H78" s="532"/>
      <c r="I78" s="532"/>
      <c r="J78" s="532"/>
      <c r="K78" s="532"/>
      <c r="L78" s="158"/>
      <c r="M78" s="158"/>
      <c r="Q78" s="531"/>
    </row>
    <row r="79" spans="2:20">
      <c r="E79" s="150" t="s">
        <v>518</v>
      </c>
      <c r="F79" s="532">
        <f>SUM(C15:D44)</f>
        <v>144444</v>
      </c>
      <c r="G79" s="186"/>
      <c r="H79" s="186"/>
      <c r="I79" s="186"/>
      <c r="J79" s="186"/>
      <c r="K79" s="186"/>
      <c r="L79" s="186"/>
      <c r="M79" s="158"/>
    </row>
    <row r="80" spans="2:20">
      <c r="E80" s="150" t="s">
        <v>519</v>
      </c>
      <c r="F80" s="532">
        <f>C55+D55</f>
        <v>8426444</v>
      </c>
      <c r="G80" s="158"/>
      <c r="H80" s="158"/>
      <c r="I80" s="158"/>
      <c r="J80" s="158"/>
      <c r="K80" s="158"/>
      <c r="L80" s="158"/>
      <c r="M80" s="158"/>
    </row>
    <row r="81" spans="5:13">
      <c r="E81" s="150" t="s">
        <v>520</v>
      </c>
      <c r="F81" s="551">
        <f>F80/F79</f>
        <v>58.337099498767685</v>
      </c>
      <c r="G81" s="160"/>
      <c r="H81" s="160"/>
      <c r="I81" s="160"/>
      <c r="J81" s="160"/>
      <c r="K81" s="160"/>
      <c r="L81" s="160"/>
      <c r="M81" s="160"/>
    </row>
  </sheetData>
  <mergeCells count="2">
    <mergeCell ref="H8:J8"/>
    <mergeCell ref="L8:P8"/>
  </mergeCells>
  <pageMargins left="0.25" right="0.25" top="0.75" bottom="0.75" header="0.3" footer="0.3"/>
  <pageSetup paperSize="5" scale="6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112"/>
  <sheetViews>
    <sheetView showGridLines="0" zoomScale="110" zoomScaleNormal="110" workbookViewId="0">
      <selection activeCell="I39" sqref="I39"/>
    </sheetView>
  </sheetViews>
  <sheetFormatPr defaultColWidth="12.85546875" defaultRowHeight="11.25"/>
  <cols>
    <col min="1" max="2" width="2.140625" style="418" customWidth="1"/>
    <col min="3" max="3" width="25.7109375" style="418" customWidth="1"/>
    <col min="4" max="5" width="12.85546875" style="418" customWidth="1"/>
    <col min="6" max="6" width="2.140625" style="418" customWidth="1"/>
    <col min="7" max="7" width="25.7109375" style="418" customWidth="1"/>
    <col min="8" max="9" width="12.85546875" style="418" customWidth="1"/>
    <col min="10" max="10" width="2.140625" style="418" customWidth="1"/>
    <col min="11" max="11" width="25.7109375" style="418" customWidth="1"/>
    <col min="12" max="13" width="12.85546875" style="418" customWidth="1"/>
    <col min="14" max="14" width="2" style="418" customWidth="1"/>
    <col min="15" max="15" width="25.7109375" style="418" customWidth="1"/>
    <col min="16" max="17" width="12.85546875" style="418" customWidth="1"/>
    <col min="18" max="18" width="2.140625" style="418" customWidth="1"/>
    <col min="19" max="19" width="10.42578125" style="418" bestFit="1" customWidth="1"/>
    <col min="20" max="20" width="12.28515625" style="418" bestFit="1" customWidth="1"/>
    <col min="21" max="21" width="10.42578125" style="418" bestFit="1" customWidth="1"/>
    <col min="22" max="16384" width="12.85546875" style="418"/>
  </cols>
  <sheetData>
    <row r="2" spans="2:18" ht="12" thickBot="1">
      <c r="B2" s="417" t="s">
        <v>339</v>
      </c>
    </row>
    <row r="3" spans="2:18">
      <c r="B3" s="419"/>
      <c r="C3" s="420"/>
      <c r="D3" s="420"/>
      <c r="E3" s="420"/>
      <c r="F3" s="420"/>
      <c r="G3" s="420"/>
      <c r="H3" s="420"/>
      <c r="I3" s="420"/>
      <c r="J3" s="420"/>
      <c r="K3" s="420"/>
      <c r="L3" s="420"/>
      <c r="M3" s="420"/>
      <c r="N3" s="421"/>
    </row>
    <row r="4" spans="2:18">
      <c r="B4" s="422"/>
      <c r="C4" s="230" t="s">
        <v>224</v>
      </c>
      <c r="D4" s="231" t="s">
        <v>607</v>
      </c>
      <c r="E4" s="136"/>
      <c r="F4" s="132"/>
      <c r="G4" s="230" t="s">
        <v>225</v>
      </c>
      <c r="H4" s="231" t="str">
        <f>$D$4</f>
        <v>Apr-Mar</v>
      </c>
      <c r="I4" s="136">
        <f>$E$4</f>
        <v>0</v>
      </c>
      <c r="J4" s="132"/>
      <c r="K4" s="230" t="s">
        <v>226</v>
      </c>
      <c r="L4" s="231" t="str">
        <f>$D$4</f>
        <v>Apr-Mar</v>
      </c>
      <c r="M4" s="136">
        <f>$E$4</f>
        <v>0</v>
      </c>
      <c r="N4" s="423"/>
    </row>
    <row r="5" spans="2:18">
      <c r="B5" s="422"/>
      <c r="C5" s="424" t="s">
        <v>164</v>
      </c>
      <c r="D5" s="425">
        <v>1851292687</v>
      </c>
      <c r="E5" s="426">
        <v>0</v>
      </c>
      <c r="F5" s="133"/>
      <c r="G5" s="335" t="s">
        <v>22</v>
      </c>
      <c r="H5" s="133">
        <v>1072628</v>
      </c>
      <c r="I5" s="427">
        <v>0</v>
      </c>
      <c r="J5" s="133"/>
      <c r="K5" s="335" t="s">
        <v>22</v>
      </c>
      <c r="L5" s="133">
        <v>40887</v>
      </c>
      <c r="M5" s="427">
        <v>0</v>
      </c>
      <c r="N5" s="423"/>
    </row>
    <row r="6" spans="2:18">
      <c r="B6" s="422"/>
      <c r="C6" s="335" t="s">
        <v>168</v>
      </c>
      <c r="D6" s="133"/>
      <c r="E6" s="427"/>
      <c r="F6" s="133"/>
      <c r="G6" s="335" t="s">
        <v>23</v>
      </c>
      <c r="H6" s="133">
        <v>1713506</v>
      </c>
      <c r="I6" s="427">
        <v>0</v>
      </c>
      <c r="J6" s="133"/>
      <c r="K6" s="335" t="s">
        <v>23</v>
      </c>
      <c r="L6" s="133">
        <v>68391</v>
      </c>
      <c r="M6" s="427">
        <v>0</v>
      </c>
      <c r="N6" s="423"/>
    </row>
    <row r="7" spans="2:18">
      <c r="B7" s="422"/>
      <c r="C7" s="335" t="s">
        <v>176</v>
      </c>
      <c r="D7" s="133">
        <v>415842</v>
      </c>
      <c r="E7" s="427">
        <v>0</v>
      </c>
      <c r="F7" s="133"/>
      <c r="G7" s="335" t="s">
        <v>207</v>
      </c>
      <c r="H7" s="133"/>
      <c r="I7" s="427"/>
      <c r="J7" s="133"/>
      <c r="K7" s="335"/>
      <c r="L7" s="133"/>
      <c r="M7" s="427"/>
      <c r="N7" s="423"/>
    </row>
    <row r="8" spans="2:18">
      <c r="B8" s="422"/>
      <c r="C8" s="335"/>
      <c r="D8" s="133"/>
      <c r="E8" s="427"/>
      <c r="F8" s="133"/>
      <c r="G8" s="335"/>
      <c r="H8" s="133"/>
      <c r="I8" s="427"/>
      <c r="J8" s="133"/>
      <c r="K8" s="335" t="s">
        <v>12</v>
      </c>
      <c r="L8" s="133">
        <v>59</v>
      </c>
      <c r="M8" s="427">
        <v>0</v>
      </c>
      <c r="N8" s="423"/>
    </row>
    <row r="9" spans="2:18">
      <c r="B9" s="422"/>
      <c r="C9" s="335" t="s">
        <v>12</v>
      </c>
      <c r="D9" s="133">
        <v>1579798</v>
      </c>
      <c r="E9" s="427">
        <v>0</v>
      </c>
      <c r="F9" s="133"/>
      <c r="G9" s="335" t="s">
        <v>40</v>
      </c>
      <c r="H9" s="133">
        <v>0</v>
      </c>
      <c r="I9" s="427"/>
      <c r="J9" s="133"/>
      <c r="K9" s="335"/>
      <c r="L9" s="133"/>
      <c r="M9" s="427"/>
      <c r="N9" s="423"/>
    </row>
    <row r="10" spans="2:18">
      <c r="B10" s="422"/>
      <c r="C10" s="335" t="s">
        <v>206</v>
      </c>
      <c r="D10" s="133">
        <v>3433</v>
      </c>
      <c r="E10" s="427">
        <v>0</v>
      </c>
      <c r="F10" s="133"/>
      <c r="G10" s="335"/>
      <c r="H10" s="133"/>
      <c r="I10" s="427"/>
      <c r="J10" s="133"/>
      <c r="K10" s="335"/>
      <c r="L10" s="133"/>
      <c r="M10" s="427"/>
      <c r="N10" s="423"/>
    </row>
    <row r="11" spans="2:18">
      <c r="B11" s="422"/>
      <c r="C11" s="335"/>
      <c r="D11" s="133"/>
      <c r="E11" s="427"/>
      <c r="F11" s="133"/>
      <c r="G11" s="335" t="s">
        <v>12</v>
      </c>
      <c r="H11" s="133">
        <v>1774</v>
      </c>
      <c r="I11" s="427">
        <v>0</v>
      </c>
      <c r="J11" s="133"/>
      <c r="K11" s="335"/>
      <c r="L11" s="133"/>
      <c r="M11" s="427"/>
      <c r="N11" s="423"/>
    </row>
    <row r="12" spans="2:18">
      <c r="B12" s="422"/>
      <c r="C12" s="428"/>
      <c r="D12" s="429"/>
      <c r="E12" s="430"/>
      <c r="F12" s="133"/>
      <c r="G12" s="428" t="s">
        <v>209</v>
      </c>
      <c r="H12" s="429">
        <v>96</v>
      </c>
      <c r="I12" s="430">
        <v>0</v>
      </c>
      <c r="J12" s="133"/>
      <c r="K12" s="428"/>
      <c r="L12" s="429"/>
      <c r="M12" s="430"/>
      <c r="N12" s="423"/>
    </row>
    <row r="13" spans="2:18" ht="12" thickBot="1">
      <c r="B13" s="431"/>
      <c r="C13" s="432"/>
      <c r="D13" s="432"/>
      <c r="E13" s="432"/>
      <c r="F13" s="432"/>
      <c r="G13" s="432"/>
      <c r="H13" s="432"/>
      <c r="I13" s="432"/>
      <c r="J13" s="432"/>
      <c r="K13" s="432"/>
      <c r="L13" s="432"/>
      <c r="M13" s="432"/>
      <c r="N13" s="433"/>
    </row>
    <row r="15" spans="2:18" ht="12" thickBot="1">
      <c r="B15" s="418" t="s">
        <v>463</v>
      </c>
    </row>
    <row r="16" spans="2:18">
      <c r="B16" s="419"/>
      <c r="C16" s="420"/>
      <c r="D16" s="420"/>
      <c r="E16" s="420"/>
      <c r="F16" s="420"/>
      <c r="G16" s="420"/>
      <c r="H16" s="420"/>
      <c r="I16" s="420"/>
      <c r="J16" s="420"/>
      <c r="K16" s="420"/>
      <c r="L16" s="420"/>
      <c r="M16" s="420"/>
      <c r="N16" s="420"/>
      <c r="O16" s="420"/>
      <c r="P16" s="420"/>
      <c r="Q16" s="420"/>
      <c r="R16" s="421"/>
    </row>
    <row r="17" spans="2:18">
      <c r="B17" s="422"/>
      <c r="C17" s="230" t="s">
        <v>366</v>
      </c>
      <c r="D17" s="231" t="str">
        <f>$D$4</f>
        <v>Apr-Mar</v>
      </c>
      <c r="E17" s="136">
        <f>$E$4</f>
        <v>0</v>
      </c>
      <c r="F17" s="132"/>
      <c r="G17" s="230" t="s">
        <v>365</v>
      </c>
      <c r="H17" s="231" t="str">
        <f>$D$4</f>
        <v>Apr-Mar</v>
      </c>
      <c r="I17" s="136">
        <f>$E$4</f>
        <v>0</v>
      </c>
      <c r="J17" s="132"/>
      <c r="K17" s="230" t="s">
        <v>202</v>
      </c>
      <c r="L17" s="231" t="str">
        <f>$D$4</f>
        <v>Apr-Mar</v>
      </c>
      <c r="M17" s="136">
        <f>$E$4</f>
        <v>0</v>
      </c>
      <c r="N17" s="132"/>
      <c r="O17" s="230" t="s">
        <v>367</v>
      </c>
      <c r="P17" s="231" t="str">
        <f>$D$4</f>
        <v>Apr-Mar</v>
      </c>
      <c r="Q17" s="136">
        <f>$E$4</f>
        <v>0</v>
      </c>
      <c r="R17" s="423"/>
    </row>
    <row r="18" spans="2:18">
      <c r="B18" s="422"/>
      <c r="C18" s="434" t="s">
        <v>21</v>
      </c>
      <c r="D18" s="138"/>
      <c r="E18" s="435"/>
      <c r="F18" s="132"/>
      <c r="G18" s="434" t="s">
        <v>21</v>
      </c>
      <c r="H18" s="138"/>
      <c r="I18" s="435"/>
      <c r="J18" s="132"/>
      <c r="K18" s="436" t="s">
        <v>200</v>
      </c>
      <c r="L18" s="138">
        <v>615706</v>
      </c>
      <c r="M18" s="435">
        <v>0</v>
      </c>
      <c r="N18" s="132"/>
      <c r="O18" s="436" t="s">
        <v>19</v>
      </c>
      <c r="P18" s="138">
        <v>1392054</v>
      </c>
      <c r="Q18" s="435">
        <v>0</v>
      </c>
      <c r="R18" s="423"/>
    </row>
    <row r="19" spans="2:18">
      <c r="B19" s="422"/>
      <c r="C19" s="134" t="s">
        <v>331</v>
      </c>
      <c r="D19" s="132">
        <f>D98</f>
        <v>350829933.39483905</v>
      </c>
      <c r="E19" s="331">
        <v>0</v>
      </c>
      <c r="F19" s="132"/>
      <c r="G19" s="134" t="s">
        <v>331</v>
      </c>
      <c r="H19" s="132">
        <f>D111</f>
        <v>2839560.9144601892</v>
      </c>
      <c r="I19" s="331">
        <v>0</v>
      </c>
      <c r="J19" s="132"/>
      <c r="K19" s="134" t="s">
        <v>201</v>
      </c>
      <c r="L19" s="132">
        <v>737161</v>
      </c>
      <c r="M19" s="331">
        <v>0</v>
      </c>
      <c r="N19" s="132"/>
      <c r="O19" s="134"/>
      <c r="P19" s="132"/>
      <c r="Q19" s="331"/>
      <c r="R19" s="423"/>
    </row>
    <row r="20" spans="2:18">
      <c r="B20" s="422"/>
      <c r="C20" s="134" t="s">
        <v>332</v>
      </c>
      <c r="D20" s="132">
        <f>D99</f>
        <v>229050639.60516092</v>
      </c>
      <c r="E20" s="331">
        <v>0</v>
      </c>
      <c r="F20" s="132"/>
      <c r="G20" s="134" t="s">
        <v>332</v>
      </c>
      <c r="H20" s="132">
        <f>D112</f>
        <v>324135.08553981059</v>
      </c>
      <c r="I20" s="331">
        <v>0</v>
      </c>
      <c r="J20" s="132"/>
      <c r="K20" s="134" t="s">
        <v>79</v>
      </c>
      <c r="L20" s="132">
        <v>6609135</v>
      </c>
      <c r="M20" s="331">
        <v>0</v>
      </c>
      <c r="N20" s="132"/>
      <c r="O20" s="134" t="s">
        <v>12</v>
      </c>
      <c r="P20" s="132">
        <v>1015</v>
      </c>
      <c r="Q20" s="331">
        <v>0</v>
      </c>
      <c r="R20" s="423"/>
    </row>
    <row r="21" spans="2:18">
      <c r="B21" s="422"/>
      <c r="C21" s="134"/>
      <c r="D21" s="132"/>
      <c r="E21" s="331"/>
      <c r="F21" s="132"/>
      <c r="G21" s="134"/>
      <c r="H21" s="132"/>
      <c r="I21" s="331"/>
      <c r="J21" s="132"/>
      <c r="K21" s="134"/>
      <c r="L21" s="132"/>
      <c r="M21" s="331"/>
      <c r="N21" s="132"/>
      <c r="O21" s="134"/>
      <c r="P21" s="132"/>
      <c r="Q21" s="331"/>
      <c r="R21" s="423"/>
    </row>
    <row r="22" spans="2:18">
      <c r="B22" s="422"/>
      <c r="C22" s="134" t="s">
        <v>464</v>
      </c>
      <c r="D22" s="132">
        <v>1149515.7110438729</v>
      </c>
      <c r="E22" s="331">
        <v>0</v>
      </c>
      <c r="F22" s="132"/>
      <c r="G22" s="134" t="s">
        <v>12</v>
      </c>
      <c r="H22" s="132">
        <v>15282</v>
      </c>
      <c r="I22" s="331">
        <v>0</v>
      </c>
      <c r="J22" s="132"/>
      <c r="K22" s="134" t="s">
        <v>12</v>
      </c>
      <c r="L22" s="132">
        <v>5975</v>
      </c>
      <c r="M22" s="331">
        <v>0</v>
      </c>
      <c r="N22" s="132"/>
      <c r="O22" s="134"/>
      <c r="P22" s="132"/>
      <c r="Q22" s="331"/>
      <c r="R22" s="423"/>
    </row>
    <row r="23" spans="2:18">
      <c r="B23" s="422"/>
      <c r="C23" s="134"/>
      <c r="D23" s="132"/>
      <c r="E23" s="331"/>
      <c r="F23" s="132"/>
      <c r="G23" s="134"/>
      <c r="H23" s="132"/>
      <c r="I23" s="331"/>
      <c r="J23" s="132"/>
      <c r="K23" s="134"/>
      <c r="L23" s="132"/>
      <c r="M23" s="331"/>
      <c r="N23" s="132"/>
      <c r="O23" s="134"/>
      <c r="P23" s="132"/>
      <c r="Q23" s="331"/>
      <c r="R23" s="423"/>
    </row>
    <row r="24" spans="2:18">
      <c r="B24" s="422"/>
      <c r="C24" s="135" t="s">
        <v>12</v>
      </c>
      <c r="D24" s="330">
        <v>348522</v>
      </c>
      <c r="E24" s="437">
        <v>0</v>
      </c>
      <c r="F24" s="132"/>
      <c r="G24" s="135"/>
      <c r="H24" s="330"/>
      <c r="I24" s="437"/>
      <c r="J24" s="132"/>
      <c r="K24" s="135"/>
      <c r="L24" s="330"/>
      <c r="M24" s="437"/>
      <c r="N24" s="132"/>
      <c r="O24" s="135"/>
      <c r="P24" s="330"/>
      <c r="Q24" s="437"/>
      <c r="R24" s="423"/>
    </row>
    <row r="25" spans="2:18">
      <c r="B25" s="422"/>
      <c r="C25" s="132"/>
      <c r="D25" s="132"/>
      <c r="E25" s="132"/>
      <c r="F25" s="132"/>
      <c r="G25" s="132"/>
      <c r="H25" s="132"/>
      <c r="I25" s="132"/>
      <c r="J25" s="132"/>
      <c r="K25" s="132"/>
      <c r="L25" s="132"/>
      <c r="M25" s="132"/>
      <c r="N25" s="132"/>
      <c r="O25" s="132"/>
      <c r="P25" s="132"/>
      <c r="Q25" s="132"/>
      <c r="R25" s="423"/>
    </row>
    <row r="26" spans="2:18">
      <c r="B26" s="422"/>
      <c r="C26" s="230" t="s">
        <v>369</v>
      </c>
      <c r="D26" s="231" t="str">
        <f>$D$4</f>
        <v>Apr-Mar</v>
      </c>
      <c r="E26" s="136">
        <f>$E$4</f>
        <v>0</v>
      </c>
      <c r="F26" s="132"/>
      <c r="G26" s="230" t="s">
        <v>370</v>
      </c>
      <c r="H26" s="231" t="str">
        <f>$D$4</f>
        <v>Apr-Mar</v>
      </c>
      <c r="I26" s="136">
        <f>$E$4</f>
        <v>0</v>
      </c>
      <c r="J26" s="132"/>
      <c r="K26" s="230" t="s">
        <v>368</v>
      </c>
      <c r="L26" s="231" t="str">
        <f>$D$4</f>
        <v>Apr-Mar</v>
      </c>
      <c r="M26" s="136">
        <f>$E$4</f>
        <v>0</v>
      </c>
      <c r="N26" s="132"/>
      <c r="O26" s="230" t="s">
        <v>371</v>
      </c>
      <c r="P26" s="231" t="str">
        <f>$D$4</f>
        <v>Apr-Mar</v>
      </c>
      <c r="Q26" s="136">
        <f>$E$4</f>
        <v>0</v>
      </c>
      <c r="R26" s="423"/>
    </row>
    <row r="27" spans="2:18">
      <c r="B27" s="422"/>
      <c r="C27" s="436" t="s">
        <v>22</v>
      </c>
      <c r="D27" s="138">
        <v>658676</v>
      </c>
      <c r="E27" s="435">
        <v>0</v>
      </c>
      <c r="F27" s="132"/>
      <c r="G27" s="436" t="s">
        <v>22</v>
      </c>
      <c r="H27" s="138">
        <v>3283574</v>
      </c>
      <c r="I27" s="435">
        <v>0</v>
      </c>
      <c r="J27" s="132"/>
      <c r="K27" s="438" t="s">
        <v>21</v>
      </c>
      <c r="L27" s="132"/>
      <c r="M27" s="331"/>
      <c r="N27" s="132"/>
      <c r="O27" s="438" t="s">
        <v>21</v>
      </c>
      <c r="P27" s="132"/>
      <c r="Q27" s="331"/>
      <c r="R27" s="423"/>
    </row>
    <row r="28" spans="2:18">
      <c r="B28" s="422"/>
      <c r="C28" s="134" t="s">
        <v>23</v>
      </c>
      <c r="D28" s="132">
        <v>1018469</v>
      </c>
      <c r="E28" s="331">
        <v>0</v>
      </c>
      <c r="F28" s="132"/>
      <c r="G28" s="134" t="s">
        <v>23</v>
      </c>
      <c r="H28" s="132">
        <v>5076147</v>
      </c>
      <c r="I28" s="331">
        <v>0</v>
      </c>
      <c r="J28" s="132"/>
      <c r="K28" s="134" t="s">
        <v>331</v>
      </c>
      <c r="L28" s="132">
        <f>D103</f>
        <v>2561999.7448328501</v>
      </c>
      <c r="M28" s="331">
        <v>0</v>
      </c>
      <c r="N28" s="132"/>
      <c r="O28" s="134" t="s">
        <v>331</v>
      </c>
      <c r="P28" s="132">
        <v>106807</v>
      </c>
      <c r="Q28" s="331">
        <v>0</v>
      </c>
      <c r="R28" s="423"/>
    </row>
    <row r="29" spans="2:18">
      <c r="B29" s="422"/>
      <c r="C29" s="134"/>
      <c r="D29" s="132"/>
      <c r="E29" s="331"/>
      <c r="F29" s="132"/>
      <c r="G29" s="134"/>
      <c r="H29" s="132"/>
      <c r="I29" s="331"/>
      <c r="J29" s="132"/>
      <c r="K29" s="134" t="s">
        <v>332</v>
      </c>
      <c r="L29" s="132">
        <f>D104</f>
        <v>5674335.2551671499</v>
      </c>
      <c r="M29" s="331">
        <v>0</v>
      </c>
      <c r="N29" s="132"/>
      <c r="O29" s="134" t="s">
        <v>332</v>
      </c>
      <c r="P29" s="132">
        <v>318893</v>
      </c>
      <c r="Q29" s="331">
        <v>0</v>
      </c>
      <c r="R29" s="423"/>
    </row>
    <row r="30" spans="2:18">
      <c r="B30" s="422"/>
      <c r="C30" s="134" t="s">
        <v>12</v>
      </c>
      <c r="D30" s="132">
        <v>806</v>
      </c>
      <c r="E30" s="331">
        <v>0</v>
      </c>
      <c r="F30" s="132"/>
      <c r="G30" s="134" t="s">
        <v>12</v>
      </c>
      <c r="H30" s="132">
        <v>1672</v>
      </c>
      <c r="I30" s="331">
        <v>0</v>
      </c>
      <c r="J30" s="132"/>
      <c r="K30" s="438"/>
      <c r="L30" s="132"/>
      <c r="M30" s="331"/>
      <c r="N30" s="132"/>
      <c r="O30" s="438"/>
      <c r="P30" s="132"/>
      <c r="Q30" s="331"/>
      <c r="R30" s="423"/>
    </row>
    <row r="31" spans="2:18">
      <c r="B31" s="422"/>
      <c r="C31" s="134"/>
      <c r="D31" s="132"/>
      <c r="E31" s="331"/>
      <c r="F31" s="132"/>
      <c r="G31" s="134"/>
      <c r="H31" s="132"/>
      <c r="I31" s="331"/>
      <c r="J31" s="132"/>
      <c r="K31" s="134" t="s">
        <v>464</v>
      </c>
      <c r="L31" s="132">
        <v>23707.778702163061</v>
      </c>
      <c r="M31" s="331">
        <v>0</v>
      </c>
      <c r="N31" s="132"/>
      <c r="O31" s="134" t="s">
        <v>464</v>
      </c>
      <c r="P31" s="132">
        <v>627.92948717948718</v>
      </c>
      <c r="Q31" s="331">
        <v>0</v>
      </c>
      <c r="R31" s="423"/>
    </row>
    <row r="32" spans="2:18">
      <c r="B32" s="422"/>
      <c r="C32" s="134"/>
      <c r="D32" s="132"/>
      <c r="E32" s="331"/>
      <c r="F32" s="132"/>
      <c r="G32" s="134"/>
      <c r="H32" s="132"/>
      <c r="I32" s="331"/>
      <c r="J32" s="132"/>
      <c r="K32" s="134"/>
      <c r="L32" s="132"/>
      <c r="M32" s="331"/>
      <c r="N32" s="132"/>
      <c r="O32" s="134"/>
      <c r="P32" s="132"/>
      <c r="Q32" s="331"/>
      <c r="R32" s="423"/>
    </row>
    <row r="33" spans="2:18">
      <c r="B33" s="422"/>
      <c r="C33" s="135"/>
      <c r="D33" s="330"/>
      <c r="E33" s="437"/>
      <c r="F33" s="132"/>
      <c r="G33" s="135"/>
      <c r="H33" s="330"/>
      <c r="I33" s="437"/>
      <c r="J33" s="132"/>
      <c r="K33" s="135" t="s">
        <v>12</v>
      </c>
      <c r="L33" s="330">
        <v>890</v>
      </c>
      <c r="M33" s="437">
        <v>0</v>
      </c>
      <c r="N33" s="132"/>
      <c r="O33" s="135" t="s">
        <v>12</v>
      </c>
      <c r="P33" s="330">
        <v>37</v>
      </c>
      <c r="Q33" s="437">
        <v>0</v>
      </c>
      <c r="R33" s="423"/>
    </row>
    <row r="34" spans="2:18" ht="12" thickBot="1">
      <c r="B34" s="431"/>
      <c r="C34" s="432"/>
      <c r="D34" s="432"/>
      <c r="E34" s="432"/>
      <c r="F34" s="432"/>
      <c r="G34" s="432"/>
      <c r="H34" s="432"/>
      <c r="I34" s="432"/>
      <c r="J34" s="432"/>
      <c r="K34" s="432"/>
      <c r="L34" s="432"/>
      <c r="M34" s="432"/>
      <c r="N34" s="432"/>
      <c r="O34" s="432"/>
      <c r="P34" s="432"/>
      <c r="Q34" s="432"/>
      <c r="R34" s="433"/>
    </row>
    <row r="36" spans="2:18" ht="12" thickBot="1">
      <c r="B36" s="439" t="s">
        <v>252</v>
      </c>
    </row>
    <row r="37" spans="2:18">
      <c r="B37" s="419"/>
      <c r="C37" s="420"/>
      <c r="D37" s="420"/>
      <c r="E37" s="420"/>
      <c r="F37" s="420"/>
      <c r="G37" s="420"/>
      <c r="H37" s="420"/>
      <c r="I37" s="420"/>
      <c r="J37" s="420"/>
      <c r="K37" s="420"/>
      <c r="L37" s="420"/>
      <c r="M37" s="420"/>
      <c r="N37" s="420"/>
      <c r="O37" s="420"/>
      <c r="P37" s="420"/>
      <c r="Q37" s="420"/>
      <c r="R37" s="421"/>
    </row>
    <row r="38" spans="2:18">
      <c r="B38" s="422"/>
      <c r="C38" s="440"/>
      <c r="D38" s="132"/>
      <c r="E38" s="441"/>
      <c r="F38" s="132"/>
      <c r="G38" s="132"/>
      <c r="H38" s="132"/>
      <c r="I38" s="441"/>
      <c r="J38" s="132"/>
      <c r="K38" s="132"/>
      <c r="L38" s="132"/>
      <c r="M38" s="441"/>
      <c r="N38" s="132"/>
      <c r="O38" s="132"/>
      <c r="P38" s="132"/>
      <c r="Q38" s="441"/>
      <c r="R38" s="423"/>
    </row>
    <row r="39" spans="2:18">
      <c r="B39" s="422"/>
      <c r="C39" s="246" t="s">
        <v>372</v>
      </c>
      <c r="D39" s="247" t="str">
        <f>$D$4</f>
        <v>Apr-Mar</v>
      </c>
      <c r="E39" s="137">
        <f>$E$4</f>
        <v>0</v>
      </c>
      <c r="F39" s="132"/>
      <c r="G39" s="246" t="s">
        <v>376</v>
      </c>
      <c r="H39" s="247" t="str">
        <f>$D$4</f>
        <v>Apr-Mar</v>
      </c>
      <c r="I39" s="137">
        <f>$E$4</f>
        <v>0</v>
      </c>
      <c r="J39" s="132"/>
      <c r="K39" s="230" t="s">
        <v>377</v>
      </c>
      <c r="L39" s="231" t="str">
        <f>$D$4</f>
        <v>Apr-Mar</v>
      </c>
      <c r="M39" s="136">
        <f>$E$4</f>
        <v>0</v>
      </c>
      <c r="N39" s="132"/>
      <c r="O39" s="230" t="s">
        <v>378</v>
      </c>
      <c r="P39" s="231" t="str">
        <f>$D$4</f>
        <v>Apr-Mar</v>
      </c>
      <c r="Q39" s="136">
        <f>$E$4</f>
        <v>0</v>
      </c>
      <c r="R39" s="423"/>
    </row>
    <row r="40" spans="2:18">
      <c r="B40" s="422"/>
      <c r="C40" s="436" t="s">
        <v>21</v>
      </c>
      <c r="D40" s="138">
        <v>295325187</v>
      </c>
      <c r="E40" s="435">
        <v>0</v>
      </c>
      <c r="F40" s="132"/>
      <c r="G40" s="436" t="s">
        <v>22</v>
      </c>
      <c r="H40" s="138">
        <v>729517</v>
      </c>
      <c r="I40" s="435">
        <v>0</v>
      </c>
      <c r="J40" s="132"/>
      <c r="K40" s="436" t="s">
        <v>20</v>
      </c>
      <c r="L40" s="138">
        <v>9215</v>
      </c>
      <c r="M40" s="435">
        <v>0</v>
      </c>
      <c r="N40" s="132"/>
      <c r="O40" s="436" t="s">
        <v>20</v>
      </c>
      <c r="P40" s="138">
        <v>6346</v>
      </c>
      <c r="Q40" s="435">
        <v>0</v>
      </c>
      <c r="R40" s="423"/>
    </row>
    <row r="41" spans="2:18">
      <c r="B41" s="422"/>
      <c r="C41" s="134" t="s">
        <v>20</v>
      </c>
      <c r="D41" s="132">
        <v>822045</v>
      </c>
      <c r="E41" s="331">
        <v>0</v>
      </c>
      <c r="F41" s="132"/>
      <c r="G41" s="134" t="s">
        <v>23</v>
      </c>
      <c r="H41" s="132">
        <v>1017455</v>
      </c>
      <c r="I41" s="331">
        <v>0</v>
      </c>
      <c r="J41" s="132"/>
      <c r="K41" s="134" t="s">
        <v>341</v>
      </c>
      <c r="L41" s="132">
        <v>4420</v>
      </c>
      <c r="M41" s="331">
        <v>0</v>
      </c>
      <c r="N41" s="132"/>
      <c r="O41" s="134" t="s">
        <v>341</v>
      </c>
      <c r="P41" s="132">
        <v>1536</v>
      </c>
      <c r="Q41" s="331">
        <v>0</v>
      </c>
      <c r="R41" s="423"/>
    </row>
    <row r="42" spans="2:18">
      <c r="B42" s="422"/>
      <c r="C42" s="134" t="s">
        <v>341</v>
      </c>
      <c r="D42" s="132">
        <v>49583</v>
      </c>
      <c r="E42" s="331">
        <v>0</v>
      </c>
      <c r="F42" s="132"/>
      <c r="G42" s="134"/>
      <c r="H42" s="132"/>
      <c r="I42" s="331"/>
      <c r="J42" s="132"/>
      <c r="K42" s="134" t="s">
        <v>12</v>
      </c>
      <c r="L42" s="132">
        <v>50</v>
      </c>
      <c r="M42" s="331">
        <v>0</v>
      </c>
      <c r="O42" s="134" t="s">
        <v>12</v>
      </c>
      <c r="P42" s="132">
        <v>24</v>
      </c>
      <c r="Q42" s="331">
        <v>0</v>
      </c>
      <c r="R42" s="423"/>
    </row>
    <row r="43" spans="2:18">
      <c r="B43" s="422"/>
      <c r="C43" s="134" t="s">
        <v>12</v>
      </c>
      <c r="D43" s="132">
        <v>4320</v>
      </c>
      <c r="E43" s="331">
        <v>0</v>
      </c>
      <c r="F43" s="132"/>
      <c r="G43" s="134" t="s">
        <v>12</v>
      </c>
      <c r="H43" s="132">
        <v>84</v>
      </c>
      <c r="I43" s="331">
        <v>0</v>
      </c>
      <c r="J43" s="132"/>
      <c r="K43" s="134" t="s">
        <v>22</v>
      </c>
      <c r="L43" s="132">
        <v>2056801</v>
      </c>
      <c r="M43" s="331">
        <v>0</v>
      </c>
      <c r="N43" s="132"/>
      <c r="O43" s="134" t="s">
        <v>22</v>
      </c>
      <c r="P43" s="132">
        <v>1028280</v>
      </c>
      <c r="Q43" s="331">
        <v>0</v>
      </c>
      <c r="R43" s="423"/>
    </row>
    <row r="44" spans="2:18">
      <c r="B44" s="422"/>
      <c r="C44" s="135"/>
      <c r="D44" s="330"/>
      <c r="E44" s="437"/>
      <c r="F44" s="132"/>
      <c r="G44" s="135"/>
      <c r="H44" s="330"/>
      <c r="I44" s="437"/>
      <c r="J44" s="132"/>
      <c r="K44" s="135" t="s">
        <v>23</v>
      </c>
      <c r="L44" s="330">
        <v>2954047</v>
      </c>
      <c r="M44" s="437">
        <v>0</v>
      </c>
      <c r="O44" s="135" t="s">
        <v>23</v>
      </c>
      <c r="P44" s="330">
        <v>1257784</v>
      </c>
      <c r="Q44" s="437">
        <v>0</v>
      </c>
      <c r="R44" s="423"/>
    </row>
    <row r="45" spans="2:18">
      <c r="B45" s="422"/>
      <c r="C45" s="132"/>
      <c r="D45" s="132"/>
      <c r="E45" s="441"/>
      <c r="F45" s="132"/>
      <c r="G45" s="132"/>
      <c r="H45" s="132"/>
      <c r="I45" s="132"/>
      <c r="J45" s="132"/>
      <c r="K45" s="132"/>
      <c r="L45" s="132"/>
      <c r="M45" s="441"/>
      <c r="N45" s="132"/>
      <c r="O45" s="132"/>
      <c r="P45" s="132"/>
      <c r="Q45" s="132"/>
      <c r="R45" s="423"/>
    </row>
    <row r="46" spans="2:18">
      <c r="B46" s="422"/>
      <c r="C46" s="230" t="s">
        <v>373</v>
      </c>
      <c r="D46" s="231" t="str">
        <f>$D$4</f>
        <v>Apr-Mar</v>
      </c>
      <c r="E46" s="136">
        <f>$E$4</f>
        <v>0</v>
      </c>
      <c r="F46" s="132"/>
      <c r="G46" s="230" t="s">
        <v>374</v>
      </c>
      <c r="H46" s="231" t="str">
        <f>$D$4</f>
        <v>Apr-Mar</v>
      </c>
      <c r="I46" s="136">
        <f>$E$4</f>
        <v>0</v>
      </c>
      <c r="J46" s="132"/>
      <c r="K46" s="230" t="s">
        <v>375</v>
      </c>
      <c r="L46" s="231" t="str">
        <f>$D$4</f>
        <v>Apr-Mar</v>
      </c>
      <c r="M46" s="136">
        <f>$E$4</f>
        <v>0</v>
      </c>
      <c r="N46" s="132"/>
      <c r="O46" s="132"/>
      <c r="P46" s="132"/>
      <c r="Q46" s="132"/>
      <c r="R46" s="423"/>
    </row>
    <row r="47" spans="2:18">
      <c r="B47" s="422"/>
      <c r="C47" s="134" t="s">
        <v>21</v>
      </c>
      <c r="D47" s="132">
        <v>81672728</v>
      </c>
      <c r="E47" s="331">
        <v>0</v>
      </c>
      <c r="F47" s="132"/>
      <c r="G47" s="134" t="s">
        <v>21</v>
      </c>
      <c r="H47" s="132">
        <v>12948743</v>
      </c>
      <c r="I47" s="331">
        <v>0</v>
      </c>
      <c r="J47" s="132"/>
      <c r="K47" s="134" t="s">
        <v>21</v>
      </c>
      <c r="L47" s="132">
        <v>0</v>
      </c>
      <c r="M47" s="331">
        <v>0</v>
      </c>
      <c r="N47" s="132"/>
      <c r="O47" s="132"/>
      <c r="P47" s="132"/>
      <c r="Q47" s="132"/>
      <c r="R47" s="423"/>
    </row>
    <row r="48" spans="2:18">
      <c r="B48" s="422"/>
      <c r="C48" s="134" t="s">
        <v>20</v>
      </c>
      <c r="D48" s="132">
        <v>318633</v>
      </c>
      <c r="E48" s="331">
        <v>0</v>
      </c>
      <c r="F48" s="132"/>
      <c r="G48" s="134" t="s">
        <v>20</v>
      </c>
      <c r="H48" s="132">
        <v>29271</v>
      </c>
      <c r="I48" s="331">
        <v>0</v>
      </c>
      <c r="J48" s="132"/>
      <c r="K48" s="134" t="s">
        <v>20</v>
      </c>
      <c r="L48" s="132">
        <v>0</v>
      </c>
      <c r="M48" s="331">
        <v>0</v>
      </c>
      <c r="N48" s="132"/>
      <c r="O48" s="132"/>
      <c r="P48" s="132"/>
      <c r="Q48" s="132"/>
      <c r="R48" s="423"/>
    </row>
    <row r="49" spans="2:18">
      <c r="B49" s="422"/>
      <c r="C49" s="134" t="s">
        <v>341</v>
      </c>
      <c r="D49" s="132">
        <v>75094</v>
      </c>
      <c r="E49" s="331">
        <v>0</v>
      </c>
      <c r="F49" s="132"/>
      <c r="G49" s="134" t="s">
        <v>341</v>
      </c>
      <c r="H49" s="132">
        <v>2721</v>
      </c>
      <c r="I49" s="331">
        <v>0</v>
      </c>
      <c r="J49" s="132"/>
      <c r="K49" s="134" t="s">
        <v>341</v>
      </c>
      <c r="L49" s="132">
        <v>0</v>
      </c>
      <c r="M49" s="331">
        <v>0</v>
      </c>
      <c r="N49" s="132"/>
      <c r="O49" s="132"/>
      <c r="P49" s="132"/>
      <c r="Q49" s="132"/>
      <c r="R49" s="423"/>
    </row>
    <row r="50" spans="2:18">
      <c r="B50" s="422"/>
      <c r="C50" s="135" t="s">
        <v>12</v>
      </c>
      <c r="D50" s="330">
        <v>801</v>
      </c>
      <c r="E50" s="437">
        <v>0</v>
      </c>
      <c r="F50" s="132"/>
      <c r="G50" s="135" t="s">
        <v>12</v>
      </c>
      <c r="H50" s="330">
        <v>78</v>
      </c>
      <c r="I50" s="437">
        <v>0</v>
      </c>
      <c r="J50" s="132"/>
      <c r="K50" s="135" t="s">
        <v>12</v>
      </c>
      <c r="L50" s="330">
        <v>0</v>
      </c>
      <c r="M50" s="437">
        <v>0</v>
      </c>
      <c r="N50" s="132"/>
      <c r="O50" s="132"/>
      <c r="P50" s="132"/>
      <c r="Q50" s="132"/>
      <c r="R50" s="423"/>
    </row>
    <row r="51" spans="2:18" ht="12" thickBot="1">
      <c r="B51" s="431"/>
      <c r="C51" s="432"/>
      <c r="D51" s="432"/>
      <c r="E51" s="432"/>
      <c r="F51" s="432"/>
      <c r="G51" s="432"/>
      <c r="H51" s="432"/>
      <c r="I51" s="432"/>
      <c r="J51" s="432"/>
      <c r="K51" s="432"/>
      <c r="L51" s="432"/>
      <c r="M51" s="432"/>
      <c r="N51" s="432"/>
      <c r="O51" s="432"/>
      <c r="P51" s="432"/>
      <c r="Q51" s="432"/>
      <c r="R51" s="433"/>
    </row>
    <row r="53" spans="2:18" ht="12" thickBot="1">
      <c r="B53" s="439" t="s">
        <v>466</v>
      </c>
    </row>
    <row r="54" spans="2:18">
      <c r="B54" s="419"/>
      <c r="C54" s="420"/>
      <c r="D54" s="442"/>
      <c r="E54" s="442"/>
      <c r="F54" s="420"/>
      <c r="G54" s="420"/>
      <c r="H54" s="420"/>
      <c r="I54" s="442"/>
      <c r="J54" s="421"/>
    </row>
    <row r="55" spans="2:18">
      <c r="B55" s="422"/>
      <c r="C55" s="230" t="s">
        <v>379</v>
      </c>
      <c r="D55" s="231" t="str">
        <f>$D$4</f>
        <v>Apr-Mar</v>
      </c>
      <c r="E55" s="136">
        <f>$E$4</f>
        <v>0</v>
      </c>
      <c r="F55" s="132"/>
      <c r="G55" s="230" t="s">
        <v>380</v>
      </c>
      <c r="H55" s="231" t="str">
        <f>$D$4</f>
        <v>Apr-Mar</v>
      </c>
      <c r="I55" s="136">
        <f>$E$4</f>
        <v>0</v>
      </c>
      <c r="J55" s="423"/>
    </row>
    <row r="56" spans="2:18">
      <c r="B56" s="422"/>
      <c r="C56" s="134" t="s">
        <v>21</v>
      </c>
      <c r="D56" s="132">
        <v>85222505</v>
      </c>
      <c r="E56" s="331">
        <v>0</v>
      </c>
      <c r="F56" s="132"/>
      <c r="G56" s="134" t="s">
        <v>21</v>
      </c>
      <c r="H56" s="132">
        <v>1696500</v>
      </c>
      <c r="I56" s="331">
        <v>0</v>
      </c>
      <c r="J56" s="423"/>
    </row>
    <row r="57" spans="2:18">
      <c r="B57" s="422"/>
      <c r="C57" s="134" t="s">
        <v>20</v>
      </c>
      <c r="D57" s="132">
        <v>333879</v>
      </c>
      <c r="E57" s="331">
        <v>0</v>
      </c>
      <c r="F57" s="132"/>
      <c r="G57" s="134" t="s">
        <v>20</v>
      </c>
      <c r="H57" s="132">
        <v>6357</v>
      </c>
      <c r="I57" s="331">
        <v>0</v>
      </c>
      <c r="J57" s="423"/>
    </row>
    <row r="58" spans="2:18">
      <c r="B58" s="422"/>
      <c r="C58" s="134" t="s">
        <v>341</v>
      </c>
      <c r="D58" s="132">
        <v>9786</v>
      </c>
      <c r="E58" s="331">
        <v>0</v>
      </c>
      <c r="F58" s="132"/>
      <c r="G58" s="134" t="s">
        <v>341</v>
      </c>
      <c r="H58" s="132">
        <v>136</v>
      </c>
      <c r="I58" s="331">
        <v>0</v>
      </c>
      <c r="J58" s="423"/>
    </row>
    <row r="59" spans="2:18">
      <c r="B59" s="422"/>
      <c r="C59" s="135" t="s">
        <v>12</v>
      </c>
      <c r="D59" s="330">
        <v>1641</v>
      </c>
      <c r="E59" s="437">
        <v>0</v>
      </c>
      <c r="F59" s="132"/>
      <c r="G59" s="135" t="s">
        <v>12</v>
      </c>
      <c r="H59" s="330">
        <v>12</v>
      </c>
      <c r="I59" s="437">
        <v>0</v>
      </c>
      <c r="J59" s="423"/>
    </row>
    <row r="60" spans="2:18" ht="12" thickBot="1">
      <c r="B60" s="431"/>
      <c r="C60" s="432"/>
      <c r="D60" s="432"/>
      <c r="E60" s="432"/>
      <c r="F60" s="432"/>
      <c r="G60" s="432"/>
      <c r="H60" s="432"/>
      <c r="I60" s="432"/>
      <c r="J60" s="433"/>
    </row>
    <row r="62" spans="2:18" ht="12" thickBot="1">
      <c r="B62" s="439" t="s">
        <v>465</v>
      </c>
    </row>
    <row r="63" spans="2:18">
      <c r="B63" s="419"/>
      <c r="C63" s="420"/>
      <c r="D63" s="420"/>
      <c r="E63" s="443"/>
      <c r="F63" s="420"/>
      <c r="G63" s="420"/>
      <c r="H63" s="420"/>
      <c r="I63" s="420"/>
      <c r="J63" s="443"/>
      <c r="K63" s="420"/>
      <c r="L63" s="420"/>
      <c r="M63" s="420"/>
      <c r="N63" s="443"/>
      <c r="O63" s="420"/>
      <c r="P63" s="420"/>
      <c r="Q63" s="420"/>
      <c r="R63" s="444"/>
    </row>
    <row r="64" spans="2:18">
      <c r="B64" s="422"/>
      <c r="C64" s="230" t="s">
        <v>384</v>
      </c>
      <c r="D64" s="231" t="str">
        <f>$D$4</f>
        <v>Apr-Mar</v>
      </c>
      <c r="E64" s="136">
        <f>$E$4</f>
        <v>0</v>
      </c>
      <c r="F64" s="132"/>
      <c r="G64" s="230" t="s">
        <v>381</v>
      </c>
      <c r="H64" s="231" t="str">
        <f>$D$4</f>
        <v>Apr-Mar</v>
      </c>
      <c r="I64" s="136">
        <f>$E$4</f>
        <v>0</v>
      </c>
      <c r="J64" s="132"/>
      <c r="K64" s="230" t="s">
        <v>382</v>
      </c>
      <c r="L64" s="231" t="str">
        <f>$D$4</f>
        <v>Apr-Mar</v>
      </c>
      <c r="M64" s="136">
        <f>$E$4</f>
        <v>0</v>
      </c>
      <c r="N64" s="132"/>
      <c r="O64" s="230" t="s">
        <v>383</v>
      </c>
      <c r="P64" s="231" t="str">
        <f>$D$4</f>
        <v>Apr-Mar</v>
      </c>
      <c r="Q64" s="136">
        <f>$E$4</f>
        <v>0</v>
      </c>
      <c r="R64" s="423"/>
    </row>
    <row r="65" spans="2:18">
      <c r="B65" s="422"/>
      <c r="C65" s="134" t="s">
        <v>21</v>
      </c>
      <c r="D65" s="132">
        <v>15643440</v>
      </c>
      <c r="E65" s="331">
        <v>0</v>
      </c>
      <c r="F65" s="132"/>
      <c r="G65" s="134" t="s">
        <v>21</v>
      </c>
      <c r="H65" s="132">
        <v>304821919</v>
      </c>
      <c r="I65" s="331">
        <v>0</v>
      </c>
      <c r="J65" s="132"/>
      <c r="K65" s="134" t="s">
        <v>21</v>
      </c>
      <c r="L65" s="132">
        <v>1742228071</v>
      </c>
      <c r="M65" s="331">
        <v>0</v>
      </c>
      <c r="N65" s="132"/>
      <c r="O65" s="134" t="s">
        <v>21</v>
      </c>
      <c r="P65" s="132">
        <v>245809083</v>
      </c>
      <c r="Q65" s="331">
        <v>0</v>
      </c>
      <c r="R65" s="423"/>
    </row>
    <row r="66" spans="2:18">
      <c r="B66" s="422"/>
      <c r="C66" s="438" t="s">
        <v>20</v>
      </c>
      <c r="D66" s="132"/>
      <c r="E66" s="331"/>
      <c r="F66" s="132"/>
      <c r="G66" s="438" t="s">
        <v>20</v>
      </c>
      <c r="H66" s="132"/>
      <c r="I66" s="331"/>
      <c r="J66" s="132"/>
      <c r="K66" s="438" t="s">
        <v>20</v>
      </c>
      <c r="L66" s="132"/>
      <c r="M66" s="331"/>
      <c r="N66" s="132"/>
      <c r="O66" s="438" t="s">
        <v>20</v>
      </c>
      <c r="P66" s="132"/>
      <c r="Q66" s="331"/>
      <c r="R66" s="423"/>
    </row>
    <row r="67" spans="2:18">
      <c r="B67" s="422"/>
      <c r="C67" s="134" t="s">
        <v>24</v>
      </c>
      <c r="D67" s="132">
        <v>14382</v>
      </c>
      <c r="E67" s="331">
        <v>0</v>
      </c>
      <c r="F67" s="132"/>
      <c r="G67" s="134" t="s">
        <v>24</v>
      </c>
      <c r="H67" s="132">
        <v>572328</v>
      </c>
      <c r="I67" s="331">
        <v>0</v>
      </c>
      <c r="J67" s="132"/>
      <c r="K67" s="134" t="s">
        <v>24</v>
      </c>
      <c r="L67" s="132">
        <v>2555957</v>
      </c>
      <c r="M67" s="331">
        <v>0</v>
      </c>
      <c r="N67" s="132"/>
      <c r="O67" s="134" t="s">
        <v>24</v>
      </c>
      <c r="P67" s="132">
        <v>424787.00000000006</v>
      </c>
      <c r="Q67" s="331">
        <v>0</v>
      </c>
      <c r="R67" s="423"/>
    </row>
    <row r="68" spans="2:18">
      <c r="B68" s="422"/>
      <c r="C68" s="134" t="s">
        <v>44</v>
      </c>
      <c r="D68" s="132">
        <v>13558</v>
      </c>
      <c r="E68" s="331">
        <v>0</v>
      </c>
      <c r="F68" s="132"/>
      <c r="G68" s="134" t="s">
        <v>44</v>
      </c>
      <c r="H68" s="132">
        <v>517112</v>
      </c>
      <c r="I68" s="331">
        <v>0</v>
      </c>
      <c r="J68" s="132"/>
      <c r="K68" s="134" t="s">
        <v>44</v>
      </c>
      <c r="L68" s="132">
        <v>2542082</v>
      </c>
      <c r="M68" s="331">
        <v>0</v>
      </c>
      <c r="N68" s="132"/>
      <c r="O68" s="134" t="s">
        <v>44</v>
      </c>
      <c r="P68" s="132">
        <v>417408</v>
      </c>
      <c r="Q68" s="331">
        <v>0</v>
      </c>
      <c r="R68" s="423"/>
    </row>
    <row r="69" spans="2:18" s="164" customFormat="1">
      <c r="B69" s="181"/>
      <c r="C69" s="182" t="s">
        <v>45</v>
      </c>
      <c r="D69" s="170">
        <v>18368</v>
      </c>
      <c r="E69" s="183">
        <v>0</v>
      </c>
      <c r="F69" s="170"/>
      <c r="G69" s="182" t="s">
        <v>45</v>
      </c>
      <c r="H69" s="170">
        <v>189960</v>
      </c>
      <c r="I69" s="183">
        <v>0</v>
      </c>
      <c r="J69" s="170"/>
      <c r="K69" s="182" t="s">
        <v>45</v>
      </c>
      <c r="L69" s="170">
        <v>188191</v>
      </c>
      <c r="M69" s="183">
        <v>0</v>
      </c>
      <c r="N69" s="170"/>
      <c r="O69" s="182" t="s">
        <v>45</v>
      </c>
      <c r="P69" s="170">
        <v>11524</v>
      </c>
      <c r="Q69" s="183">
        <v>0</v>
      </c>
      <c r="R69" s="184"/>
    </row>
    <row r="70" spans="2:18">
      <c r="B70" s="422"/>
      <c r="C70" s="134" t="s">
        <v>342</v>
      </c>
      <c r="D70" s="132">
        <v>94</v>
      </c>
      <c r="E70" s="331">
        <v>0</v>
      </c>
      <c r="F70" s="132"/>
      <c r="G70" s="134" t="s">
        <v>342</v>
      </c>
      <c r="H70" s="132">
        <v>140505.13043478262</v>
      </c>
      <c r="I70" s="331">
        <v>0</v>
      </c>
      <c r="J70" s="132"/>
      <c r="K70" s="134" t="s">
        <v>342</v>
      </c>
      <c r="L70" s="132">
        <v>183161</v>
      </c>
      <c r="M70" s="331">
        <v>0</v>
      </c>
      <c r="N70" s="132"/>
      <c r="O70" s="134" t="s">
        <v>342</v>
      </c>
      <c r="P70" s="132">
        <v>47214</v>
      </c>
      <c r="Q70" s="331">
        <v>0</v>
      </c>
      <c r="R70" s="423"/>
    </row>
    <row r="71" spans="2:18">
      <c r="B71" s="422"/>
      <c r="C71" s="134" t="s">
        <v>12</v>
      </c>
      <c r="D71" s="132">
        <v>48</v>
      </c>
      <c r="E71" s="331">
        <v>0</v>
      </c>
      <c r="F71" s="132"/>
      <c r="G71" s="134" t="s">
        <v>12</v>
      </c>
      <c r="H71" s="132">
        <v>472</v>
      </c>
      <c r="I71" s="331">
        <v>0</v>
      </c>
      <c r="J71" s="132"/>
      <c r="K71" s="134" t="s">
        <v>12</v>
      </c>
      <c r="L71" s="132">
        <v>265</v>
      </c>
      <c r="M71" s="331">
        <v>0</v>
      </c>
      <c r="N71" s="132"/>
      <c r="O71" s="134" t="s">
        <v>12</v>
      </c>
      <c r="P71" s="132">
        <v>36</v>
      </c>
      <c r="Q71" s="331">
        <v>0</v>
      </c>
      <c r="R71" s="423"/>
    </row>
    <row r="72" spans="2:18">
      <c r="B72" s="422"/>
      <c r="C72" s="135" t="s">
        <v>343</v>
      </c>
      <c r="D72" s="330"/>
      <c r="E72" s="437"/>
      <c r="F72" s="132"/>
      <c r="G72" s="135" t="s">
        <v>343</v>
      </c>
      <c r="H72" s="330">
        <v>79835</v>
      </c>
      <c r="I72" s="437">
        <v>0</v>
      </c>
      <c r="J72" s="132"/>
      <c r="K72" s="135" t="s">
        <v>343</v>
      </c>
      <c r="L72" s="330">
        <v>164630</v>
      </c>
      <c r="M72" s="437">
        <v>0</v>
      </c>
      <c r="N72" s="132"/>
      <c r="O72" s="135" t="s">
        <v>343</v>
      </c>
      <c r="P72" s="330">
        <v>34158</v>
      </c>
      <c r="Q72" s="437">
        <v>0</v>
      </c>
      <c r="R72" s="423"/>
    </row>
    <row r="73" spans="2:18" ht="12" thickBot="1">
      <c r="B73" s="431"/>
      <c r="C73" s="432"/>
      <c r="D73" s="432"/>
      <c r="E73" s="432"/>
      <c r="F73" s="432"/>
      <c r="G73" s="432"/>
      <c r="H73" s="432"/>
      <c r="I73" s="432"/>
      <c r="J73" s="432"/>
      <c r="K73" s="432"/>
      <c r="L73" s="432"/>
      <c r="M73" s="432"/>
      <c r="N73" s="432"/>
      <c r="O73" s="432"/>
      <c r="P73" s="432"/>
      <c r="Q73" s="432"/>
      <c r="R73" s="433"/>
    </row>
    <row r="75" spans="2:18">
      <c r="H75" s="418">
        <v>721970</v>
      </c>
      <c r="I75" s="418">
        <v>122249</v>
      </c>
    </row>
    <row r="76" spans="2:18">
      <c r="H76" s="418">
        <v>629091</v>
      </c>
      <c r="I76" s="418">
        <v>110198</v>
      </c>
    </row>
    <row r="77" spans="2:18" ht="12" thickBot="1">
      <c r="B77" s="439" t="s">
        <v>34</v>
      </c>
      <c r="H77" s="418">
        <v>86873.48536695182</v>
      </c>
      <c r="I77" s="418">
        <v>28558</v>
      </c>
    </row>
    <row r="78" spans="2:18">
      <c r="B78" s="419"/>
      <c r="C78" s="420"/>
      <c r="D78" s="420"/>
      <c r="E78" s="420"/>
      <c r="F78" s="421"/>
    </row>
    <row r="79" spans="2:18">
      <c r="B79" s="422"/>
      <c r="C79" s="230" t="s">
        <v>34</v>
      </c>
      <c r="D79" s="231" t="str">
        <f>$D$4</f>
        <v>Apr-Mar</v>
      </c>
      <c r="E79" s="136">
        <f>$E$4</f>
        <v>0</v>
      </c>
      <c r="F79" s="423"/>
    </row>
    <row r="80" spans="2:18">
      <c r="B80" s="422"/>
      <c r="C80" s="436" t="s">
        <v>19</v>
      </c>
      <c r="D80" s="138">
        <v>1766943</v>
      </c>
      <c r="E80" s="435">
        <v>0</v>
      </c>
      <c r="F80" s="423"/>
    </row>
    <row r="81" spans="2:8">
      <c r="B81" s="422"/>
      <c r="C81" s="134" t="s">
        <v>100</v>
      </c>
      <c r="D81" s="132">
        <v>1187</v>
      </c>
      <c r="E81" s="331">
        <v>0</v>
      </c>
      <c r="F81" s="423"/>
      <c r="H81" s="418">
        <f>96948.54</f>
        <v>96948.54</v>
      </c>
    </row>
    <row r="82" spans="2:8">
      <c r="B82" s="422"/>
      <c r="C82" s="135" t="s">
        <v>12</v>
      </c>
      <c r="D82" s="330">
        <v>103</v>
      </c>
      <c r="E82" s="437">
        <v>0</v>
      </c>
      <c r="F82" s="423"/>
      <c r="H82" s="418">
        <f>H81/0.69</f>
        <v>140505.13043478262</v>
      </c>
    </row>
    <row r="83" spans="2:8" ht="12" thickBot="1">
      <c r="B83" s="431"/>
      <c r="C83" s="432"/>
      <c r="D83" s="432"/>
      <c r="E83" s="432"/>
      <c r="F83" s="433"/>
    </row>
    <row r="90" spans="2:8">
      <c r="C90" s="418" t="s">
        <v>818</v>
      </c>
    </row>
    <row r="91" spans="2:8">
      <c r="C91" s="418" t="s">
        <v>819</v>
      </c>
      <c r="D91" s="418">
        <v>2016333</v>
      </c>
    </row>
    <row r="92" spans="2:8">
      <c r="C92" s="418" t="s">
        <v>820</v>
      </c>
      <c r="D92" s="418">
        <v>29241</v>
      </c>
    </row>
    <row r="93" spans="2:8">
      <c r="C93" s="418" t="s">
        <v>821</v>
      </c>
      <c r="D93" s="418">
        <v>869</v>
      </c>
    </row>
    <row r="97" spans="3:5">
      <c r="C97" s="418" t="s">
        <v>819</v>
      </c>
      <c r="D97" s="418">
        <v>579880573</v>
      </c>
    </row>
    <row r="98" spans="3:5">
      <c r="C98" s="418" t="s">
        <v>832</v>
      </c>
      <c r="D98" s="418">
        <f>D97*E98</f>
        <v>350829933.39483905</v>
      </c>
      <c r="E98" s="445">
        <v>0.60500377100034186</v>
      </c>
    </row>
    <row r="99" spans="3:5">
      <c r="C99" s="418" t="s">
        <v>831</v>
      </c>
      <c r="D99" s="418">
        <f>D97*E99</f>
        <v>229050639.60516092</v>
      </c>
      <c r="E99" s="445">
        <v>0.39499622899965803</v>
      </c>
    </row>
    <row r="102" spans="3:5">
      <c r="C102" s="418" t="s">
        <v>820</v>
      </c>
      <c r="D102" s="418">
        <v>8236335</v>
      </c>
    </row>
    <row r="103" spans="3:5">
      <c r="C103" s="418" t="s">
        <v>832</v>
      </c>
      <c r="D103" s="418">
        <f>$D$102*E103</f>
        <v>2561999.7448328501</v>
      </c>
      <c r="E103" s="445">
        <v>0.31106065317071852</v>
      </c>
    </row>
    <row r="104" spans="3:5">
      <c r="C104" s="418" t="s">
        <v>831</v>
      </c>
      <c r="D104" s="418">
        <f>$D$102*E104</f>
        <v>5674335.2551671499</v>
      </c>
      <c r="E104" s="445">
        <v>0.68893934682928148</v>
      </c>
    </row>
    <row r="106" spans="3:5">
      <c r="C106" s="418" t="s">
        <v>821</v>
      </c>
      <c r="D106" s="418">
        <v>425700</v>
      </c>
    </row>
    <row r="107" spans="3:5">
      <c r="C107" s="418" t="s">
        <v>832</v>
      </c>
      <c r="D107" s="418">
        <f>D106*E107</f>
        <v>146625.99482127198</v>
      </c>
      <c r="E107" s="445">
        <v>0.3444350359907728</v>
      </c>
    </row>
    <row r="108" spans="3:5">
      <c r="C108" s="418" t="s">
        <v>831</v>
      </c>
      <c r="D108" s="418">
        <f>D106*E108</f>
        <v>316638.57948054967</v>
      </c>
      <c r="E108" s="445">
        <v>0.74380685807035396</v>
      </c>
    </row>
    <row r="110" spans="3:5">
      <c r="C110" s="418" t="s">
        <v>833</v>
      </c>
      <c r="D110" s="418">
        <v>3163696</v>
      </c>
    </row>
    <row r="111" spans="3:5">
      <c r="C111" s="418" t="s">
        <v>832</v>
      </c>
      <c r="D111" s="418">
        <f>D110*E111</f>
        <v>2839560.9144601892</v>
      </c>
      <c r="E111" s="445">
        <v>0.89754543877167381</v>
      </c>
    </row>
    <row r="112" spans="3:5">
      <c r="C112" s="418" t="s">
        <v>831</v>
      </c>
      <c r="D112" s="418">
        <f>D110*E112</f>
        <v>324135.08553981059</v>
      </c>
      <c r="E112" s="445">
        <v>0.10245456122832616</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79"/>
  <sheetViews>
    <sheetView showGridLines="0" zoomScale="145" zoomScaleNormal="145" workbookViewId="0">
      <selection activeCell="H41" sqref="H41"/>
    </sheetView>
  </sheetViews>
  <sheetFormatPr defaultColWidth="8.5703125" defaultRowHeight="11.25"/>
  <cols>
    <col min="1" max="2" width="2.140625" style="147" customWidth="1"/>
    <col min="3" max="3" width="25.7109375" style="147" customWidth="1"/>
    <col min="4" max="5" width="12.85546875" style="147" customWidth="1"/>
    <col min="6" max="6" width="2.140625" style="147" customWidth="1"/>
    <col min="7" max="7" width="25.7109375" style="147" customWidth="1"/>
    <col min="8" max="9" width="12.85546875" style="147" customWidth="1"/>
    <col min="10" max="10" width="2.140625" style="147" customWidth="1"/>
    <col min="11" max="11" width="25.7109375" style="147" customWidth="1"/>
    <col min="12" max="13" width="12.85546875" style="147" customWidth="1"/>
    <col min="14" max="14" width="2.140625" style="147" customWidth="1"/>
    <col min="15" max="15" width="25.7109375" style="147" customWidth="1"/>
    <col min="16" max="17" width="12.85546875" style="147" customWidth="1"/>
    <col min="18" max="18" width="2.140625" style="147" customWidth="1"/>
    <col min="19" max="19" width="9.28515625" style="147" bestFit="1" customWidth="1"/>
    <col min="20" max="20" width="11.140625" style="147" bestFit="1" customWidth="1"/>
    <col min="21" max="21" width="9.28515625" style="147" bestFit="1" customWidth="1"/>
    <col min="22" max="16384" width="8.5703125" style="147"/>
  </cols>
  <sheetData>
    <row r="2" spans="2:18" ht="12" thickBot="1">
      <c r="B2" s="204" t="s">
        <v>339</v>
      </c>
    </row>
    <row r="3" spans="2:18">
      <c r="B3" s="205"/>
      <c r="C3" s="206"/>
      <c r="D3" s="206"/>
      <c r="E3" s="206"/>
      <c r="F3" s="206"/>
      <c r="G3" s="206"/>
      <c r="H3" s="206"/>
      <c r="I3" s="206"/>
      <c r="J3" s="206"/>
      <c r="K3" s="206"/>
      <c r="L3" s="206"/>
      <c r="M3" s="206"/>
      <c r="N3" s="207"/>
    </row>
    <row r="4" spans="2:18">
      <c r="B4" s="208"/>
      <c r="C4" s="209" t="str">
        <f>'Bill Units'!C4</f>
        <v>RS</v>
      </c>
      <c r="D4" s="210" t="str">
        <f>'Bill Units'!D4</f>
        <v>Apr-Mar</v>
      </c>
      <c r="E4" s="180">
        <f>'Bill Units'!E4</f>
        <v>0</v>
      </c>
      <c r="F4" s="211"/>
      <c r="G4" s="209" t="str">
        <f>'Bill Units'!G4</f>
        <v>RS LMTOD</v>
      </c>
      <c r="H4" s="210" t="str">
        <f>'Bill Units'!H4</f>
        <v>Apr-Mar</v>
      </c>
      <c r="I4" s="180">
        <f>'Bill Units'!I4</f>
        <v>0</v>
      </c>
      <c r="J4" s="211"/>
      <c r="K4" s="209" t="str">
        <f>'Bill Units'!K4</f>
        <v>RS TOD</v>
      </c>
      <c r="L4" s="210" t="str">
        <f>'Bill Units'!L4</f>
        <v>Apr-Mar</v>
      </c>
      <c r="M4" s="180">
        <f>'Bill Units'!M4</f>
        <v>0</v>
      </c>
      <c r="N4" s="212"/>
    </row>
    <row r="5" spans="2:18">
      <c r="B5" s="208"/>
      <c r="C5" s="213" t="s">
        <v>164</v>
      </c>
      <c r="D5" s="214">
        <v>0.10799</v>
      </c>
      <c r="E5" s="215">
        <v>0</v>
      </c>
      <c r="F5" s="216"/>
      <c r="G5" s="213" t="s">
        <v>22</v>
      </c>
      <c r="H5" s="214">
        <v>0.14534</v>
      </c>
      <c r="I5" s="215">
        <v>0</v>
      </c>
      <c r="J5" s="216"/>
      <c r="K5" s="213" t="s">
        <v>22</v>
      </c>
      <c r="L5" s="214">
        <v>0.14534</v>
      </c>
      <c r="M5" s="215">
        <v>0</v>
      </c>
      <c r="N5" s="212"/>
    </row>
    <row r="6" spans="2:18">
      <c r="B6" s="208"/>
      <c r="C6" s="213" t="s">
        <v>176</v>
      </c>
      <c r="D6" s="214">
        <v>7.8880000000000006E-2</v>
      </c>
      <c r="E6" s="215">
        <v>0</v>
      </c>
      <c r="F6" s="216"/>
      <c r="G6" s="213" t="s">
        <v>23</v>
      </c>
      <c r="H6" s="214">
        <v>7.8880000000000006E-2</v>
      </c>
      <c r="I6" s="215">
        <v>0</v>
      </c>
      <c r="J6" s="216"/>
      <c r="K6" s="213" t="s">
        <v>23</v>
      </c>
      <c r="L6" s="214">
        <v>7.8880000000000006E-2</v>
      </c>
      <c r="M6" s="215">
        <v>0</v>
      </c>
      <c r="N6" s="212"/>
    </row>
    <row r="7" spans="2:18">
      <c r="B7" s="208"/>
      <c r="C7" s="213"/>
      <c r="D7" s="202"/>
      <c r="E7" s="217"/>
      <c r="F7" s="216"/>
      <c r="G7" s="213" t="s">
        <v>40</v>
      </c>
      <c r="H7" s="214">
        <v>-7.45E-3</v>
      </c>
      <c r="I7" s="215">
        <v>0</v>
      </c>
      <c r="J7" s="216"/>
      <c r="K7" s="213"/>
      <c r="L7" s="202"/>
      <c r="M7" s="217"/>
      <c r="N7" s="212"/>
    </row>
    <row r="8" spans="2:18">
      <c r="B8" s="208"/>
      <c r="C8" s="213" t="s">
        <v>12</v>
      </c>
      <c r="D8" s="202">
        <v>17.5</v>
      </c>
      <c r="E8" s="217">
        <v>0</v>
      </c>
      <c r="F8" s="216"/>
      <c r="G8" s="213"/>
      <c r="H8" s="202"/>
      <c r="I8" s="217"/>
      <c r="J8" s="216"/>
      <c r="K8" s="213" t="s">
        <v>163</v>
      </c>
      <c r="L8" s="202">
        <v>21</v>
      </c>
      <c r="M8" s="217">
        <v>0</v>
      </c>
      <c r="N8" s="212"/>
    </row>
    <row r="9" spans="2:18">
      <c r="B9" s="208"/>
      <c r="C9" s="213"/>
      <c r="D9" s="216"/>
      <c r="E9" s="218"/>
      <c r="F9" s="216"/>
      <c r="G9" s="213" t="s">
        <v>12</v>
      </c>
      <c r="H9" s="202">
        <v>21</v>
      </c>
      <c r="I9" s="217">
        <v>0</v>
      </c>
      <c r="J9" s="216"/>
      <c r="K9" s="213"/>
      <c r="L9" s="216"/>
      <c r="M9" s="218"/>
      <c r="N9" s="212"/>
    </row>
    <row r="10" spans="2:18">
      <c r="B10" s="208"/>
      <c r="C10" s="213"/>
      <c r="D10" s="216"/>
      <c r="E10" s="218"/>
      <c r="F10" s="216"/>
      <c r="G10" s="213" t="s">
        <v>209</v>
      </c>
      <c r="H10" s="202">
        <v>4.3</v>
      </c>
      <c r="I10" s="217">
        <v>0</v>
      </c>
      <c r="J10" s="216"/>
      <c r="K10" s="213"/>
      <c r="L10" s="216"/>
      <c r="M10" s="218"/>
      <c r="N10" s="212"/>
    </row>
    <row r="11" spans="2:18">
      <c r="B11" s="208"/>
      <c r="C11" s="219"/>
      <c r="D11" s="220"/>
      <c r="E11" s="221"/>
      <c r="F11" s="216"/>
      <c r="G11" s="219" t="s">
        <v>206</v>
      </c>
      <c r="H11" s="222">
        <f>H9</f>
        <v>21</v>
      </c>
      <c r="I11" s="223">
        <f>I9</f>
        <v>0</v>
      </c>
      <c r="J11" s="216"/>
      <c r="K11" s="219"/>
      <c r="L11" s="220"/>
      <c r="M11" s="221"/>
      <c r="N11" s="212"/>
    </row>
    <row r="12" spans="2:18" ht="12" thickBot="1">
      <c r="B12" s="224"/>
      <c r="C12" s="225"/>
      <c r="D12" s="225"/>
      <c r="E12" s="225"/>
      <c r="F12" s="225"/>
      <c r="G12" s="225"/>
      <c r="H12" s="225"/>
      <c r="I12" s="225"/>
      <c r="J12" s="225"/>
      <c r="K12" s="225"/>
      <c r="L12" s="225"/>
      <c r="M12" s="225"/>
      <c r="N12" s="226"/>
    </row>
    <row r="13" spans="2:18">
      <c r="E13" s="148"/>
      <c r="I13" s="227"/>
      <c r="Q13" s="227"/>
    </row>
    <row r="14" spans="2:18" ht="12" thickBot="1">
      <c r="B14" s="204" t="s">
        <v>463</v>
      </c>
      <c r="E14" s="148"/>
      <c r="I14" s="227"/>
      <c r="Q14" s="227"/>
    </row>
    <row r="15" spans="2:18">
      <c r="B15" s="205"/>
      <c r="C15" s="206"/>
      <c r="D15" s="206"/>
      <c r="E15" s="228"/>
      <c r="F15" s="206"/>
      <c r="G15" s="206"/>
      <c r="H15" s="206"/>
      <c r="I15" s="229"/>
      <c r="J15" s="206"/>
      <c r="K15" s="206"/>
      <c r="L15" s="206"/>
      <c r="M15" s="206"/>
      <c r="N15" s="206"/>
      <c r="O15" s="206"/>
      <c r="P15" s="206"/>
      <c r="Q15" s="229"/>
      <c r="R15" s="207"/>
    </row>
    <row r="16" spans="2:18">
      <c r="B16" s="208"/>
      <c r="C16" s="230" t="str">
        <f>'Bill Units'!C17</f>
        <v>GS-SEC</v>
      </c>
      <c r="D16" s="231" t="str">
        <f>'Bill Units'!D17</f>
        <v>Apr-Mar</v>
      </c>
      <c r="E16" s="136">
        <f>'Bill Units'!E17</f>
        <v>0</v>
      </c>
      <c r="F16" s="232"/>
      <c r="G16" s="230" t="str">
        <f>'Bill Units'!G17</f>
        <v>GS-NM</v>
      </c>
      <c r="H16" s="231" t="str">
        <f>'Bill Units'!H17</f>
        <v>Apr-Mar</v>
      </c>
      <c r="I16" s="136">
        <f>'Bill Units'!I17</f>
        <v>0</v>
      </c>
      <c r="J16" s="232"/>
      <c r="K16" s="230" t="str">
        <f>'Bill Units'!K17</f>
        <v>SGS TOD</v>
      </c>
      <c r="L16" s="231" t="str">
        <f>'Bill Units'!L17</f>
        <v>Apr-Mar</v>
      </c>
      <c r="M16" s="136">
        <f>'Bill Units'!M17</f>
        <v>0</v>
      </c>
      <c r="N16" s="232"/>
      <c r="O16" s="230" t="str">
        <f>'Bill Units'!O17</f>
        <v>GS-AF</v>
      </c>
      <c r="P16" s="231" t="str">
        <f>'Bill Units'!P17</f>
        <v>Apr-Mar</v>
      </c>
      <c r="Q16" s="136">
        <f>'Bill Units'!Q17</f>
        <v>0</v>
      </c>
      <c r="R16" s="212"/>
    </row>
    <row r="17" spans="2:18">
      <c r="B17" s="208"/>
      <c r="C17" s="233" t="s">
        <v>21</v>
      </c>
      <c r="D17" s="234"/>
      <c r="E17" s="235"/>
      <c r="F17" s="216"/>
      <c r="G17" s="233" t="s">
        <v>21</v>
      </c>
      <c r="H17" s="234"/>
      <c r="I17" s="235"/>
      <c r="J17" s="216"/>
      <c r="K17" s="236" t="s">
        <v>471</v>
      </c>
      <c r="L17" s="237">
        <v>0.20846000000000001</v>
      </c>
      <c r="M17" s="238">
        <v>0</v>
      </c>
      <c r="N17" s="216"/>
      <c r="O17" s="236" t="s">
        <v>19</v>
      </c>
      <c r="P17" s="237">
        <v>0.10838</v>
      </c>
      <c r="Q17" s="238">
        <v>0</v>
      </c>
      <c r="R17" s="212"/>
    </row>
    <row r="18" spans="2:18">
      <c r="B18" s="208"/>
      <c r="C18" s="213" t="s">
        <v>331</v>
      </c>
      <c r="D18" s="214">
        <v>0.10907</v>
      </c>
      <c r="E18" s="215">
        <v>0</v>
      </c>
      <c r="F18" s="216"/>
      <c r="G18" s="213" t="s">
        <v>331</v>
      </c>
      <c r="H18" s="214">
        <v>0.10907</v>
      </c>
      <c r="I18" s="215">
        <v>0</v>
      </c>
      <c r="J18" s="216"/>
      <c r="K18" s="213" t="s">
        <v>472</v>
      </c>
      <c r="L18" s="214">
        <v>0.18171999999999999</v>
      </c>
      <c r="M18" s="215">
        <v>0</v>
      </c>
      <c r="N18" s="216"/>
      <c r="O18" s="213"/>
      <c r="P18" s="202"/>
      <c r="Q18" s="217"/>
      <c r="R18" s="212"/>
    </row>
    <row r="19" spans="2:18">
      <c r="B19" s="208"/>
      <c r="C19" s="213" t="s">
        <v>332</v>
      </c>
      <c r="D19" s="214">
        <v>0.10201</v>
      </c>
      <c r="E19" s="215">
        <v>0</v>
      </c>
      <c r="F19" s="216"/>
      <c r="G19" s="213" t="s">
        <v>332</v>
      </c>
      <c r="H19" s="214">
        <v>0.10201</v>
      </c>
      <c r="I19" s="215">
        <v>0</v>
      </c>
      <c r="J19" s="216"/>
      <c r="K19" s="239" t="s">
        <v>473</v>
      </c>
      <c r="L19" s="214">
        <v>0.11279</v>
      </c>
      <c r="M19" s="215">
        <v>0</v>
      </c>
      <c r="N19" s="216"/>
      <c r="O19" s="213" t="s">
        <v>12</v>
      </c>
      <c r="P19" s="202">
        <v>25</v>
      </c>
      <c r="Q19" s="217">
        <v>0</v>
      </c>
      <c r="R19" s="212"/>
    </row>
    <row r="20" spans="2:18">
      <c r="B20" s="208"/>
      <c r="C20" s="213"/>
      <c r="D20" s="240"/>
      <c r="E20" s="241"/>
      <c r="F20" s="216"/>
      <c r="G20" s="213"/>
      <c r="H20" s="202"/>
      <c r="I20" s="217"/>
      <c r="J20" s="216"/>
      <c r="K20" s="213"/>
      <c r="L20" s="202"/>
      <c r="M20" s="217"/>
      <c r="N20" s="216"/>
      <c r="O20" s="213"/>
      <c r="P20" s="216"/>
      <c r="Q20" s="218"/>
      <c r="R20" s="212"/>
    </row>
    <row r="21" spans="2:18">
      <c r="B21" s="208"/>
      <c r="C21" s="213" t="s">
        <v>464</v>
      </c>
      <c r="D21" s="217">
        <v>6.61</v>
      </c>
      <c r="E21" s="217">
        <v>0</v>
      </c>
      <c r="F21" s="216"/>
      <c r="G21" s="213" t="s">
        <v>12</v>
      </c>
      <c r="H21" s="202">
        <v>15</v>
      </c>
      <c r="I21" s="217">
        <v>0</v>
      </c>
      <c r="J21" s="216"/>
      <c r="K21" s="213" t="s">
        <v>12</v>
      </c>
      <c r="L21" s="202">
        <v>25</v>
      </c>
      <c r="M21" s="217">
        <v>0</v>
      </c>
      <c r="N21" s="216"/>
      <c r="O21" s="213"/>
      <c r="P21" s="242"/>
      <c r="Q21" s="241"/>
      <c r="R21" s="212"/>
    </row>
    <row r="22" spans="2:18">
      <c r="B22" s="208"/>
      <c r="C22" s="213"/>
      <c r="D22" s="240"/>
      <c r="E22" s="241"/>
      <c r="F22" s="216"/>
      <c r="G22" s="213"/>
      <c r="H22" s="202"/>
      <c r="I22" s="217"/>
      <c r="J22" s="216"/>
      <c r="K22" s="213"/>
      <c r="L22" s="202"/>
      <c r="M22" s="217"/>
      <c r="N22" s="216"/>
      <c r="O22" s="213"/>
      <c r="P22" s="202"/>
      <c r="Q22" s="217"/>
      <c r="R22" s="212"/>
    </row>
    <row r="23" spans="2:18">
      <c r="B23" s="208"/>
      <c r="C23" s="219" t="s">
        <v>12</v>
      </c>
      <c r="D23" s="222">
        <v>25</v>
      </c>
      <c r="E23" s="223">
        <v>0</v>
      </c>
      <c r="F23" s="216"/>
      <c r="G23" s="219"/>
      <c r="H23" s="243"/>
      <c r="I23" s="244"/>
      <c r="J23" s="216"/>
      <c r="K23" s="219"/>
      <c r="L23" s="243"/>
      <c r="M23" s="244"/>
      <c r="N23" s="216"/>
      <c r="O23" s="219"/>
      <c r="P23" s="243"/>
      <c r="Q23" s="244"/>
      <c r="R23" s="212"/>
    </row>
    <row r="24" spans="2:18">
      <c r="B24" s="208"/>
      <c r="C24" s="216"/>
      <c r="D24" s="216"/>
      <c r="E24" s="245"/>
      <c r="F24" s="216"/>
      <c r="G24" s="216"/>
      <c r="H24" s="216"/>
      <c r="I24" s="216"/>
      <c r="J24" s="214"/>
      <c r="K24" s="216"/>
      <c r="L24" s="216"/>
      <c r="M24" s="216"/>
      <c r="N24" s="216"/>
      <c r="O24" s="216"/>
      <c r="P24" s="216"/>
      <c r="Q24" s="216"/>
      <c r="R24" s="212"/>
    </row>
    <row r="25" spans="2:18">
      <c r="B25" s="208"/>
      <c r="C25" s="246" t="str">
        <f>'Bill Units'!C26</f>
        <v>GSLMTOD</v>
      </c>
      <c r="D25" s="247" t="str">
        <f>'Bill Units'!D26</f>
        <v>Apr-Mar</v>
      </c>
      <c r="E25" s="137">
        <f>'Bill Units'!E26</f>
        <v>0</v>
      </c>
      <c r="F25" s="216"/>
      <c r="G25" s="230" t="str">
        <f>'Bill Units'!G26</f>
        <v>MGSTOD</v>
      </c>
      <c r="H25" s="231" t="str">
        <f>'Bill Units'!H26</f>
        <v>Apr-Mar</v>
      </c>
      <c r="I25" s="136">
        <f>'Bill Units'!I26</f>
        <v>0</v>
      </c>
      <c r="J25" s="216"/>
      <c r="K25" s="230" t="str">
        <f>'Bill Units'!K26</f>
        <v>GS-PRI</v>
      </c>
      <c r="L25" s="231" t="str">
        <f>'Bill Units'!L26</f>
        <v>Apr-Mar</v>
      </c>
      <c r="M25" s="136">
        <f>'Bill Units'!M26</f>
        <v>0</v>
      </c>
      <c r="N25" s="216"/>
      <c r="O25" s="230" t="str">
        <f>'Bill Units'!O26</f>
        <v>GS-SUB</v>
      </c>
      <c r="P25" s="231" t="str">
        <f>'Bill Units'!P26</f>
        <v>Apr-Mar</v>
      </c>
      <c r="Q25" s="136">
        <f>'Bill Units'!Q26</f>
        <v>0</v>
      </c>
      <c r="R25" s="212"/>
    </row>
    <row r="26" spans="2:18">
      <c r="B26" s="208"/>
      <c r="C26" s="236" t="s">
        <v>474</v>
      </c>
      <c r="D26" s="237">
        <v>0.15908</v>
      </c>
      <c r="E26" s="238">
        <v>0</v>
      </c>
      <c r="F26" s="216"/>
      <c r="G26" s="236" t="s">
        <v>474</v>
      </c>
      <c r="H26" s="237">
        <v>0.15908</v>
      </c>
      <c r="I26" s="238">
        <v>0</v>
      </c>
      <c r="J26" s="216"/>
      <c r="K26" s="233" t="s">
        <v>21</v>
      </c>
      <c r="L26" s="234"/>
      <c r="M26" s="235"/>
      <c r="N26" s="216"/>
      <c r="O26" s="233" t="s">
        <v>21</v>
      </c>
      <c r="P26" s="234"/>
      <c r="Q26" s="235"/>
      <c r="R26" s="212"/>
    </row>
    <row r="27" spans="2:18">
      <c r="B27" s="208"/>
      <c r="C27" s="213" t="s">
        <v>475</v>
      </c>
      <c r="D27" s="214">
        <v>7.9149999999999998E-2</v>
      </c>
      <c r="E27" s="215">
        <v>0</v>
      </c>
      <c r="F27" s="216"/>
      <c r="G27" s="213" t="s">
        <v>475</v>
      </c>
      <c r="H27" s="214">
        <v>7.9149999999999998E-2</v>
      </c>
      <c r="I27" s="215">
        <v>0</v>
      </c>
      <c r="J27" s="216"/>
      <c r="K27" s="213" t="s">
        <v>331</v>
      </c>
      <c r="L27" s="214">
        <v>9.5740000000000006E-2</v>
      </c>
      <c r="M27" s="215">
        <v>0</v>
      </c>
      <c r="N27" s="216"/>
      <c r="O27" s="213" t="s">
        <v>331</v>
      </c>
      <c r="P27" s="214">
        <v>8.6629999999999999E-2</v>
      </c>
      <c r="Q27" s="215">
        <v>0</v>
      </c>
      <c r="R27" s="212"/>
    </row>
    <row r="28" spans="2:18">
      <c r="B28" s="208"/>
      <c r="C28" s="213"/>
      <c r="D28" s="202"/>
      <c r="E28" s="217"/>
      <c r="F28" s="216"/>
      <c r="G28" s="213"/>
      <c r="H28" s="202"/>
      <c r="I28" s="217"/>
      <c r="J28" s="216"/>
      <c r="K28" s="213" t="s">
        <v>332</v>
      </c>
      <c r="L28" s="214">
        <v>8.9929999999999996E-2</v>
      </c>
      <c r="M28" s="215">
        <v>0</v>
      </c>
      <c r="N28" s="216"/>
      <c r="O28" s="213" t="s">
        <v>332</v>
      </c>
      <c r="P28" s="214">
        <v>8.1409999999999996E-2</v>
      </c>
      <c r="Q28" s="215">
        <v>0</v>
      </c>
      <c r="R28" s="212"/>
    </row>
    <row r="29" spans="2:18">
      <c r="B29" s="208"/>
      <c r="C29" s="213" t="s">
        <v>12</v>
      </c>
      <c r="D29" s="202">
        <v>25</v>
      </c>
      <c r="E29" s="217">
        <v>0</v>
      </c>
      <c r="F29" s="216"/>
      <c r="G29" s="213" t="s">
        <v>12</v>
      </c>
      <c r="H29" s="202">
        <v>25</v>
      </c>
      <c r="I29" s="217">
        <v>0</v>
      </c>
      <c r="J29" s="216"/>
      <c r="K29" s="213"/>
      <c r="L29" s="240"/>
      <c r="M29" s="241"/>
      <c r="N29" s="216"/>
      <c r="O29" s="213"/>
      <c r="P29" s="240"/>
      <c r="Q29" s="241"/>
      <c r="R29" s="212"/>
    </row>
    <row r="30" spans="2:18">
      <c r="B30" s="208"/>
      <c r="C30" s="213"/>
      <c r="D30" s="216"/>
      <c r="E30" s="218"/>
      <c r="F30" s="216"/>
      <c r="G30" s="213"/>
      <c r="H30" s="216"/>
      <c r="I30" s="218"/>
      <c r="J30" s="216"/>
      <c r="K30" s="213" t="s">
        <v>464</v>
      </c>
      <c r="L30" s="202">
        <v>6.01</v>
      </c>
      <c r="M30" s="217">
        <v>0</v>
      </c>
      <c r="N30" s="216"/>
      <c r="O30" s="213" t="s">
        <v>464</v>
      </c>
      <c r="P30" s="202">
        <v>4.68</v>
      </c>
      <c r="Q30" s="217">
        <v>0</v>
      </c>
      <c r="R30" s="212"/>
    </row>
    <row r="31" spans="2:18">
      <c r="B31" s="208"/>
      <c r="C31" s="213"/>
      <c r="D31" s="216"/>
      <c r="E31" s="218"/>
      <c r="F31" s="216"/>
      <c r="G31" s="213"/>
      <c r="H31" s="216"/>
      <c r="I31" s="218"/>
      <c r="J31" s="216"/>
      <c r="K31" s="213"/>
      <c r="L31" s="240"/>
      <c r="M31" s="241"/>
      <c r="N31" s="216"/>
      <c r="O31" s="213"/>
      <c r="P31" s="240"/>
      <c r="Q31" s="241"/>
      <c r="R31" s="212"/>
    </row>
    <row r="32" spans="2:18">
      <c r="B32" s="208"/>
      <c r="C32" s="219"/>
      <c r="D32" s="220"/>
      <c r="E32" s="221"/>
      <c r="F32" s="216"/>
      <c r="G32" s="219"/>
      <c r="H32" s="220"/>
      <c r="I32" s="221"/>
      <c r="J32" s="216"/>
      <c r="K32" s="219" t="s">
        <v>12</v>
      </c>
      <c r="L32" s="222">
        <v>100</v>
      </c>
      <c r="M32" s="223">
        <v>0</v>
      </c>
      <c r="N32" s="216"/>
      <c r="O32" s="219" t="s">
        <v>12</v>
      </c>
      <c r="P32" s="222">
        <v>400</v>
      </c>
      <c r="Q32" s="223">
        <v>0</v>
      </c>
      <c r="R32" s="212"/>
    </row>
    <row r="33" spans="2:18" ht="12" thickBot="1">
      <c r="B33" s="224"/>
      <c r="C33" s="225"/>
      <c r="D33" s="225"/>
      <c r="E33" s="225"/>
      <c r="F33" s="225"/>
      <c r="G33" s="225"/>
      <c r="H33" s="225"/>
      <c r="I33" s="225"/>
      <c r="J33" s="225"/>
      <c r="K33" s="225"/>
      <c r="L33" s="225"/>
      <c r="M33" s="225"/>
      <c r="N33" s="225"/>
      <c r="O33" s="225"/>
      <c r="P33" s="225"/>
      <c r="Q33" s="225"/>
      <c r="R33" s="226"/>
    </row>
    <row r="35" spans="2:18" ht="12" thickBot="1">
      <c r="B35" s="204" t="s">
        <v>252</v>
      </c>
    </row>
    <row r="36" spans="2:18">
      <c r="B36" s="248"/>
      <c r="C36" s="206"/>
      <c r="D36" s="206"/>
      <c r="E36" s="206"/>
      <c r="F36" s="206"/>
      <c r="G36" s="206"/>
      <c r="H36" s="206"/>
      <c r="I36" s="206"/>
      <c r="J36" s="206"/>
      <c r="K36" s="206"/>
      <c r="L36" s="206"/>
      <c r="M36" s="229"/>
      <c r="N36" s="206"/>
      <c r="O36" s="206"/>
      <c r="P36" s="206"/>
      <c r="Q36" s="206"/>
      <c r="R36" s="249"/>
    </row>
    <row r="37" spans="2:18">
      <c r="B37" s="250"/>
      <c r="C37" s="230" t="str">
        <f>'Bill Units'!C39</f>
        <v>LGS-SEC</v>
      </c>
      <c r="D37" s="231" t="str">
        <f>'Bill Units'!D39</f>
        <v>Apr-Mar</v>
      </c>
      <c r="E37" s="136">
        <f>'Bill Units'!E39</f>
        <v>0</v>
      </c>
      <c r="F37" s="245"/>
      <c r="G37" s="246" t="str">
        <f>'Bill Units'!G39</f>
        <v>LGSLMTOD</v>
      </c>
      <c r="H37" s="247" t="str">
        <f>'Bill Units'!H39</f>
        <v>Apr-Mar</v>
      </c>
      <c r="I37" s="137">
        <f>'Bill Units'!I39</f>
        <v>0</v>
      </c>
      <c r="J37" s="245"/>
      <c r="K37" s="230" t="str">
        <f>'Bill Units'!K39</f>
        <v>LGS-SEC TOD</v>
      </c>
      <c r="L37" s="231" t="str">
        <f>'Bill Units'!L39</f>
        <v>Apr-Mar</v>
      </c>
      <c r="M37" s="136">
        <f>'Bill Units'!M39</f>
        <v>0</v>
      </c>
      <c r="N37" s="245"/>
      <c r="O37" s="230" t="str">
        <f>'Bill Units'!O39</f>
        <v>LGS-PRI TOD</v>
      </c>
      <c r="P37" s="231" t="str">
        <f>'Bill Units'!P39</f>
        <v>Apr-Mar</v>
      </c>
      <c r="Q37" s="136">
        <f>'Bill Units'!Q39</f>
        <v>0</v>
      </c>
      <c r="R37" s="212"/>
    </row>
    <row r="38" spans="2:18">
      <c r="B38" s="250"/>
      <c r="C38" s="236" t="s">
        <v>21</v>
      </c>
      <c r="D38" s="237">
        <v>8.4320000000000006E-2</v>
      </c>
      <c r="E38" s="238">
        <v>0</v>
      </c>
      <c r="F38" s="216"/>
      <c r="G38" s="236" t="s">
        <v>22</v>
      </c>
      <c r="H38" s="234">
        <v>0.14426</v>
      </c>
      <c r="I38" s="235"/>
      <c r="J38" s="216"/>
      <c r="K38" s="213" t="s">
        <v>20</v>
      </c>
      <c r="L38" s="202">
        <v>10.92</v>
      </c>
      <c r="M38" s="217">
        <v>0</v>
      </c>
      <c r="N38" s="216"/>
      <c r="O38" s="213" t="s">
        <v>20</v>
      </c>
      <c r="P38" s="202">
        <v>8.17</v>
      </c>
      <c r="Q38" s="217">
        <v>0</v>
      </c>
      <c r="R38" s="212"/>
    </row>
    <row r="39" spans="2:18">
      <c r="B39" s="250"/>
      <c r="C39" s="213" t="s">
        <v>20</v>
      </c>
      <c r="D39" s="202">
        <v>8.77</v>
      </c>
      <c r="E39" s="217">
        <v>0</v>
      </c>
      <c r="F39" s="216"/>
      <c r="G39" s="213" t="s">
        <v>23</v>
      </c>
      <c r="H39" s="216">
        <v>7.8880000000000006E-2</v>
      </c>
      <c r="I39" s="218"/>
      <c r="J39" s="216"/>
      <c r="K39" s="213" t="s">
        <v>341</v>
      </c>
      <c r="L39" s="202">
        <v>3.46</v>
      </c>
      <c r="M39" s="217">
        <v>0</v>
      </c>
      <c r="N39" s="216"/>
      <c r="O39" s="213" t="s">
        <v>341</v>
      </c>
      <c r="P39" s="202">
        <v>3.46</v>
      </c>
      <c r="Q39" s="217">
        <v>0</v>
      </c>
      <c r="R39" s="212"/>
    </row>
    <row r="40" spans="2:18">
      <c r="B40" s="250"/>
      <c r="C40" s="213" t="s">
        <v>341</v>
      </c>
      <c r="D40" s="202">
        <v>3.46</v>
      </c>
      <c r="E40" s="217">
        <v>0</v>
      </c>
      <c r="F40" s="216"/>
      <c r="G40" s="213"/>
      <c r="H40" s="202"/>
      <c r="I40" s="217"/>
      <c r="J40" s="216"/>
      <c r="K40" s="213" t="s">
        <v>12</v>
      </c>
      <c r="L40" s="202">
        <v>85</v>
      </c>
      <c r="M40" s="217">
        <v>0</v>
      </c>
      <c r="N40" s="216"/>
      <c r="O40" s="213" t="s">
        <v>12</v>
      </c>
      <c r="P40" s="202">
        <v>127.5</v>
      </c>
      <c r="Q40" s="217">
        <v>0</v>
      </c>
      <c r="R40" s="212"/>
    </row>
    <row r="41" spans="2:18">
      <c r="B41" s="250"/>
      <c r="C41" s="213" t="s">
        <v>12</v>
      </c>
      <c r="D41" s="202">
        <v>85</v>
      </c>
      <c r="E41" s="217">
        <v>0</v>
      </c>
      <c r="F41" s="216"/>
      <c r="G41" s="213" t="s">
        <v>12</v>
      </c>
      <c r="H41" s="202">
        <v>85</v>
      </c>
      <c r="I41" s="217">
        <v>0</v>
      </c>
      <c r="J41" s="216"/>
      <c r="K41" s="213" t="s">
        <v>22</v>
      </c>
      <c r="L41" s="216">
        <v>0.10284</v>
      </c>
      <c r="M41" s="218"/>
      <c r="N41" s="216"/>
      <c r="O41" s="213" t="s">
        <v>22</v>
      </c>
      <c r="P41" s="216">
        <v>0.10142</v>
      </c>
      <c r="Q41" s="218"/>
      <c r="R41" s="212"/>
    </row>
    <row r="42" spans="2:18">
      <c r="B42" s="250"/>
      <c r="C42" s="219"/>
      <c r="D42" s="220"/>
      <c r="E42" s="221"/>
      <c r="F42" s="216"/>
      <c r="G42" s="219"/>
      <c r="H42" s="220"/>
      <c r="I42" s="221"/>
      <c r="J42" s="216"/>
      <c r="K42" s="219" t="s">
        <v>23</v>
      </c>
      <c r="L42" s="220">
        <v>5.3600000000000002E-2</v>
      </c>
      <c r="M42" s="221"/>
      <c r="N42" s="216"/>
      <c r="O42" s="219" t="s">
        <v>23</v>
      </c>
      <c r="P42" s="220">
        <v>5.3179999999999998E-2</v>
      </c>
      <c r="Q42" s="221"/>
      <c r="R42" s="212"/>
    </row>
    <row r="43" spans="2:18">
      <c r="B43" s="250"/>
      <c r="C43" s="216"/>
      <c r="D43" s="216"/>
      <c r="E43" s="245"/>
      <c r="F43" s="216"/>
      <c r="G43" s="216"/>
      <c r="H43" s="216"/>
      <c r="I43" s="245"/>
      <c r="J43" s="216"/>
      <c r="K43" s="216"/>
      <c r="L43" s="216"/>
      <c r="M43" s="245"/>
      <c r="N43" s="216"/>
      <c r="O43" s="216"/>
      <c r="P43" s="216"/>
      <c r="Q43" s="216"/>
      <c r="R43" s="212"/>
    </row>
    <row r="44" spans="2:18">
      <c r="B44" s="250"/>
      <c r="C44" s="230" t="str">
        <f>'Bill Units'!C46</f>
        <v>LGS-PRI</v>
      </c>
      <c r="D44" s="231" t="str">
        <f>'Bill Units'!D46</f>
        <v>Apr-Mar</v>
      </c>
      <c r="E44" s="136">
        <f>'Bill Units'!E46</f>
        <v>0</v>
      </c>
      <c r="F44" s="245"/>
      <c r="G44" s="230" t="str">
        <f>'Bill Units'!G46</f>
        <v>LGS-SUB</v>
      </c>
      <c r="H44" s="231" t="str">
        <f>'Bill Units'!H46</f>
        <v>Apr-Mar</v>
      </c>
      <c r="I44" s="136">
        <f>'Bill Units'!I46</f>
        <v>0</v>
      </c>
      <c r="J44" s="245"/>
      <c r="K44" s="230" t="str">
        <f>'Bill Units'!K46</f>
        <v>LGS-TRAN</v>
      </c>
      <c r="L44" s="231" t="str">
        <f>'Bill Units'!L46</f>
        <v>Apr-Mar</v>
      </c>
      <c r="M44" s="136">
        <f>'Bill Units'!M46</f>
        <v>0</v>
      </c>
      <c r="N44" s="216"/>
      <c r="O44" s="216"/>
      <c r="P44" s="216"/>
      <c r="Q44" s="216"/>
      <c r="R44" s="212"/>
    </row>
    <row r="45" spans="2:18">
      <c r="B45" s="250"/>
      <c r="C45" s="236" t="s">
        <v>21</v>
      </c>
      <c r="D45" s="237">
        <v>7.356E-2</v>
      </c>
      <c r="E45" s="238">
        <v>0</v>
      </c>
      <c r="F45" s="216"/>
      <c r="G45" s="236" t="s">
        <v>21</v>
      </c>
      <c r="H45" s="237">
        <v>5.2299999999999999E-2</v>
      </c>
      <c r="I45" s="238">
        <v>0</v>
      </c>
      <c r="J45" s="216"/>
      <c r="K45" s="236" t="s">
        <v>21</v>
      </c>
      <c r="L45" s="237">
        <v>5.0849999999999999E-2</v>
      </c>
      <c r="M45" s="238">
        <v>0</v>
      </c>
      <c r="N45" s="216"/>
      <c r="O45" s="216"/>
      <c r="P45" s="216"/>
      <c r="Q45" s="216"/>
      <c r="R45" s="212"/>
    </row>
    <row r="46" spans="2:18">
      <c r="B46" s="208"/>
      <c r="C46" s="213" t="s">
        <v>20</v>
      </c>
      <c r="D46" s="202">
        <v>7.9</v>
      </c>
      <c r="E46" s="217">
        <v>0</v>
      </c>
      <c r="F46" s="216"/>
      <c r="G46" s="213" t="s">
        <v>20</v>
      </c>
      <c r="H46" s="202">
        <v>6.61</v>
      </c>
      <c r="I46" s="217">
        <v>0</v>
      </c>
      <c r="J46" s="216"/>
      <c r="K46" s="213" t="s">
        <v>20</v>
      </c>
      <c r="L46" s="202">
        <v>6.16</v>
      </c>
      <c r="M46" s="217">
        <v>0</v>
      </c>
      <c r="N46" s="216"/>
      <c r="O46" s="216"/>
      <c r="P46" s="216"/>
      <c r="Q46" s="216"/>
      <c r="R46" s="212"/>
    </row>
    <row r="47" spans="2:18">
      <c r="B47" s="208"/>
      <c r="C47" s="213" t="s">
        <v>341</v>
      </c>
      <c r="D47" s="202">
        <v>3.46</v>
      </c>
      <c r="E47" s="217">
        <v>0</v>
      </c>
      <c r="F47" s="216"/>
      <c r="G47" s="213" t="s">
        <v>341</v>
      </c>
      <c r="H47" s="202">
        <v>3.46</v>
      </c>
      <c r="I47" s="217">
        <v>0</v>
      </c>
      <c r="J47" s="216"/>
      <c r="K47" s="213" t="s">
        <v>341</v>
      </c>
      <c r="L47" s="202">
        <v>3.46</v>
      </c>
      <c r="M47" s="217">
        <v>0</v>
      </c>
      <c r="N47" s="216"/>
      <c r="O47" s="216"/>
      <c r="P47" s="216"/>
      <c r="Q47" s="216"/>
      <c r="R47" s="212"/>
    </row>
    <row r="48" spans="2:18">
      <c r="B48" s="208"/>
      <c r="C48" s="219" t="s">
        <v>12</v>
      </c>
      <c r="D48" s="222">
        <v>127.5</v>
      </c>
      <c r="E48" s="223">
        <v>0</v>
      </c>
      <c r="F48" s="216"/>
      <c r="G48" s="219" t="s">
        <v>12</v>
      </c>
      <c r="H48" s="222">
        <v>660</v>
      </c>
      <c r="I48" s="223">
        <v>0</v>
      </c>
      <c r="J48" s="216"/>
      <c r="K48" s="219" t="s">
        <v>12</v>
      </c>
      <c r="L48" s="222">
        <v>660</v>
      </c>
      <c r="M48" s="223">
        <v>0</v>
      </c>
      <c r="N48" s="216"/>
      <c r="O48" s="216"/>
      <c r="P48" s="216"/>
      <c r="Q48" s="216"/>
      <c r="R48" s="212"/>
    </row>
    <row r="49" spans="2:18" ht="12" thickBot="1">
      <c r="B49" s="224"/>
      <c r="C49" s="225"/>
      <c r="D49" s="225"/>
      <c r="E49" s="225"/>
      <c r="F49" s="225"/>
      <c r="G49" s="225"/>
      <c r="H49" s="225"/>
      <c r="I49" s="225"/>
      <c r="J49" s="225"/>
      <c r="K49" s="225"/>
      <c r="L49" s="225"/>
      <c r="M49" s="225"/>
      <c r="N49" s="225"/>
      <c r="O49" s="225"/>
      <c r="P49" s="225"/>
      <c r="Q49" s="225"/>
      <c r="R49" s="226"/>
    </row>
    <row r="51" spans="2:18" ht="12" thickBot="1">
      <c r="B51" s="204" t="s">
        <v>466</v>
      </c>
      <c r="I51" s="227"/>
    </row>
    <row r="52" spans="2:18">
      <c r="B52" s="205"/>
      <c r="C52" s="206"/>
      <c r="D52" s="206"/>
      <c r="E52" s="229"/>
      <c r="F52" s="206"/>
      <c r="G52" s="206"/>
      <c r="H52" s="206"/>
      <c r="I52" s="206"/>
      <c r="J52" s="207"/>
    </row>
    <row r="53" spans="2:18">
      <c r="B53" s="208"/>
      <c r="C53" s="230" t="str">
        <f>'Bill Units'!C55</f>
        <v>PS-SEC</v>
      </c>
      <c r="D53" s="231" t="str">
        <f>'Bill Units'!D55</f>
        <v>Apr-Mar</v>
      </c>
      <c r="E53" s="136">
        <f>'Bill Units'!E55</f>
        <v>0</v>
      </c>
      <c r="F53" s="245"/>
      <c r="G53" s="230" t="str">
        <f>'Bill Units'!G55</f>
        <v>PS-PRI</v>
      </c>
      <c r="H53" s="231" t="str">
        <f>'Bill Units'!H55</f>
        <v>Apr-Mar</v>
      </c>
      <c r="I53" s="136">
        <f>'Bill Units'!I55</f>
        <v>0</v>
      </c>
      <c r="J53" s="212"/>
    </row>
    <row r="54" spans="2:18">
      <c r="B54" s="208"/>
      <c r="C54" s="236" t="s">
        <v>21</v>
      </c>
      <c r="D54" s="237">
        <f>D38</f>
        <v>8.4320000000000006E-2</v>
      </c>
      <c r="E54" s="238">
        <f>E38</f>
        <v>0</v>
      </c>
      <c r="F54" s="216"/>
      <c r="G54" s="236" t="s">
        <v>21</v>
      </c>
      <c r="H54" s="237">
        <f t="shared" ref="H54:I57" si="0">D45</f>
        <v>7.356E-2</v>
      </c>
      <c r="I54" s="238">
        <f t="shared" si="0"/>
        <v>0</v>
      </c>
      <c r="J54" s="251"/>
      <c r="L54" s="148"/>
      <c r="M54" s="148"/>
      <c r="N54" s="148"/>
      <c r="O54" s="148"/>
    </row>
    <row r="55" spans="2:18">
      <c r="B55" s="208"/>
      <c r="C55" s="213" t="s">
        <v>20</v>
      </c>
      <c r="D55" s="202">
        <f t="shared" ref="D55:E55" si="1">D39</f>
        <v>8.77</v>
      </c>
      <c r="E55" s="217">
        <f t="shared" si="1"/>
        <v>0</v>
      </c>
      <c r="F55" s="216"/>
      <c r="G55" s="213" t="s">
        <v>20</v>
      </c>
      <c r="H55" s="202">
        <f t="shared" si="0"/>
        <v>7.9</v>
      </c>
      <c r="I55" s="217">
        <f t="shared" si="0"/>
        <v>0</v>
      </c>
      <c r="J55" s="212"/>
    </row>
    <row r="56" spans="2:18">
      <c r="B56" s="208"/>
      <c r="C56" s="213" t="s">
        <v>341</v>
      </c>
      <c r="D56" s="202">
        <f t="shared" ref="D56:E56" si="2">D40</f>
        <v>3.46</v>
      </c>
      <c r="E56" s="217">
        <f t="shared" si="2"/>
        <v>0</v>
      </c>
      <c r="F56" s="216"/>
      <c r="G56" s="213" t="s">
        <v>341</v>
      </c>
      <c r="H56" s="202">
        <f t="shared" si="0"/>
        <v>3.46</v>
      </c>
      <c r="I56" s="217">
        <f t="shared" si="0"/>
        <v>0</v>
      </c>
      <c r="J56" s="212"/>
    </row>
    <row r="57" spans="2:18">
      <c r="B57" s="208"/>
      <c r="C57" s="219" t="s">
        <v>12</v>
      </c>
      <c r="D57" s="222">
        <f t="shared" ref="D57:E57" si="3">D41</f>
        <v>85</v>
      </c>
      <c r="E57" s="223">
        <f t="shared" si="3"/>
        <v>0</v>
      </c>
      <c r="F57" s="216"/>
      <c r="G57" s="219" t="s">
        <v>12</v>
      </c>
      <c r="H57" s="222">
        <f t="shared" si="0"/>
        <v>127.5</v>
      </c>
      <c r="I57" s="223">
        <f t="shared" si="0"/>
        <v>0</v>
      </c>
      <c r="J57" s="212"/>
    </row>
    <row r="58" spans="2:18" ht="12" thickBot="1">
      <c r="B58" s="224"/>
      <c r="C58" s="225"/>
      <c r="D58" s="225"/>
      <c r="E58" s="225"/>
      <c r="F58" s="225"/>
      <c r="G58" s="225"/>
      <c r="H58" s="225"/>
      <c r="I58" s="225"/>
      <c r="J58" s="252"/>
    </row>
    <row r="59" spans="2:18">
      <c r="J59" s="253"/>
    </row>
    <row r="60" spans="2:18" ht="12" thickBot="1">
      <c r="B60" s="204" t="s">
        <v>465</v>
      </c>
    </row>
    <row r="61" spans="2:18">
      <c r="B61" s="205"/>
      <c r="C61" s="254"/>
      <c r="D61" s="206"/>
      <c r="E61" s="229"/>
      <c r="F61" s="206"/>
      <c r="G61" s="206"/>
      <c r="H61" s="206"/>
      <c r="I61" s="229"/>
      <c r="J61" s="206"/>
      <c r="K61" s="206"/>
      <c r="L61" s="206"/>
      <c r="M61" s="229"/>
      <c r="N61" s="206"/>
      <c r="O61" s="206"/>
      <c r="P61" s="206"/>
      <c r="Q61" s="229"/>
      <c r="R61" s="207"/>
    </row>
    <row r="62" spans="2:18">
      <c r="B62" s="208"/>
      <c r="C62" s="230" t="str">
        <f>'Bill Units'!C64</f>
        <v>IGS-SEC</v>
      </c>
      <c r="D62" s="231" t="str">
        <f>'Bill Units'!D64</f>
        <v>Apr-Mar</v>
      </c>
      <c r="E62" s="136">
        <f>'Bill Units'!E64</f>
        <v>0</v>
      </c>
      <c r="F62" s="245"/>
      <c r="G62" s="230" t="str">
        <f>'Bill Units'!G64</f>
        <v>IGS-PRI</v>
      </c>
      <c r="H62" s="231" t="str">
        <f>'Bill Units'!H64</f>
        <v>Apr-Mar</v>
      </c>
      <c r="I62" s="136">
        <f>'Bill Units'!I64</f>
        <v>0</v>
      </c>
      <c r="J62" s="245"/>
      <c r="K62" s="230" t="str">
        <f>'Bill Units'!K64</f>
        <v>IGS-SUB</v>
      </c>
      <c r="L62" s="231" t="str">
        <f>'Bill Units'!L64</f>
        <v>Apr-Mar</v>
      </c>
      <c r="M62" s="136">
        <f>'Bill Units'!M64</f>
        <v>0</v>
      </c>
      <c r="N62" s="245"/>
      <c r="O62" s="230" t="str">
        <f>'Bill Units'!O64</f>
        <v>IGS-TRAN</v>
      </c>
      <c r="P62" s="231" t="str">
        <f>'Bill Units'!P64</f>
        <v>Apr-Mar</v>
      </c>
      <c r="Q62" s="136">
        <f>'Bill Units'!Q64</f>
        <v>0</v>
      </c>
      <c r="R62" s="212"/>
    </row>
    <row r="63" spans="2:18">
      <c r="B63" s="208"/>
      <c r="C63" s="213" t="s">
        <v>21</v>
      </c>
      <c r="D63" s="214">
        <v>2.6980000000000001E-2</v>
      </c>
      <c r="E63" s="215">
        <v>0</v>
      </c>
      <c r="F63" s="216"/>
      <c r="G63" s="213" t="s">
        <v>21</v>
      </c>
      <c r="H63" s="214">
        <v>2.6599999999999999E-2</v>
      </c>
      <c r="I63" s="215">
        <v>0</v>
      </c>
      <c r="J63" s="216"/>
      <c r="K63" s="213" t="s">
        <v>21</v>
      </c>
      <c r="L63" s="214">
        <v>2.6349999999999998E-2</v>
      </c>
      <c r="M63" s="215">
        <v>0</v>
      </c>
      <c r="N63" s="216"/>
      <c r="O63" s="213" t="s">
        <v>21</v>
      </c>
      <c r="P63" s="214">
        <v>2.6120000000000001E-2</v>
      </c>
      <c r="Q63" s="215">
        <v>0</v>
      </c>
      <c r="R63" s="212"/>
    </row>
    <row r="64" spans="2:18">
      <c r="B64" s="208"/>
      <c r="C64" s="255" t="s">
        <v>20</v>
      </c>
      <c r="D64" s="216"/>
      <c r="E64" s="218"/>
      <c r="F64" s="216"/>
      <c r="G64" s="255" t="s">
        <v>20</v>
      </c>
      <c r="H64" s="216"/>
      <c r="I64" s="218"/>
      <c r="J64" s="216"/>
      <c r="K64" s="255" t="s">
        <v>20</v>
      </c>
      <c r="L64" s="216"/>
      <c r="M64" s="218"/>
      <c r="N64" s="216"/>
      <c r="O64" s="255" t="s">
        <v>20</v>
      </c>
      <c r="P64" s="216"/>
      <c r="Q64" s="218"/>
      <c r="R64" s="212"/>
    </row>
    <row r="65" spans="2:18">
      <c r="B65" s="208"/>
      <c r="C65" s="213" t="s">
        <v>24</v>
      </c>
      <c r="D65" s="202">
        <v>25.88</v>
      </c>
      <c r="E65" s="217">
        <v>0</v>
      </c>
      <c r="F65" s="216"/>
      <c r="G65" s="213" t="s">
        <v>24</v>
      </c>
      <c r="H65" s="202">
        <v>22.96</v>
      </c>
      <c r="I65" s="217">
        <v>0</v>
      </c>
      <c r="J65" s="216"/>
      <c r="K65" s="213" t="s">
        <v>24</v>
      </c>
      <c r="L65" s="202">
        <v>16.329999999999998</v>
      </c>
      <c r="M65" s="217">
        <v>0</v>
      </c>
      <c r="N65" s="216"/>
      <c r="O65" s="213" t="s">
        <v>24</v>
      </c>
      <c r="P65" s="202">
        <v>16.079999999999998</v>
      </c>
      <c r="Q65" s="217">
        <v>0</v>
      </c>
      <c r="R65" s="212"/>
    </row>
    <row r="66" spans="2:18">
      <c r="B66" s="208"/>
      <c r="C66" s="213" t="s">
        <v>44</v>
      </c>
      <c r="D66" s="202">
        <v>1.8</v>
      </c>
      <c r="E66" s="217">
        <v>0</v>
      </c>
      <c r="F66" s="216"/>
      <c r="G66" s="213" t="s">
        <v>44</v>
      </c>
      <c r="H66" s="202">
        <v>1.78</v>
      </c>
      <c r="I66" s="217">
        <v>0</v>
      </c>
      <c r="J66" s="216"/>
      <c r="K66" s="213" t="s">
        <v>44</v>
      </c>
      <c r="L66" s="202">
        <v>1.76</v>
      </c>
      <c r="M66" s="217">
        <v>0</v>
      </c>
      <c r="N66" s="216"/>
      <c r="O66" s="213" t="s">
        <v>44</v>
      </c>
      <c r="P66" s="202">
        <v>1.75</v>
      </c>
      <c r="Q66" s="217">
        <v>0</v>
      </c>
      <c r="R66" s="212"/>
    </row>
    <row r="67" spans="2:18">
      <c r="B67" s="208"/>
      <c r="C67" s="213" t="s">
        <v>45</v>
      </c>
      <c r="D67" s="202">
        <v>28.77</v>
      </c>
      <c r="E67" s="217">
        <v>0</v>
      </c>
      <c r="F67" s="216"/>
      <c r="G67" s="213" t="s">
        <v>45</v>
      </c>
      <c r="H67" s="202">
        <v>25.81</v>
      </c>
      <c r="I67" s="217">
        <v>0</v>
      </c>
      <c r="J67" s="216"/>
      <c r="K67" s="213" t="s">
        <v>45</v>
      </c>
      <c r="L67" s="202">
        <v>19.170000000000002</v>
      </c>
      <c r="M67" s="217">
        <v>0</v>
      </c>
      <c r="N67" s="216"/>
      <c r="O67" s="213" t="s">
        <v>45</v>
      </c>
      <c r="P67" s="202">
        <v>18.88</v>
      </c>
      <c r="Q67" s="217">
        <v>0</v>
      </c>
      <c r="R67" s="212"/>
    </row>
    <row r="68" spans="2:18">
      <c r="B68" s="208"/>
      <c r="C68" s="213" t="s">
        <v>342</v>
      </c>
      <c r="D68" s="202">
        <v>0.69</v>
      </c>
      <c r="E68" s="217">
        <v>0</v>
      </c>
      <c r="F68" s="216"/>
      <c r="G68" s="213" t="s">
        <v>342</v>
      </c>
      <c r="H68" s="202">
        <v>0.69</v>
      </c>
      <c r="I68" s="217">
        <v>0</v>
      </c>
      <c r="J68" s="216"/>
      <c r="K68" s="213" t="s">
        <v>342</v>
      </c>
      <c r="L68" s="202">
        <v>0.69</v>
      </c>
      <c r="M68" s="217">
        <v>0</v>
      </c>
      <c r="N68" s="216"/>
      <c r="O68" s="213" t="s">
        <v>342</v>
      </c>
      <c r="P68" s="202">
        <v>0.69</v>
      </c>
      <c r="Q68" s="217">
        <v>0</v>
      </c>
      <c r="R68" s="212"/>
    </row>
    <row r="69" spans="2:18">
      <c r="B69" s="208"/>
      <c r="C69" s="213" t="s">
        <v>12</v>
      </c>
      <c r="D69" s="202">
        <v>276</v>
      </c>
      <c r="E69" s="217">
        <v>0</v>
      </c>
      <c r="F69" s="216"/>
      <c r="G69" s="213" t="s">
        <v>12</v>
      </c>
      <c r="H69" s="202">
        <v>276</v>
      </c>
      <c r="I69" s="217">
        <v>0</v>
      </c>
      <c r="J69" s="216"/>
      <c r="K69" s="213" t="s">
        <v>12</v>
      </c>
      <c r="L69" s="202">
        <v>794</v>
      </c>
      <c r="M69" s="217">
        <v>0</v>
      </c>
      <c r="N69" s="216"/>
      <c r="O69" s="213" t="s">
        <v>12</v>
      </c>
      <c r="P69" s="202">
        <v>1353</v>
      </c>
      <c r="Q69" s="217">
        <v>0</v>
      </c>
      <c r="R69" s="212"/>
    </row>
    <row r="70" spans="2:18">
      <c r="B70" s="208"/>
      <c r="C70" s="219" t="s">
        <v>343</v>
      </c>
      <c r="D70" s="222">
        <v>-3.68</v>
      </c>
      <c r="E70" s="223">
        <v>0</v>
      </c>
      <c r="F70" s="216"/>
      <c r="G70" s="219" t="s">
        <v>343</v>
      </c>
      <c r="H70" s="222">
        <v>-3.68</v>
      </c>
      <c r="I70" s="223">
        <v>0</v>
      </c>
      <c r="J70" s="216"/>
      <c r="K70" s="219" t="s">
        <v>343</v>
      </c>
      <c r="L70" s="222">
        <v>-3.68</v>
      </c>
      <c r="M70" s="223">
        <v>0</v>
      </c>
      <c r="N70" s="216"/>
      <c r="O70" s="219" t="s">
        <v>343</v>
      </c>
      <c r="P70" s="222">
        <v>-3.68</v>
      </c>
      <c r="Q70" s="223">
        <v>0</v>
      </c>
      <c r="R70" s="212"/>
    </row>
    <row r="71" spans="2:18" ht="12" thickBot="1">
      <c r="B71" s="224"/>
      <c r="C71" s="225"/>
      <c r="D71" s="225"/>
      <c r="E71" s="225"/>
      <c r="F71" s="225"/>
      <c r="G71" s="225"/>
      <c r="H71" s="225"/>
      <c r="I71" s="225"/>
      <c r="J71" s="225"/>
      <c r="K71" s="225"/>
      <c r="L71" s="225"/>
      <c r="M71" s="225"/>
      <c r="N71" s="225"/>
      <c r="O71" s="225"/>
      <c r="P71" s="225"/>
      <c r="Q71" s="225"/>
      <c r="R71" s="226"/>
    </row>
    <row r="73" spans="2:18" ht="12" thickBot="1">
      <c r="B73" s="204" t="s">
        <v>34</v>
      </c>
    </row>
    <row r="74" spans="2:18">
      <c r="B74" s="205"/>
      <c r="C74" s="206"/>
      <c r="D74" s="206"/>
      <c r="E74" s="206"/>
      <c r="F74" s="207"/>
    </row>
    <row r="75" spans="2:18">
      <c r="B75" s="208"/>
      <c r="C75" s="230" t="s">
        <v>344</v>
      </c>
      <c r="D75" s="231" t="s">
        <v>326</v>
      </c>
      <c r="E75" s="136"/>
      <c r="F75" s="212"/>
    </row>
    <row r="76" spans="2:18">
      <c r="B76" s="208"/>
      <c r="C76" s="213" t="s">
        <v>19</v>
      </c>
      <c r="D76" s="214">
        <v>9.8000000000000004E-2</v>
      </c>
      <c r="E76" s="215">
        <v>0</v>
      </c>
      <c r="F76" s="212"/>
    </row>
    <row r="77" spans="2:18">
      <c r="B77" s="208"/>
      <c r="C77" s="213" t="s">
        <v>100</v>
      </c>
      <c r="D77" s="202">
        <v>9.7799999999999994</v>
      </c>
      <c r="E77" s="217">
        <v>0</v>
      </c>
      <c r="F77" s="212"/>
    </row>
    <row r="78" spans="2:18">
      <c r="B78" s="208"/>
      <c r="C78" s="219" t="s">
        <v>12</v>
      </c>
      <c r="D78" s="222">
        <v>25</v>
      </c>
      <c r="E78" s="223">
        <v>0</v>
      </c>
      <c r="F78" s="212"/>
    </row>
    <row r="79" spans="2:18" ht="12" thickBot="1">
      <c r="B79" s="224"/>
      <c r="C79" s="225"/>
      <c r="D79" s="225"/>
      <c r="E79" s="225"/>
      <c r="F79" s="226"/>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X56"/>
  <sheetViews>
    <sheetView topLeftCell="A5" zoomScale="120" zoomScaleNormal="120" workbookViewId="0">
      <selection activeCell="M35" sqref="M35"/>
    </sheetView>
  </sheetViews>
  <sheetFormatPr defaultColWidth="8.7109375" defaultRowHeight="12.75"/>
  <cols>
    <col min="1" max="1" width="21" style="28" customWidth="1"/>
    <col min="2" max="2" width="13.85546875" style="28" bestFit="1" customWidth="1"/>
    <col min="3" max="3" width="14.85546875" style="198" bestFit="1" customWidth="1"/>
    <col min="4" max="4" width="8" style="28" customWidth="1"/>
    <col min="5" max="5" width="13.42578125" style="28" customWidth="1"/>
    <col min="6" max="6" width="8.7109375" style="345"/>
    <col min="7" max="7" width="14.42578125" style="28" hidden="1" customWidth="1"/>
    <col min="8" max="8" width="0" style="28" hidden="1" customWidth="1"/>
    <col min="9" max="9" width="12.7109375" style="28" hidden="1" customWidth="1"/>
    <col min="10" max="13" width="8.7109375" style="28"/>
    <col min="14" max="14" width="7.5703125" style="28" bestFit="1" customWidth="1"/>
    <col min="15" max="15" width="12.85546875" style="28" bestFit="1" customWidth="1"/>
    <col min="16" max="16" width="13.42578125" style="28" bestFit="1" customWidth="1"/>
    <col min="17" max="17" width="8.7109375" style="28"/>
    <col min="18" max="18" width="10.42578125" style="28" bestFit="1" customWidth="1"/>
    <col min="19" max="20" width="14.85546875" style="28" bestFit="1" customWidth="1"/>
    <col min="21" max="21" width="8.7109375" style="28"/>
    <col min="22" max="22" width="12.7109375" style="28" bestFit="1" customWidth="1"/>
    <col min="23" max="23" width="5.5703125" style="28" bestFit="1" customWidth="1"/>
    <col min="24" max="16384" width="8.7109375" style="28"/>
  </cols>
  <sheetData>
    <row r="6" spans="1:9">
      <c r="B6" s="28" t="s">
        <v>505</v>
      </c>
    </row>
    <row r="7" spans="1:9">
      <c r="B7" s="142" t="s">
        <v>353</v>
      </c>
      <c r="I7" s="142"/>
    </row>
    <row r="8" spans="1:9">
      <c r="B8" s="142" t="s">
        <v>107</v>
      </c>
      <c r="C8" s="458" t="s">
        <v>3</v>
      </c>
      <c r="D8" s="35"/>
      <c r="E8" s="35" t="s">
        <v>506</v>
      </c>
      <c r="I8" s="143" t="s">
        <v>511</v>
      </c>
    </row>
    <row r="9" spans="1:9">
      <c r="A9" s="143" t="s">
        <v>2</v>
      </c>
      <c r="B9" s="143" t="s">
        <v>6</v>
      </c>
      <c r="C9" s="458" t="s">
        <v>107</v>
      </c>
      <c r="D9" s="35"/>
      <c r="E9" s="35" t="s">
        <v>103</v>
      </c>
      <c r="I9" s="143" t="s">
        <v>204</v>
      </c>
    </row>
    <row r="10" spans="1:9">
      <c r="A10" s="143"/>
      <c r="B10" s="143" t="s">
        <v>507</v>
      </c>
      <c r="C10" s="458" t="s">
        <v>508</v>
      </c>
      <c r="D10" s="35"/>
      <c r="E10" s="35" t="s">
        <v>509</v>
      </c>
      <c r="G10" s="35" t="s">
        <v>510</v>
      </c>
      <c r="I10" s="35"/>
    </row>
    <row r="11" spans="1:9">
      <c r="A11" s="140" t="s">
        <v>224</v>
      </c>
      <c r="B11" s="30">
        <f>'Revenue Summary'!B10</f>
        <v>301101949.16364413</v>
      </c>
      <c r="C11" s="198">
        <v>301072732.16000003</v>
      </c>
      <c r="E11" s="199">
        <f>C11-B11</f>
        <v>-29217.003644108772</v>
      </c>
      <c r="F11" s="339">
        <f>E11/C11</f>
        <v>-9.7043008294028725E-5</v>
      </c>
      <c r="G11" s="30">
        <f>'B&amp;A Surcharges'!X11</f>
        <v>74891866.624778703</v>
      </c>
      <c r="I11" s="30">
        <f>-'B&amp;A Surcharges'!H11</f>
        <v>-312639.77999999997</v>
      </c>
    </row>
    <row r="12" spans="1:9">
      <c r="A12" s="174" t="s">
        <v>225</v>
      </c>
      <c r="B12" s="30">
        <f>'Revenue Summary'!B11</f>
        <v>435972.90087085578</v>
      </c>
      <c r="C12" s="198">
        <v>433590.44</v>
      </c>
      <c r="E12" s="199">
        <f t="shared" ref="E12:E13" si="0">C12-B12</f>
        <v>-2382.4608708557789</v>
      </c>
      <c r="F12" s="339">
        <f t="shared" ref="F12:F13" si="1">E12/C12</f>
        <v>-5.494726477031594E-3</v>
      </c>
      <c r="G12" s="30">
        <f>'B&amp;A Surcharges'!X13</f>
        <v>110160.40595548388</v>
      </c>
      <c r="I12" s="30">
        <f>-'B&amp;A Surcharges'!H13</f>
        <v>-473</v>
      </c>
    </row>
    <row r="13" spans="1:9">
      <c r="A13" s="145" t="s">
        <v>226</v>
      </c>
      <c r="B13" s="42">
        <f>'Revenue Summary'!B12</f>
        <v>16737.518022438999</v>
      </c>
      <c r="C13" s="329">
        <v>16688.25</v>
      </c>
      <c r="D13" s="95"/>
      <c r="E13" s="344">
        <f t="shared" si="0"/>
        <v>-49.268022438998742</v>
      </c>
      <c r="F13" s="339">
        <f t="shared" si="1"/>
        <v>-2.9522581720071751E-3</v>
      </c>
      <c r="G13" s="42">
        <f>'B&amp;A Surcharges'!X15</f>
        <v>4107.9473535483867</v>
      </c>
      <c r="I13" s="42">
        <f>-'B&amp;A Surcharges'!H15</f>
        <v>-19.600000000000001</v>
      </c>
    </row>
    <row r="14" spans="1:9">
      <c r="A14" s="140" t="s">
        <v>174</v>
      </c>
      <c r="B14" s="30">
        <f>'Revenue Summary'!B13</f>
        <v>301554659.58253741</v>
      </c>
      <c r="C14" s="198">
        <f>SUM(C11:C13)</f>
        <v>301523010.85000002</v>
      </c>
      <c r="E14" s="198">
        <f>SUM(E11:E13)</f>
        <v>-31648.73253740355</v>
      </c>
      <c r="F14" s="339"/>
      <c r="G14" s="198">
        <f>SUM(G11:G13)</f>
        <v>75006134.978087723</v>
      </c>
      <c r="I14" s="198">
        <f>SUM(I11:I13)</f>
        <v>-313132.37999999995</v>
      </c>
    </row>
    <row r="15" spans="1:9">
      <c r="A15" s="140"/>
      <c r="B15" s="30"/>
      <c r="F15" s="339"/>
      <c r="G15" s="30"/>
      <c r="I15" s="30"/>
    </row>
    <row r="16" spans="1:9">
      <c r="A16" s="140"/>
      <c r="B16" s="30"/>
      <c r="F16" s="339"/>
      <c r="G16" s="30"/>
      <c r="I16" s="30"/>
    </row>
    <row r="17" spans="1:9">
      <c r="A17" s="140" t="s">
        <v>366</v>
      </c>
      <c r="B17" s="30">
        <f>'Revenue Summary'!B16</f>
        <v>102943116.4365176</v>
      </c>
      <c r="C17" s="198">
        <v>103154993.84</v>
      </c>
      <c r="E17" s="199">
        <f t="shared" ref="E17:E24" si="2">C17-B17</f>
        <v>211877.40348240733</v>
      </c>
      <c r="F17" s="339">
        <f t="shared" ref="F17:F24" si="3">E17/C17</f>
        <v>2.0539713647895973E-3</v>
      </c>
      <c r="G17" s="30">
        <f>'B&amp;A Surcharges'!X25</f>
        <v>25189662.158135481</v>
      </c>
      <c r="I17" s="30">
        <f>-'B&amp;A Surcharges'!H25</f>
        <v>-18765.16</v>
      </c>
    </row>
    <row r="18" spans="1:9">
      <c r="A18" s="140" t="s">
        <v>365</v>
      </c>
      <c r="B18" s="30">
        <f>'Revenue Summary'!B17</f>
        <v>742763.41644480964</v>
      </c>
      <c r="C18" s="198">
        <v>743051.92</v>
      </c>
      <c r="E18" s="199">
        <f t="shared" si="2"/>
        <v>288.50355519040022</v>
      </c>
      <c r="F18" s="339">
        <f t="shared" si="3"/>
        <v>3.8826836648292386E-4</v>
      </c>
      <c r="G18" s="30">
        <f>'B&amp;A Surcharges'!X21</f>
        <v>170067.0156064516</v>
      </c>
      <c r="I18" s="30">
        <f>-'B&amp;A Surcharges'!H21</f>
        <v>-112.96</v>
      </c>
    </row>
    <row r="19" spans="1:9">
      <c r="A19" s="174" t="s">
        <v>202</v>
      </c>
      <c r="B19" s="30">
        <f>'Revenue Summary'!B18</f>
        <v>1508460.4142761033</v>
      </c>
      <c r="C19" s="198">
        <v>1513985.14</v>
      </c>
      <c r="E19" s="199">
        <f t="shared" si="2"/>
        <v>5524.7257238966413</v>
      </c>
      <c r="F19" s="339">
        <f t="shared" si="3"/>
        <v>3.6491281043198624E-3</v>
      </c>
      <c r="G19" s="30">
        <f>'B&amp;A Surcharges'!X19</f>
        <v>354360.16905161284</v>
      </c>
      <c r="I19" s="30">
        <f>-'B&amp;A Surcharges'!H19</f>
        <v>-236.37</v>
      </c>
    </row>
    <row r="20" spans="1:9">
      <c r="A20" s="140" t="s">
        <v>367</v>
      </c>
      <c r="B20" s="30">
        <f>'Revenue Summary'!B19</f>
        <v>231033.74409271474</v>
      </c>
      <c r="C20" s="198">
        <v>232965.49999999997</v>
      </c>
      <c r="E20" s="199">
        <f t="shared" si="2"/>
        <v>1931.7559072852309</v>
      </c>
      <c r="F20" s="339">
        <f t="shared" si="3"/>
        <v>8.2920256745536627E-3</v>
      </c>
      <c r="G20" s="30">
        <f>'B&amp;A Surcharges'!X23</f>
        <v>54269.998387096777</v>
      </c>
      <c r="I20" s="30">
        <f>-'B&amp;A Surcharges'!H23</f>
        <v>-49.19</v>
      </c>
    </row>
    <row r="21" spans="1:9">
      <c r="A21" s="140" t="s">
        <v>369</v>
      </c>
      <c r="B21" s="30">
        <f>'Revenue Summary'!B20</f>
        <v>272990.60104513046</v>
      </c>
      <c r="C21" s="198">
        <v>273128.92</v>
      </c>
      <c r="E21" s="199">
        <f t="shared" si="2"/>
        <v>138.31895486952271</v>
      </c>
      <c r="F21" s="339">
        <f t="shared" si="3"/>
        <v>5.0642368764729391E-4</v>
      </c>
      <c r="G21" s="30">
        <f>'B&amp;A Surcharges'!X27</f>
        <v>69536.501374193555</v>
      </c>
      <c r="I21" s="30">
        <f>-'B&amp;A Surcharges'!H27</f>
        <v>-62.889999999999993</v>
      </c>
    </row>
    <row r="22" spans="1:9">
      <c r="A22" s="140" t="s">
        <v>370</v>
      </c>
      <c r="B22" s="30">
        <f>'Revenue Summary'!B21</f>
        <v>1295690.5928825852</v>
      </c>
      <c r="C22" s="198">
        <v>1300590.9099999999</v>
      </c>
      <c r="E22" s="199">
        <f t="shared" si="2"/>
        <v>4900.3171174146701</v>
      </c>
      <c r="F22" s="339">
        <f t="shared" si="3"/>
        <v>3.7677620839397306E-3</v>
      </c>
      <c r="G22" s="30">
        <f>'B&amp;A Surcharges'!X29</f>
        <v>332985.49990967748</v>
      </c>
      <c r="I22" s="30">
        <f>-'B&amp;A Surcharges'!H29</f>
        <v>-279.66000000000003</v>
      </c>
    </row>
    <row r="23" spans="1:9">
      <c r="A23" s="140" t="s">
        <v>368</v>
      </c>
      <c r="B23" s="30">
        <f>'Revenue Summary'!B22</f>
        <v>1314726.8183044656</v>
      </c>
      <c r="C23" s="198">
        <v>1314523.3199999998</v>
      </c>
      <c r="E23" s="199">
        <f t="shared" si="2"/>
        <v>-203.49830446578562</v>
      </c>
      <c r="F23" s="339">
        <f t="shared" si="3"/>
        <v>-1.5480767923218406E-4</v>
      </c>
      <c r="G23" s="30">
        <f>'B&amp;A Surcharges'!X31</f>
        <v>338283.75885806454</v>
      </c>
      <c r="I23" s="30">
        <f>-'B&amp;A Surcharges'!H31</f>
        <v>-130.41000000000003</v>
      </c>
    </row>
    <row r="24" spans="1:9">
      <c r="A24" s="145" t="s">
        <v>371</v>
      </c>
      <c r="B24" s="42">
        <f>'Revenue Summary'!B23</f>
        <v>67974.08929814586</v>
      </c>
      <c r="C24" s="329">
        <v>69060.72</v>
      </c>
      <c r="D24" s="95"/>
      <c r="E24" s="344">
        <f t="shared" si="2"/>
        <v>1086.6307018541411</v>
      </c>
      <c r="F24" s="339">
        <f t="shared" si="3"/>
        <v>1.5734424747586486E-2</v>
      </c>
      <c r="G24" s="42">
        <f>'B&amp;A Surcharges'!X33</f>
        <v>16434.316019354839</v>
      </c>
      <c r="I24" s="42">
        <f>-'B&amp;A Surcharges'!H33</f>
        <v>0</v>
      </c>
    </row>
    <row r="25" spans="1:9">
      <c r="A25" s="140" t="s">
        <v>351</v>
      </c>
      <c r="B25" s="30">
        <f>'Revenue Summary'!B24</f>
        <v>108376756.11286156</v>
      </c>
      <c r="C25" s="198">
        <f>SUM(C17:C24)</f>
        <v>108602300.27</v>
      </c>
      <c r="E25" s="198">
        <f>SUM(E17:E24)</f>
        <v>225544.15713845217</v>
      </c>
      <c r="F25" s="339"/>
      <c r="G25" s="198">
        <f t="shared" ref="G25" si="4">SUM(G17:G24)</f>
        <v>26525599.417341936</v>
      </c>
      <c r="I25" s="198">
        <f>SUM(I17:I24)</f>
        <v>-19636.639999999996</v>
      </c>
    </row>
    <row r="26" spans="1:9">
      <c r="A26" s="140"/>
      <c r="B26" s="30"/>
      <c r="F26" s="339"/>
      <c r="G26" s="30"/>
      <c r="I26" s="30"/>
    </row>
    <row r="27" spans="1:9">
      <c r="A27" s="140" t="s">
        <v>372</v>
      </c>
      <c r="B27" s="30">
        <f>'Revenue Summary'!B26</f>
        <v>43800119.723797604</v>
      </c>
      <c r="C27" s="198">
        <v>43965759.960000001</v>
      </c>
      <c r="E27" s="199">
        <f t="shared" ref="E27:E33" si="5">C27-B27</f>
        <v>165640.23620239645</v>
      </c>
      <c r="F27" s="339">
        <f t="shared" ref="F27:F32" si="6">E27/C27</f>
        <v>3.7674826126762226E-3</v>
      </c>
      <c r="G27" s="30">
        <f>'B&amp;A Surcharges'!X35</f>
        <v>11139366.031341288</v>
      </c>
      <c r="I27" s="30">
        <f>-'B&amp;A Surcharges'!H35</f>
        <v>-8381.4399999999987</v>
      </c>
    </row>
    <row r="28" spans="1:9">
      <c r="A28" s="140" t="s">
        <v>376</v>
      </c>
      <c r="B28" s="30">
        <f>'Revenue Summary'!B27</f>
        <v>264428.90459788358</v>
      </c>
      <c r="C28" s="198">
        <v>265952.04000000004</v>
      </c>
      <c r="E28" s="199">
        <f t="shared" si="5"/>
        <v>1523.1354021164589</v>
      </c>
      <c r="F28" s="339">
        <f t="shared" si="6"/>
        <v>5.7271055417227055E-3</v>
      </c>
      <c r="G28" s="30">
        <f>'B&amp;A Surcharges'!X37</f>
        <v>72322.746451612911</v>
      </c>
      <c r="I28" s="30">
        <f>-'B&amp;A Surcharges'!H37</f>
        <v>-43.62</v>
      </c>
    </row>
    <row r="29" spans="1:9">
      <c r="A29" s="140" t="s">
        <v>377</v>
      </c>
      <c r="B29" s="30">
        <f>'Revenue Summary'!B28</f>
        <v>661824.0494181586</v>
      </c>
      <c r="C29" s="198">
        <v>663872.9</v>
      </c>
      <c r="E29" s="199">
        <f t="shared" si="5"/>
        <v>2048.8505818414269</v>
      </c>
      <c r="F29" s="339">
        <f t="shared" si="6"/>
        <v>3.0862090949057069E-3</v>
      </c>
      <c r="G29" s="30">
        <f>'B&amp;A Surcharges'!X39</f>
        <v>169593.12618000002</v>
      </c>
      <c r="I29" s="30">
        <f>-'B&amp;A Surcharges'!H39</f>
        <v>-162.9</v>
      </c>
    </row>
    <row r="30" spans="1:9">
      <c r="A30" s="140" t="s">
        <v>378</v>
      </c>
      <c r="B30" s="30">
        <f>'Revenue Summary'!B29</f>
        <v>311861.25814510748</v>
      </c>
      <c r="C30" s="198">
        <v>308368.02</v>
      </c>
      <c r="E30" s="199">
        <f t="shared" si="5"/>
        <v>-3493.2381451074616</v>
      </c>
      <c r="F30" s="339">
        <f t="shared" si="6"/>
        <v>-1.1328146625280602E-2</v>
      </c>
      <c r="G30" s="30">
        <f>'B&amp;A Surcharges'!X41</f>
        <v>78585.644165161299</v>
      </c>
      <c r="I30" s="30">
        <f>-'B&amp;A Surcharges'!H41</f>
        <v>0</v>
      </c>
    </row>
    <row r="31" spans="1:9">
      <c r="A31" s="140" t="s">
        <v>373</v>
      </c>
      <c r="B31" s="30">
        <f>'Revenue Summary'!B30</f>
        <v>12020766.633925119</v>
      </c>
      <c r="C31" s="198">
        <v>12107413.49</v>
      </c>
      <c r="E31" s="199">
        <f t="shared" si="5"/>
        <v>86646.856074880809</v>
      </c>
      <c r="F31" s="339">
        <f t="shared" si="6"/>
        <v>7.1565125075183011E-3</v>
      </c>
      <c r="G31" s="30">
        <f>'B&amp;A Surcharges'!X43</f>
        <v>3161043.3439006447</v>
      </c>
      <c r="I31" s="30">
        <f>-'B&amp;A Surcharges'!H43</f>
        <v>-1046.24</v>
      </c>
    </row>
    <row r="32" spans="1:9">
      <c r="A32" s="174" t="s">
        <v>374</v>
      </c>
      <c r="B32" s="30">
        <f>'Revenue Summary'!B31</f>
        <v>1321791.8395351367</v>
      </c>
      <c r="C32" s="198">
        <v>1331917.94</v>
      </c>
      <c r="E32" s="199">
        <f t="shared" si="5"/>
        <v>10126.100464863237</v>
      </c>
      <c r="F32" s="339">
        <f t="shared" si="6"/>
        <v>7.6026458993886945E-3</v>
      </c>
      <c r="G32" s="30">
        <f>'B&amp;A Surcharges'!X45</f>
        <v>392216.3034406451</v>
      </c>
      <c r="I32" s="30">
        <f>-'B&amp;A Surcharges'!H45</f>
        <v>-177.24</v>
      </c>
    </row>
    <row r="33" spans="1:24">
      <c r="A33" s="145" t="s">
        <v>375</v>
      </c>
      <c r="B33" s="42">
        <f>'Revenue Summary'!B32</f>
        <v>0</v>
      </c>
      <c r="C33" s="329">
        <v>0</v>
      </c>
      <c r="D33" s="95"/>
      <c r="E33" s="344">
        <f t="shared" si="5"/>
        <v>0</v>
      </c>
      <c r="F33" s="339">
        <f>IFERROR(E33/C33,0)</f>
        <v>0</v>
      </c>
      <c r="G33" s="42">
        <f>'B&amp;A Surcharges'!X47</f>
        <v>0</v>
      </c>
      <c r="I33" s="42">
        <f>-'B&amp;A Surcharges'!H47</f>
        <v>0</v>
      </c>
    </row>
    <row r="34" spans="1:24">
      <c r="A34" s="140" t="s">
        <v>175</v>
      </c>
      <c r="B34" s="30">
        <f>'Revenue Summary'!B33</f>
        <v>58380792.409419015</v>
      </c>
      <c r="C34" s="198">
        <f>SUM(C27:C33)</f>
        <v>58643284.350000001</v>
      </c>
      <c r="E34" s="198">
        <f>SUM(E27:E33)</f>
        <v>262491.94058099092</v>
      </c>
      <c r="F34" s="339"/>
      <c r="G34" s="198">
        <f t="shared" ref="G34" si="7">SUM(G27:G33)</f>
        <v>15013127.195479354</v>
      </c>
      <c r="I34" s="198">
        <f>SUM(I27:I33)</f>
        <v>-9811.4399999999987</v>
      </c>
    </row>
    <row r="35" spans="1:24">
      <c r="A35" s="140"/>
      <c r="B35" s="30"/>
      <c r="E35" s="199"/>
      <c r="F35" s="339"/>
      <c r="G35" s="30"/>
      <c r="I35" s="30"/>
    </row>
    <row r="36" spans="1:24">
      <c r="A36" s="175" t="s">
        <v>379</v>
      </c>
      <c r="B36" s="30">
        <f>'Revenue Summary'!B35</f>
        <v>13706280.113662591</v>
      </c>
      <c r="C36" s="198">
        <v>13764690.599999998</v>
      </c>
      <c r="E36" s="199">
        <f t="shared" ref="E36:E37" si="8">C36-B36</f>
        <v>58410.486337406561</v>
      </c>
      <c r="F36" s="339">
        <f t="shared" ref="F36:F37" si="9">E36/C36</f>
        <v>4.243501582041123E-3</v>
      </c>
      <c r="G36" s="30">
        <f>'B&amp;A Surcharges'!X49</f>
        <v>3452668.3500206447</v>
      </c>
      <c r="I36" s="30">
        <f>-'B&amp;A Surcharges'!H49</f>
        <v>-2808.89</v>
      </c>
      <c r="N36" s="29"/>
      <c r="O36" s="29"/>
      <c r="P36" s="29"/>
      <c r="Q36" s="29"/>
      <c r="R36" s="29"/>
      <c r="S36" s="29"/>
      <c r="T36" s="29"/>
      <c r="U36" s="29"/>
      <c r="V36" s="29"/>
      <c r="W36" s="29"/>
    </row>
    <row r="37" spans="1:24">
      <c r="A37" s="176" t="s">
        <v>380</v>
      </c>
      <c r="B37" s="42">
        <f>'Revenue Summary'!B36</f>
        <v>241714.90533349622</v>
      </c>
      <c r="C37" s="329">
        <v>241193.15999999997</v>
      </c>
      <c r="D37" s="95"/>
      <c r="E37" s="344">
        <f t="shared" si="8"/>
        <v>-521.74533349624835</v>
      </c>
      <c r="F37" s="339">
        <f t="shared" si="9"/>
        <v>-2.1631846172430777E-3</v>
      </c>
      <c r="G37" s="42">
        <f>'B&amp;A Surcharges'!X51</f>
        <v>66551.096776774197</v>
      </c>
      <c r="I37" s="42">
        <f>-'B&amp;A Surcharges'!H51</f>
        <v>-68.8</v>
      </c>
      <c r="N37" s="29"/>
      <c r="O37" s="29"/>
      <c r="P37" s="29"/>
      <c r="Q37" s="29"/>
      <c r="R37" s="29"/>
      <c r="S37" s="29"/>
      <c r="T37" s="29"/>
      <c r="U37" s="29"/>
      <c r="V37" s="29"/>
      <c r="W37" s="29"/>
    </row>
    <row r="38" spans="1:24">
      <c r="A38" s="175" t="s">
        <v>292</v>
      </c>
      <c r="B38" s="30">
        <f>'Revenue Summary'!B37</f>
        <v>13947995.018996088</v>
      </c>
      <c r="C38" s="198">
        <f>C37+C36</f>
        <v>14005883.759999998</v>
      </c>
      <c r="E38" s="198">
        <f>E37+E36</f>
        <v>57888.741003910312</v>
      </c>
      <c r="F38" s="339"/>
      <c r="G38" s="198">
        <f t="shared" ref="G38" si="10">G37+G36</f>
        <v>3519219.4467974189</v>
      </c>
      <c r="I38" s="198">
        <f>I37+I36</f>
        <v>-2877.69</v>
      </c>
      <c r="N38" s="29"/>
      <c r="O38" s="29"/>
      <c r="P38" s="29"/>
      <c r="Q38" s="29"/>
      <c r="R38" s="29"/>
      <c r="S38" s="29"/>
      <c r="T38" s="29"/>
      <c r="U38" s="29"/>
      <c r="V38" s="29"/>
      <c r="W38" s="29"/>
    </row>
    <row r="39" spans="1:24">
      <c r="A39" s="140"/>
      <c r="B39" s="30"/>
      <c r="F39" s="339"/>
      <c r="G39" s="30"/>
      <c r="I39" s="30"/>
      <c r="N39" s="29"/>
      <c r="O39" s="29"/>
      <c r="P39" s="29"/>
      <c r="Q39" s="29"/>
      <c r="R39" s="29"/>
      <c r="S39" s="29"/>
      <c r="T39" s="29"/>
      <c r="U39" s="29"/>
      <c r="V39" s="29"/>
      <c r="W39" s="29"/>
      <c r="X39" s="29"/>
    </row>
    <row r="40" spans="1:24">
      <c r="A40" s="175" t="s">
        <v>384</v>
      </c>
      <c r="B40" s="30">
        <f>'Revenue Summary'!B39</f>
        <v>1879886.8788068388</v>
      </c>
      <c r="C40" s="198">
        <v>1886414.28</v>
      </c>
      <c r="E40" s="199">
        <f t="shared" ref="E40:E43" si="11">C40-B40</f>
        <v>6527.4011931612622</v>
      </c>
      <c r="F40" s="339">
        <f>E40/C40</f>
        <v>3.4602161690385751E-3</v>
      </c>
      <c r="G40" s="30">
        <f>'B&amp;A Surcharges'!X53</f>
        <v>515494.73760683869</v>
      </c>
      <c r="I40" s="30">
        <f>-'B&amp;A Surcharges'!H53</f>
        <v>-530.71</v>
      </c>
      <c r="L40" s="339"/>
      <c r="N40" s="346"/>
      <c r="O40" s="62"/>
      <c r="P40" s="340"/>
      <c r="Q40" s="29"/>
      <c r="R40" s="341"/>
      <c r="S40" s="342"/>
      <c r="T40" s="62"/>
      <c r="U40" s="29"/>
      <c r="V40" s="341"/>
      <c r="W40" s="342"/>
      <c r="X40" s="29"/>
    </row>
    <row r="41" spans="1:24">
      <c r="A41" s="175" t="s">
        <v>381</v>
      </c>
      <c r="B41" s="30">
        <f>'Revenue Summary'!B40</f>
        <v>37077245.945861794</v>
      </c>
      <c r="C41" s="198">
        <v>37351985.539999999</v>
      </c>
      <c r="E41" s="199">
        <f t="shared" si="11"/>
        <v>274739.59413820505</v>
      </c>
      <c r="F41" s="339">
        <f t="shared" ref="F41:F43" si="12">E41/C41</f>
        <v>7.3554214097665089E-3</v>
      </c>
      <c r="G41" s="30">
        <f>'B&amp;A Surcharges'!X55</f>
        <v>10162291.780461805</v>
      </c>
      <c r="I41" s="30">
        <f>-'B&amp;A Surcharges'!H55</f>
        <v>-3325.84</v>
      </c>
      <c r="L41" s="339"/>
      <c r="N41" s="346"/>
      <c r="O41" s="62"/>
      <c r="P41" s="340"/>
      <c r="Q41" s="29"/>
      <c r="R41" s="341"/>
      <c r="S41" s="342"/>
      <c r="T41" s="62"/>
      <c r="U41" s="29"/>
      <c r="V41" s="341"/>
      <c r="W41" s="342"/>
      <c r="X41" s="29"/>
    </row>
    <row r="42" spans="1:24">
      <c r="A42" s="175" t="s">
        <v>382</v>
      </c>
      <c r="B42" s="30">
        <f>'Revenue Summary'!B41</f>
        <v>138656935.92222032</v>
      </c>
      <c r="C42" s="198">
        <v>138704589.59000003</v>
      </c>
      <c r="E42" s="199">
        <f t="shared" si="11"/>
        <v>47653.667779713869</v>
      </c>
      <c r="F42" s="339">
        <f t="shared" si="12"/>
        <v>3.4356229970885897E-4</v>
      </c>
      <c r="G42" s="30">
        <f>'B&amp;A Surcharges'!X57</f>
        <v>46836021.264370322</v>
      </c>
      <c r="I42" s="30">
        <f>-'B&amp;A Surcharges'!H57</f>
        <v>-7383.61</v>
      </c>
      <c r="L42" s="339"/>
      <c r="N42" s="346"/>
      <c r="O42" s="62"/>
      <c r="P42" s="340"/>
      <c r="Q42" s="29"/>
      <c r="R42" s="341"/>
      <c r="S42" s="342"/>
      <c r="T42" s="62"/>
      <c r="U42" s="29"/>
      <c r="V42" s="341"/>
      <c r="W42" s="342"/>
      <c r="X42" s="29"/>
    </row>
    <row r="43" spans="1:24">
      <c r="A43" s="176" t="s">
        <v>383</v>
      </c>
      <c r="B43" s="42">
        <f>'Revenue Summary'!B42</f>
        <v>20962306.426374324</v>
      </c>
      <c r="C43" s="329">
        <v>21083470.16</v>
      </c>
      <c r="D43" s="95"/>
      <c r="E43" s="344">
        <f t="shared" si="11"/>
        <v>121163.73362567648</v>
      </c>
      <c r="F43" s="339">
        <f t="shared" si="12"/>
        <v>5.746859160573616E-3</v>
      </c>
      <c r="G43" s="42">
        <f>'B&amp;A Surcharges'!X59</f>
        <v>6464497.908414321</v>
      </c>
      <c r="I43" s="42">
        <f>-'B&amp;A Surcharges'!H59</f>
        <v>0</v>
      </c>
      <c r="L43" s="339"/>
      <c r="N43" s="346"/>
      <c r="O43" s="62"/>
      <c r="P43" s="340"/>
      <c r="Q43" s="29"/>
      <c r="R43" s="341"/>
      <c r="S43" s="342"/>
      <c r="T43" s="62"/>
      <c r="U43" s="29"/>
      <c r="V43" s="341"/>
      <c r="W43" s="342"/>
      <c r="X43" s="29"/>
    </row>
    <row r="44" spans="1:24">
      <c r="A44" s="140" t="s">
        <v>324</v>
      </c>
      <c r="B44" s="30">
        <f>'Revenue Summary'!B43</f>
        <v>198576375.17326325</v>
      </c>
      <c r="C44" s="198">
        <f>SUM(C40:C43)</f>
        <v>199026459.57000002</v>
      </c>
      <c r="E44" s="198">
        <f>SUM(E40:E43)</f>
        <v>450084.39673675667</v>
      </c>
      <c r="F44" s="339"/>
      <c r="G44" s="198">
        <f t="shared" ref="G44" si="13">SUM(G40:G43)</f>
        <v>63978305.690853283</v>
      </c>
      <c r="I44" s="198">
        <f>SUM(I40:I43)</f>
        <v>-11240.16</v>
      </c>
      <c r="L44" s="339"/>
      <c r="N44" s="174"/>
      <c r="O44" s="62"/>
      <c r="P44" s="340"/>
      <c r="Q44" s="29"/>
      <c r="R44" s="340"/>
      <c r="S44" s="342"/>
      <c r="T44" s="340"/>
      <c r="U44" s="29"/>
      <c r="V44" s="340"/>
      <c r="W44" s="342"/>
      <c r="X44" s="29"/>
    </row>
    <row r="45" spans="1:24">
      <c r="A45" s="140"/>
      <c r="B45" s="30"/>
      <c r="E45" s="199"/>
      <c r="F45" s="339"/>
      <c r="G45" s="30"/>
      <c r="I45" s="30"/>
      <c r="L45" s="339"/>
      <c r="N45" s="174"/>
      <c r="O45" s="62"/>
      <c r="P45" s="340"/>
      <c r="Q45" s="29"/>
      <c r="R45" s="341"/>
      <c r="S45" s="342"/>
      <c r="T45" s="62"/>
      <c r="U45" s="29"/>
      <c r="V45" s="29"/>
      <c r="W45" s="29"/>
      <c r="X45" s="29"/>
    </row>
    <row r="46" spans="1:24">
      <c r="A46" s="147" t="s">
        <v>35</v>
      </c>
      <c r="B46" s="30">
        <f>'Revenue Summary'!B45</f>
        <v>10245675.303714443</v>
      </c>
      <c r="C46" s="198">
        <v>10018083.140000001</v>
      </c>
      <c r="E46" s="199">
        <f t="shared" ref="E46:E47" si="14">C46-B46</f>
        <v>-227592.1637144424</v>
      </c>
      <c r="F46" s="339">
        <f t="shared" ref="F46:F47" si="15">E46/C46</f>
        <v>-2.2718134850140841E-2</v>
      </c>
      <c r="G46" s="30">
        <f>'B&amp;A Surcharges'!X17</f>
        <v>1918582.2219445163</v>
      </c>
      <c r="I46" s="30">
        <f>-'B&amp;A Surcharges'!H17</f>
        <v>-489.8</v>
      </c>
      <c r="L46" s="339"/>
      <c r="N46" s="216"/>
      <c r="O46" s="62"/>
      <c r="P46" s="340"/>
      <c r="Q46" s="29"/>
      <c r="R46" s="341"/>
      <c r="S46" s="342"/>
      <c r="T46" s="62"/>
      <c r="U46" s="29"/>
      <c r="V46" s="29"/>
      <c r="W46" s="29"/>
      <c r="X46" s="29"/>
    </row>
    <row r="47" spans="1:24">
      <c r="A47" s="147" t="s">
        <v>36</v>
      </c>
      <c r="B47" s="30">
        <f>'Revenue Summary'!B46</f>
        <v>1937274.3744878529</v>
      </c>
      <c r="C47" s="198">
        <v>1931844.2000000002</v>
      </c>
      <c r="E47" s="199">
        <f t="shared" si="14"/>
        <v>-5430.1744878527243</v>
      </c>
      <c r="F47" s="339">
        <f t="shared" si="15"/>
        <v>-2.8108759949962443E-3</v>
      </c>
      <c r="G47" s="30">
        <f>'B&amp;A Surcharges'!X61</f>
        <v>390692.04399580654</v>
      </c>
      <c r="I47" s="30">
        <f>-'B&amp;A Surcharges'!H61</f>
        <v>0</v>
      </c>
      <c r="N47" s="216"/>
      <c r="O47" s="62"/>
      <c r="P47" s="340"/>
      <c r="Q47" s="29"/>
      <c r="R47" s="341"/>
      <c r="S47" s="342"/>
      <c r="T47" s="62"/>
      <c r="U47" s="29"/>
      <c r="V47" s="29"/>
      <c r="W47" s="29"/>
      <c r="X47" s="29"/>
    </row>
    <row r="48" spans="1:24">
      <c r="A48" s="140"/>
      <c r="B48" s="30"/>
      <c r="E48" s="199"/>
      <c r="F48" s="339"/>
      <c r="G48" s="30"/>
      <c r="I48" s="30"/>
      <c r="N48" s="174"/>
      <c r="O48" s="62"/>
      <c r="P48" s="340"/>
      <c r="Q48" s="29"/>
      <c r="R48" s="341"/>
      <c r="S48" s="342"/>
      <c r="T48" s="62"/>
      <c r="U48" s="29"/>
      <c r="V48" s="29"/>
      <c r="W48" s="29"/>
      <c r="X48" s="29"/>
    </row>
    <row r="49" spans="1:24">
      <c r="A49" s="140" t="s">
        <v>34</v>
      </c>
      <c r="B49" s="30">
        <f>'Revenue Summary'!B48</f>
        <v>250475.44752697376</v>
      </c>
      <c r="C49" s="198">
        <v>251660.08000000002</v>
      </c>
      <c r="E49" s="199">
        <f t="shared" ref="E49" si="16">C49-B49</f>
        <v>1184.6324730262568</v>
      </c>
      <c r="F49" s="339">
        <f t="shared" ref="F49" si="17">E49/C49</f>
        <v>4.7072720990403273E-3</v>
      </c>
      <c r="G49" s="30">
        <f>'B&amp;A Surcharges'!X63</f>
        <v>63520.460470000013</v>
      </c>
      <c r="I49" s="30">
        <f>-'B&amp;A Surcharges'!H63</f>
        <v>-56.81</v>
      </c>
      <c r="N49" s="174"/>
      <c r="O49" s="62"/>
      <c r="P49" s="340"/>
      <c r="Q49" s="29"/>
      <c r="R49" s="341"/>
      <c r="S49" s="342"/>
      <c r="T49" s="62"/>
      <c r="U49" s="29"/>
      <c r="V49" s="29"/>
      <c r="W49" s="29"/>
      <c r="X49" s="29"/>
    </row>
    <row r="50" spans="1:24" ht="13.5" thickBot="1">
      <c r="A50" s="178"/>
      <c r="B50" s="42"/>
      <c r="C50" s="329"/>
      <c r="D50" s="95"/>
      <c r="E50" s="344"/>
      <c r="G50" s="42"/>
      <c r="I50" s="42"/>
      <c r="N50" s="174"/>
      <c r="O50" s="62"/>
      <c r="P50" s="340"/>
      <c r="Q50" s="29"/>
      <c r="R50" s="341"/>
      <c r="S50" s="347"/>
      <c r="T50" s="62"/>
      <c r="U50" s="29"/>
      <c r="V50" s="29"/>
      <c r="W50" s="29"/>
      <c r="X50" s="29"/>
    </row>
    <row r="51" spans="1:24">
      <c r="A51" s="140" t="s">
        <v>17</v>
      </c>
      <c r="B51" s="30">
        <f>'Revenue Summary'!B50</f>
        <v>693270003.42280662</v>
      </c>
      <c r="C51" s="459">
        <f>SUM(C49,C47,C46,C44,C38,C34,C25,C14)</f>
        <v>694002526.22000003</v>
      </c>
      <c r="E51" s="198">
        <f>SUM(E49,E47,E46,E44,E38,E34,E25,E14)</f>
        <v>732522.7971934377</v>
      </c>
      <c r="G51" s="198">
        <f t="shared" ref="G51" si="18">SUM(G49,G47,G46,G44,G38,G34,G25,G14)</f>
        <v>186415181.45497003</v>
      </c>
      <c r="I51" s="198">
        <f t="shared" ref="I51" si="19">SUM(I49,I47,I46,I44,I38,I34,I25,I14)</f>
        <v>-357244.91999999993</v>
      </c>
      <c r="N51" s="174"/>
      <c r="O51" s="62"/>
      <c r="P51" s="348"/>
      <c r="Q51" s="29"/>
      <c r="R51" s="340"/>
      <c r="S51" s="347"/>
      <c r="T51" s="340"/>
      <c r="U51" s="29"/>
      <c r="V51" s="343"/>
      <c r="W51" s="29"/>
      <c r="X51" s="29"/>
    </row>
    <row r="52" spans="1:24">
      <c r="A52" s="140"/>
      <c r="N52" s="29"/>
      <c r="O52" s="29"/>
      <c r="P52" s="29"/>
      <c r="Q52" s="29"/>
      <c r="R52" s="29"/>
      <c r="S52" s="29"/>
      <c r="T52" s="29"/>
      <c r="U52" s="29"/>
      <c r="V52" s="29"/>
      <c r="W52" s="29"/>
      <c r="X52" s="29"/>
    </row>
    <row r="53" spans="1:24">
      <c r="N53" s="29"/>
      <c r="O53" s="29"/>
      <c r="P53" s="29"/>
      <c r="Q53" s="29"/>
      <c r="R53" s="29"/>
      <c r="S53" s="29"/>
      <c r="T53" s="29"/>
      <c r="U53" s="29"/>
      <c r="V53" s="29"/>
      <c r="W53" s="29"/>
    </row>
    <row r="54" spans="1:24">
      <c r="E54" s="460"/>
      <c r="N54" s="29"/>
      <c r="O54" s="29"/>
      <c r="P54" s="29"/>
      <c r="Q54" s="29"/>
      <c r="R54" s="29"/>
      <c r="S54" s="29"/>
      <c r="T54" s="29"/>
      <c r="U54" s="29"/>
      <c r="V54" s="29"/>
      <c r="W54" s="29"/>
    </row>
    <row r="55" spans="1:24">
      <c r="N55" s="29"/>
      <c r="O55" s="29"/>
      <c r="P55" s="29"/>
      <c r="Q55" s="29"/>
      <c r="R55" s="29"/>
      <c r="S55" s="29"/>
      <c r="T55" s="29"/>
      <c r="U55" s="29"/>
      <c r="V55" s="29"/>
      <c r="W55" s="29"/>
    </row>
    <row r="56" spans="1:24">
      <c r="E56" s="461"/>
      <c r="N56" s="29"/>
      <c r="O56" s="29"/>
      <c r="P56" s="29"/>
      <c r="Q56" s="29"/>
      <c r="R56" s="29"/>
      <c r="S56" s="29"/>
      <c r="T56" s="29"/>
      <c r="U56" s="29"/>
      <c r="V56" s="29"/>
      <c r="W56" s="29"/>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59"/>
  <sheetViews>
    <sheetView zoomScaleNormal="100" workbookViewId="0">
      <pane xSplit="1" ySplit="7" topLeftCell="B28" activePane="bottomRight" state="frozen"/>
      <selection pane="topRight" activeCell="B1" sqref="B1"/>
      <selection pane="bottomLeft" activeCell="A8" sqref="A8"/>
      <selection pane="bottomRight" activeCell="P53" sqref="P53"/>
    </sheetView>
  </sheetViews>
  <sheetFormatPr defaultColWidth="9.140625" defaultRowHeight="11.25"/>
  <cols>
    <col min="1" max="1" width="29" style="140" bestFit="1" customWidth="1"/>
    <col min="2" max="13" width="8.5703125" style="503" customWidth="1"/>
    <col min="14" max="14" width="17.140625" style="503" customWidth="1"/>
    <col min="15" max="15" width="2.140625" style="504" customWidth="1"/>
    <col min="16" max="17" width="17.140625" style="503" customWidth="1"/>
    <col min="18" max="18" width="17.140625" style="505" customWidth="1"/>
    <col min="19" max="19" width="2.140625" style="504" customWidth="1"/>
    <col min="20" max="20" width="17.140625" style="503" customWidth="1"/>
    <col min="21" max="21" width="9.140625" style="140"/>
    <col min="22" max="22" width="10.85546875" style="140" bestFit="1" customWidth="1"/>
    <col min="23" max="16384" width="9.140625" style="140"/>
  </cols>
  <sheetData>
    <row r="1" spans="1:20">
      <c r="A1" s="140" t="str">
        <f>+RS!B2</f>
        <v>KENTUCKY POWER BILLING ANALYSIS</v>
      </c>
    </row>
    <row r="2" spans="1:20">
      <c r="A2" s="140" t="str">
        <f>+RS!B3</f>
        <v>PER BOOKS</v>
      </c>
    </row>
    <row r="3" spans="1:20">
      <c r="A3" s="140" t="str">
        <f>+RS!B4</f>
        <v>TEST YEAR ENDED MARCH 31, 2023</v>
      </c>
    </row>
    <row r="4" spans="1:20">
      <c r="A4" s="506"/>
    </row>
    <row r="5" spans="1:20">
      <c r="A5" s="506" t="s">
        <v>126</v>
      </c>
    </row>
    <row r="6" spans="1:20" s="142" customFormat="1">
      <c r="A6" s="507"/>
      <c r="B6" s="508"/>
      <c r="C6" s="507"/>
      <c r="D6" s="508"/>
      <c r="E6" s="507"/>
      <c r="F6" s="508"/>
      <c r="G6" s="507"/>
      <c r="H6" s="508"/>
      <c r="I6" s="507"/>
      <c r="J6" s="508"/>
      <c r="K6" s="507"/>
      <c r="L6" s="508"/>
      <c r="M6" s="507"/>
      <c r="N6" s="508" t="s">
        <v>608</v>
      </c>
      <c r="O6" s="509"/>
      <c r="P6" s="508" t="s">
        <v>467</v>
      </c>
      <c r="Q6" s="508" t="s">
        <v>476</v>
      </c>
      <c r="R6" s="510" t="s">
        <v>483</v>
      </c>
      <c r="S6" s="509"/>
      <c r="T6" s="508" t="s">
        <v>477</v>
      </c>
    </row>
    <row r="7" spans="1:20" s="142" customFormat="1">
      <c r="A7" s="507" t="s">
        <v>2</v>
      </c>
      <c r="B7" s="508" t="s">
        <v>270</v>
      </c>
      <c r="C7" s="508" t="s">
        <v>271</v>
      </c>
      <c r="D7" s="508" t="s">
        <v>272</v>
      </c>
      <c r="E7" s="508" t="s">
        <v>273</v>
      </c>
      <c r="F7" s="508" t="s">
        <v>274</v>
      </c>
      <c r="G7" s="508" t="s">
        <v>275</v>
      </c>
      <c r="H7" s="508" t="s">
        <v>276</v>
      </c>
      <c r="I7" s="508" t="s">
        <v>277</v>
      </c>
      <c r="J7" s="508" t="s">
        <v>278</v>
      </c>
      <c r="K7" s="508" t="s">
        <v>267</v>
      </c>
      <c r="L7" s="508" t="s">
        <v>268</v>
      </c>
      <c r="M7" s="508" t="s">
        <v>269</v>
      </c>
      <c r="N7" s="508" t="s">
        <v>17</v>
      </c>
      <c r="O7" s="509"/>
      <c r="P7" s="508" t="s">
        <v>17</v>
      </c>
      <c r="Q7" s="508" t="s">
        <v>76</v>
      </c>
      <c r="R7" s="510" t="s">
        <v>76</v>
      </c>
      <c r="S7" s="509"/>
      <c r="T7" s="508" t="s">
        <v>478</v>
      </c>
    </row>
    <row r="8" spans="1:20">
      <c r="A8" s="506"/>
    </row>
    <row r="9" spans="1:20">
      <c r="A9" s="511" t="s">
        <v>385</v>
      </c>
      <c r="B9" s="333">
        <v>128</v>
      </c>
      <c r="C9" s="333">
        <v>127</v>
      </c>
      <c r="D9" s="333">
        <v>127</v>
      </c>
      <c r="E9" s="333">
        <v>127</v>
      </c>
      <c r="F9" s="333">
        <v>126</v>
      </c>
      <c r="G9" s="333">
        <v>126</v>
      </c>
      <c r="H9" s="333">
        <v>124</v>
      </c>
      <c r="I9" s="333">
        <v>127</v>
      </c>
      <c r="J9" s="333">
        <v>128</v>
      </c>
      <c r="K9" s="333">
        <v>126</v>
      </c>
      <c r="L9" s="333">
        <v>127</v>
      </c>
      <c r="M9" s="333">
        <v>127</v>
      </c>
      <c r="N9" s="333">
        <f t="shared" ref="N9:N18" si="0">SUM(B9:M9)</f>
        <v>1520</v>
      </c>
      <c r="O9" s="512"/>
      <c r="P9" s="333">
        <f t="shared" ref="P9:P18" si="1">M9*12</f>
        <v>1524</v>
      </c>
      <c r="Q9" s="333">
        <f t="shared" ref="Q9:Q18" si="2">P9-N9</f>
        <v>4</v>
      </c>
      <c r="R9" s="505">
        <f>Q9/N9</f>
        <v>2.631578947368421E-3</v>
      </c>
      <c r="S9" s="512"/>
      <c r="T9" s="333"/>
    </row>
    <row r="10" spans="1:20">
      <c r="A10" s="513" t="s">
        <v>386</v>
      </c>
      <c r="B10" s="333">
        <v>11</v>
      </c>
      <c r="C10" s="333">
        <v>10</v>
      </c>
      <c r="D10" s="333">
        <v>10</v>
      </c>
      <c r="E10" s="333">
        <v>10</v>
      </c>
      <c r="F10" s="333">
        <v>10</v>
      </c>
      <c r="G10" s="333">
        <v>10</v>
      </c>
      <c r="H10" s="333">
        <v>10</v>
      </c>
      <c r="I10" s="333">
        <v>10</v>
      </c>
      <c r="J10" s="333">
        <v>10</v>
      </c>
      <c r="K10" s="333">
        <v>10</v>
      </c>
      <c r="L10" s="333">
        <v>10</v>
      </c>
      <c r="M10" s="333">
        <v>10</v>
      </c>
      <c r="N10" s="514">
        <f t="shared" si="0"/>
        <v>121</v>
      </c>
      <c r="O10" s="515"/>
      <c r="P10" s="514">
        <f t="shared" si="1"/>
        <v>120</v>
      </c>
      <c r="Q10" s="514">
        <f t="shared" si="2"/>
        <v>-1</v>
      </c>
      <c r="R10" s="516">
        <f>Q10/N10</f>
        <v>-8.2644628099173556E-3</v>
      </c>
      <c r="S10" s="515"/>
      <c r="T10" s="514"/>
    </row>
    <row r="11" spans="1:20">
      <c r="A11" s="517" t="s">
        <v>387</v>
      </c>
      <c r="B11" s="333">
        <v>1</v>
      </c>
      <c r="C11" s="333">
        <v>1</v>
      </c>
      <c r="D11" s="333">
        <v>1</v>
      </c>
      <c r="E11" s="333">
        <v>1</v>
      </c>
      <c r="F11" s="333">
        <v>1</v>
      </c>
      <c r="G11" s="333">
        <v>1</v>
      </c>
      <c r="H11" s="333">
        <v>1</v>
      </c>
      <c r="I11" s="333">
        <v>1</v>
      </c>
      <c r="J11" s="333">
        <v>1</v>
      </c>
      <c r="K11" s="333">
        <v>1</v>
      </c>
      <c r="L11" s="333">
        <v>1</v>
      </c>
      <c r="M11" s="333">
        <v>1</v>
      </c>
      <c r="N11" s="333">
        <f t="shared" si="0"/>
        <v>12</v>
      </c>
      <c r="O11" s="512"/>
      <c r="P11" s="333">
        <f t="shared" si="1"/>
        <v>12</v>
      </c>
      <c r="Q11" s="333">
        <f t="shared" si="2"/>
        <v>0</v>
      </c>
      <c r="R11" s="505">
        <f>Q11/N11</f>
        <v>0</v>
      </c>
      <c r="S11" s="512"/>
      <c r="T11" s="333"/>
    </row>
    <row r="12" spans="1:20">
      <c r="A12" s="517" t="s">
        <v>388</v>
      </c>
      <c r="B12" s="333">
        <v>16</v>
      </c>
      <c r="C12" s="333">
        <v>16</v>
      </c>
      <c r="D12" s="333">
        <v>15</v>
      </c>
      <c r="E12" s="333">
        <v>14</v>
      </c>
      <c r="F12" s="333">
        <v>14</v>
      </c>
      <c r="G12" s="333">
        <v>14</v>
      </c>
      <c r="H12" s="333">
        <v>14</v>
      </c>
      <c r="I12" s="333">
        <v>14</v>
      </c>
      <c r="J12" s="333">
        <v>14</v>
      </c>
      <c r="K12" s="333">
        <v>14</v>
      </c>
      <c r="L12" s="333">
        <v>14</v>
      </c>
      <c r="M12" s="333">
        <v>14</v>
      </c>
      <c r="N12" s="333">
        <f t="shared" si="0"/>
        <v>173</v>
      </c>
      <c r="O12" s="512"/>
      <c r="P12" s="333">
        <f t="shared" si="1"/>
        <v>168</v>
      </c>
      <c r="Q12" s="333">
        <f t="shared" si="2"/>
        <v>-5</v>
      </c>
      <c r="R12" s="505">
        <v>0</v>
      </c>
      <c r="S12" s="512"/>
      <c r="T12" s="333"/>
    </row>
    <row r="13" spans="1:20">
      <c r="A13" s="517" t="s">
        <v>389</v>
      </c>
      <c r="B13" s="333">
        <v>65520</v>
      </c>
      <c r="C13" s="333">
        <v>65426</v>
      </c>
      <c r="D13" s="333">
        <v>65356</v>
      </c>
      <c r="E13" s="333">
        <v>65354</v>
      </c>
      <c r="F13" s="333">
        <v>65182</v>
      </c>
      <c r="G13" s="333">
        <v>64933</v>
      </c>
      <c r="H13" s="333">
        <v>64923</v>
      </c>
      <c r="I13" s="333">
        <v>65073</v>
      </c>
      <c r="J13" s="333">
        <v>65076</v>
      </c>
      <c r="K13" s="333">
        <v>65145</v>
      </c>
      <c r="L13" s="333">
        <v>65031</v>
      </c>
      <c r="M13" s="333">
        <v>65271</v>
      </c>
      <c r="N13" s="333">
        <f t="shared" si="0"/>
        <v>782290</v>
      </c>
      <c r="O13" s="512"/>
      <c r="P13" s="333">
        <f t="shared" si="1"/>
        <v>783252</v>
      </c>
      <c r="Q13" s="333">
        <f t="shared" si="2"/>
        <v>962</v>
      </c>
      <c r="R13" s="505">
        <f>Q13/N13</f>
        <v>1.2297229927520485E-3</v>
      </c>
      <c r="S13" s="512"/>
      <c r="T13" s="333"/>
    </row>
    <row r="14" spans="1:20">
      <c r="A14" s="517" t="s">
        <v>390</v>
      </c>
      <c r="B14" s="333">
        <v>300</v>
      </c>
      <c r="C14" s="333">
        <v>295</v>
      </c>
      <c r="D14" s="333">
        <v>292</v>
      </c>
      <c r="E14" s="333">
        <v>292</v>
      </c>
      <c r="F14" s="333">
        <v>291</v>
      </c>
      <c r="G14" s="333">
        <v>287</v>
      </c>
      <c r="H14" s="333">
        <v>284</v>
      </c>
      <c r="I14" s="333">
        <v>284</v>
      </c>
      <c r="J14" s="333">
        <v>280</v>
      </c>
      <c r="K14" s="333">
        <v>278</v>
      </c>
      <c r="L14" s="333">
        <v>275</v>
      </c>
      <c r="M14" s="333">
        <v>275</v>
      </c>
      <c r="N14" s="333">
        <f t="shared" si="0"/>
        <v>3433</v>
      </c>
      <c r="O14" s="512"/>
      <c r="P14" s="333">
        <f t="shared" si="1"/>
        <v>3300</v>
      </c>
      <c r="Q14" s="333">
        <f t="shared" si="2"/>
        <v>-133</v>
      </c>
      <c r="R14" s="505">
        <f>Q14/N14</f>
        <v>-3.8741625400524324E-2</v>
      </c>
      <c r="S14" s="512"/>
      <c r="T14" s="333"/>
    </row>
    <row r="15" spans="1:20">
      <c r="A15" s="517" t="s">
        <v>391</v>
      </c>
      <c r="B15" s="333">
        <v>0</v>
      </c>
      <c r="C15" s="333">
        <v>0</v>
      </c>
      <c r="D15" s="333">
        <v>0</v>
      </c>
      <c r="E15" s="333">
        <v>0</v>
      </c>
      <c r="F15" s="333">
        <v>0</v>
      </c>
      <c r="G15" s="333">
        <v>0</v>
      </c>
      <c r="H15" s="333">
        <v>0</v>
      </c>
      <c r="I15" s="333">
        <v>0</v>
      </c>
      <c r="J15" s="333">
        <v>0</v>
      </c>
      <c r="K15" s="333">
        <v>0</v>
      </c>
      <c r="L15" s="333">
        <v>0</v>
      </c>
      <c r="M15" s="333">
        <v>0</v>
      </c>
      <c r="N15" s="333">
        <f t="shared" si="0"/>
        <v>0</v>
      </c>
      <c r="O15" s="512"/>
      <c r="P15" s="333">
        <f t="shared" si="1"/>
        <v>0</v>
      </c>
      <c r="Q15" s="333">
        <f t="shared" si="2"/>
        <v>0</v>
      </c>
      <c r="R15" s="505">
        <v>0</v>
      </c>
      <c r="S15" s="512"/>
      <c r="T15" s="333"/>
    </row>
    <row r="16" spans="1:20">
      <c r="A16" s="517" t="s">
        <v>392</v>
      </c>
      <c r="B16" s="333">
        <v>67152</v>
      </c>
      <c r="C16" s="333">
        <v>66991</v>
      </c>
      <c r="D16" s="333">
        <v>66824</v>
      </c>
      <c r="E16" s="333">
        <v>66716</v>
      </c>
      <c r="F16" s="333">
        <v>66501</v>
      </c>
      <c r="G16" s="333">
        <v>66214</v>
      </c>
      <c r="H16" s="333">
        <v>66058</v>
      </c>
      <c r="I16" s="333">
        <v>65970</v>
      </c>
      <c r="J16" s="333">
        <v>65977</v>
      </c>
      <c r="K16" s="333">
        <v>65830</v>
      </c>
      <c r="L16" s="333">
        <v>65537</v>
      </c>
      <c r="M16" s="333">
        <v>65912</v>
      </c>
      <c r="N16" s="333">
        <f t="shared" si="0"/>
        <v>795682</v>
      </c>
      <c r="O16" s="512"/>
      <c r="P16" s="333">
        <f t="shared" si="1"/>
        <v>790944</v>
      </c>
      <c r="Q16" s="333">
        <f t="shared" si="2"/>
        <v>-4738</v>
      </c>
      <c r="R16" s="505">
        <f>Q16/N16</f>
        <v>-5.9546401703192984E-3</v>
      </c>
      <c r="S16" s="512"/>
      <c r="T16" s="333"/>
    </row>
    <row r="17" spans="1:22">
      <c r="A17" s="518" t="s">
        <v>398</v>
      </c>
      <c r="B17" s="334">
        <v>0</v>
      </c>
      <c r="C17" s="334">
        <v>0</v>
      </c>
      <c r="D17" s="334">
        <v>0</v>
      </c>
      <c r="E17" s="334">
        <v>0</v>
      </c>
      <c r="F17" s="334">
        <v>0</v>
      </c>
      <c r="G17" s="334">
        <v>0</v>
      </c>
      <c r="H17" s="334">
        <v>0</v>
      </c>
      <c r="I17" s="334">
        <v>0</v>
      </c>
      <c r="J17" s="334">
        <v>0</v>
      </c>
      <c r="K17" s="334">
        <v>0</v>
      </c>
      <c r="L17" s="334">
        <v>0</v>
      </c>
      <c r="M17" s="334">
        <v>0</v>
      </c>
      <c r="N17" s="334">
        <f t="shared" si="0"/>
        <v>0</v>
      </c>
      <c r="O17" s="512"/>
      <c r="P17" s="334">
        <f t="shared" si="1"/>
        <v>0</v>
      </c>
      <c r="Q17" s="334">
        <f t="shared" si="2"/>
        <v>0</v>
      </c>
      <c r="R17" s="519">
        <v>0</v>
      </c>
      <c r="S17" s="512"/>
      <c r="T17" s="334"/>
    </row>
    <row r="18" spans="1:22">
      <c r="A18" s="517" t="s">
        <v>224</v>
      </c>
      <c r="B18" s="333">
        <f t="shared" ref="B18:M18" si="3">SUM(B9:B17)</f>
        <v>133128</v>
      </c>
      <c r="C18" s="333">
        <f t="shared" si="3"/>
        <v>132866</v>
      </c>
      <c r="D18" s="333">
        <f t="shared" si="3"/>
        <v>132625</v>
      </c>
      <c r="E18" s="333">
        <f t="shared" si="3"/>
        <v>132514</v>
      </c>
      <c r="F18" s="333">
        <f t="shared" si="3"/>
        <v>132125</v>
      </c>
      <c r="G18" s="333">
        <f t="shared" si="3"/>
        <v>131585</v>
      </c>
      <c r="H18" s="333">
        <f t="shared" si="3"/>
        <v>131414</v>
      </c>
      <c r="I18" s="333">
        <f t="shared" si="3"/>
        <v>131479</v>
      </c>
      <c r="J18" s="333">
        <f t="shared" si="3"/>
        <v>131486</v>
      </c>
      <c r="K18" s="333">
        <f t="shared" si="3"/>
        <v>131404</v>
      </c>
      <c r="L18" s="333">
        <f t="shared" si="3"/>
        <v>130995</v>
      </c>
      <c r="M18" s="333">
        <f t="shared" si="3"/>
        <v>131610</v>
      </c>
      <c r="N18" s="333">
        <f t="shared" si="0"/>
        <v>1583231</v>
      </c>
      <c r="O18" s="512"/>
      <c r="P18" s="333">
        <f t="shared" si="1"/>
        <v>1579320</v>
      </c>
      <c r="Q18" s="333">
        <f t="shared" si="2"/>
        <v>-3911</v>
      </c>
      <c r="R18" s="505">
        <f>Q18/N18</f>
        <v>-2.4702649202801106E-3</v>
      </c>
      <c r="S18" s="512"/>
      <c r="T18" s="333">
        <f ca="1">INDIRECT("'"&amp;A18&amp;"'!O53")</f>
        <v>-562233.19475079619</v>
      </c>
    </row>
    <row r="19" spans="1:22">
      <c r="A19" s="517"/>
      <c r="B19" s="333"/>
      <c r="C19" s="333"/>
      <c r="D19" s="333"/>
      <c r="E19" s="333"/>
      <c r="F19" s="333"/>
      <c r="G19" s="333"/>
      <c r="H19" s="333"/>
      <c r="I19" s="333"/>
      <c r="J19" s="333"/>
      <c r="K19" s="333"/>
      <c r="L19" s="333"/>
      <c r="M19" s="333"/>
      <c r="N19" s="333"/>
      <c r="O19" s="512"/>
      <c r="P19" s="333"/>
      <c r="Q19" s="333"/>
      <c r="S19" s="512"/>
      <c r="T19" s="333"/>
    </row>
    <row r="20" spans="1:22">
      <c r="A20" s="517" t="s">
        <v>393</v>
      </c>
      <c r="B20" s="333">
        <v>6</v>
      </c>
      <c r="C20" s="333">
        <v>6</v>
      </c>
      <c r="D20" s="333">
        <v>6</v>
      </c>
      <c r="E20" s="333">
        <v>6</v>
      </c>
      <c r="F20" s="333">
        <v>6</v>
      </c>
      <c r="G20" s="333">
        <v>6</v>
      </c>
      <c r="H20" s="333">
        <v>6</v>
      </c>
      <c r="I20" s="333">
        <v>6</v>
      </c>
      <c r="J20" s="333">
        <v>6</v>
      </c>
      <c r="K20" s="333">
        <v>6</v>
      </c>
      <c r="L20" s="333">
        <v>6</v>
      </c>
      <c r="M20" s="333">
        <v>6</v>
      </c>
      <c r="N20" s="333">
        <f t="shared" ref="N20:N23" si="4">SUM(B20:M20)</f>
        <v>72</v>
      </c>
      <c r="O20" s="512"/>
      <c r="P20" s="333">
        <f>M20*12</f>
        <v>72</v>
      </c>
      <c r="Q20" s="333">
        <f>P20-N20</f>
        <v>0</v>
      </c>
      <c r="R20" s="505">
        <f>Q20/N20</f>
        <v>0</v>
      </c>
      <c r="S20" s="512"/>
      <c r="T20" s="333"/>
    </row>
    <row r="21" spans="1:22">
      <c r="A21" s="517" t="s">
        <v>394</v>
      </c>
      <c r="B21" s="333">
        <v>65</v>
      </c>
      <c r="C21" s="333">
        <v>65</v>
      </c>
      <c r="D21" s="333">
        <v>65</v>
      </c>
      <c r="E21" s="333">
        <v>65</v>
      </c>
      <c r="F21" s="333">
        <v>65</v>
      </c>
      <c r="G21" s="333">
        <v>65</v>
      </c>
      <c r="H21" s="333">
        <v>65</v>
      </c>
      <c r="I21" s="333">
        <v>64</v>
      </c>
      <c r="J21" s="333">
        <v>64</v>
      </c>
      <c r="K21" s="333">
        <v>64</v>
      </c>
      <c r="L21" s="333">
        <v>63</v>
      </c>
      <c r="M21" s="333">
        <v>63</v>
      </c>
      <c r="N21" s="333">
        <f t="shared" si="4"/>
        <v>773</v>
      </c>
      <c r="O21" s="512"/>
      <c r="P21" s="333">
        <f>M21*12</f>
        <v>756</v>
      </c>
      <c r="Q21" s="333">
        <f>P21-N21</f>
        <v>-17</v>
      </c>
      <c r="R21" s="505">
        <f>Q21/N21</f>
        <v>-2.1992238033635189E-2</v>
      </c>
      <c r="S21" s="512"/>
      <c r="T21" s="333"/>
    </row>
    <row r="22" spans="1:22">
      <c r="A22" s="517" t="s">
        <v>395</v>
      </c>
      <c r="B22" s="333">
        <v>76</v>
      </c>
      <c r="C22" s="333">
        <v>76</v>
      </c>
      <c r="D22" s="333">
        <v>76</v>
      </c>
      <c r="E22" s="333">
        <v>76</v>
      </c>
      <c r="F22" s="333">
        <v>76</v>
      </c>
      <c r="G22" s="333">
        <v>76</v>
      </c>
      <c r="H22" s="333">
        <v>76</v>
      </c>
      <c r="I22" s="333">
        <v>76</v>
      </c>
      <c r="J22" s="333">
        <v>76</v>
      </c>
      <c r="K22" s="333">
        <v>74</v>
      </c>
      <c r="L22" s="333">
        <v>74</v>
      </c>
      <c r="M22" s="333">
        <v>73</v>
      </c>
      <c r="N22" s="333">
        <f t="shared" si="4"/>
        <v>905</v>
      </c>
      <c r="O22" s="512"/>
      <c r="P22" s="333">
        <f>M22*12</f>
        <v>876</v>
      </c>
      <c r="Q22" s="333">
        <f>P22-N22</f>
        <v>-29</v>
      </c>
      <c r="R22" s="505">
        <f>Q22/N22</f>
        <v>-3.2044198895027624E-2</v>
      </c>
      <c r="S22" s="512"/>
      <c r="T22" s="333"/>
    </row>
    <row r="23" spans="1:22">
      <c r="A23" s="518" t="s">
        <v>396</v>
      </c>
      <c r="B23" s="334">
        <v>2</v>
      </c>
      <c r="C23" s="334">
        <v>2</v>
      </c>
      <c r="D23" s="334">
        <v>2</v>
      </c>
      <c r="E23" s="334">
        <v>2</v>
      </c>
      <c r="F23" s="334">
        <v>2</v>
      </c>
      <c r="G23" s="334">
        <v>2</v>
      </c>
      <c r="H23" s="334">
        <v>2</v>
      </c>
      <c r="I23" s="334">
        <v>2</v>
      </c>
      <c r="J23" s="334">
        <v>2</v>
      </c>
      <c r="K23" s="334">
        <v>2</v>
      </c>
      <c r="L23" s="334">
        <v>2</v>
      </c>
      <c r="M23" s="334">
        <v>2</v>
      </c>
      <c r="N23" s="334">
        <f t="shared" si="4"/>
        <v>24</v>
      </c>
      <c r="O23" s="512"/>
      <c r="P23" s="334">
        <f>M23*12</f>
        <v>24</v>
      </c>
      <c r="Q23" s="334">
        <f>P23-N23</f>
        <v>0</v>
      </c>
      <c r="R23" s="519">
        <f>Q23/N23</f>
        <v>0</v>
      </c>
      <c r="S23" s="512"/>
      <c r="T23" s="334"/>
    </row>
    <row r="24" spans="1:22">
      <c r="A24" s="517" t="s">
        <v>225</v>
      </c>
      <c r="B24" s="333">
        <f t="shared" ref="B24:Q24" si="5">SUM(B20:B23)</f>
        <v>149</v>
      </c>
      <c r="C24" s="333">
        <f t="shared" si="5"/>
        <v>149</v>
      </c>
      <c r="D24" s="333">
        <f t="shared" si="5"/>
        <v>149</v>
      </c>
      <c r="E24" s="333">
        <f t="shared" si="5"/>
        <v>149</v>
      </c>
      <c r="F24" s="333">
        <f t="shared" si="5"/>
        <v>149</v>
      </c>
      <c r="G24" s="333">
        <f t="shared" si="5"/>
        <v>149</v>
      </c>
      <c r="H24" s="333">
        <f t="shared" si="5"/>
        <v>149</v>
      </c>
      <c r="I24" s="333">
        <f t="shared" si="5"/>
        <v>148</v>
      </c>
      <c r="J24" s="333">
        <f t="shared" si="5"/>
        <v>148</v>
      </c>
      <c r="K24" s="333">
        <f t="shared" si="5"/>
        <v>146</v>
      </c>
      <c r="L24" s="333">
        <f t="shared" si="5"/>
        <v>145</v>
      </c>
      <c r="M24" s="333">
        <f t="shared" si="5"/>
        <v>144</v>
      </c>
      <c r="N24" s="333">
        <f>SUM(N20:N23)</f>
        <v>1774</v>
      </c>
      <c r="O24" s="512">
        <f t="shared" si="5"/>
        <v>0</v>
      </c>
      <c r="P24" s="333">
        <f t="shared" si="5"/>
        <v>1728</v>
      </c>
      <c r="Q24" s="333">
        <f t="shared" si="5"/>
        <v>-46</v>
      </c>
      <c r="R24" s="505">
        <f>Q24/N24</f>
        <v>-2.5930101465614429E-2</v>
      </c>
      <c r="S24" s="512"/>
      <c r="T24" s="333">
        <f ca="1">INDIRECT("'"&amp;A24&amp;"'!O53")</f>
        <v>-8523.8442574971814</v>
      </c>
    </row>
    <row r="25" spans="1:22">
      <c r="A25" s="517"/>
      <c r="B25" s="333"/>
      <c r="C25" s="333"/>
      <c r="D25" s="333"/>
      <c r="E25" s="333"/>
      <c r="F25" s="333"/>
      <c r="G25" s="333"/>
      <c r="H25" s="333"/>
      <c r="I25" s="333"/>
      <c r="J25" s="333"/>
      <c r="K25" s="333"/>
      <c r="L25" s="333"/>
      <c r="M25" s="333"/>
      <c r="N25" s="333"/>
      <c r="O25" s="512"/>
      <c r="P25" s="333"/>
      <c r="Q25" s="333"/>
      <c r="S25" s="512"/>
      <c r="T25" s="333"/>
    </row>
    <row r="26" spans="1:22">
      <c r="A26" s="518" t="s">
        <v>397</v>
      </c>
      <c r="B26" s="334">
        <v>4</v>
      </c>
      <c r="C26" s="334">
        <v>4</v>
      </c>
      <c r="D26" s="334">
        <v>4</v>
      </c>
      <c r="E26" s="334">
        <v>4</v>
      </c>
      <c r="F26" s="334">
        <v>4</v>
      </c>
      <c r="G26" s="334">
        <v>5</v>
      </c>
      <c r="H26" s="334">
        <v>5</v>
      </c>
      <c r="I26" s="334">
        <v>5</v>
      </c>
      <c r="J26" s="334">
        <v>6</v>
      </c>
      <c r="K26" s="334">
        <v>6</v>
      </c>
      <c r="L26" s="334">
        <v>6</v>
      </c>
      <c r="M26" s="334">
        <v>6</v>
      </c>
      <c r="N26" s="334">
        <f>SUM(B26:M26)</f>
        <v>59</v>
      </c>
      <c r="O26" s="512"/>
      <c r="P26" s="334">
        <f>M26*12</f>
        <v>72</v>
      </c>
      <c r="Q26" s="334">
        <f>P26-N26</f>
        <v>13</v>
      </c>
      <c r="R26" s="519">
        <f>Q26/N26</f>
        <v>0.22033898305084745</v>
      </c>
      <c r="S26" s="512"/>
      <c r="T26" s="334"/>
    </row>
    <row r="27" spans="1:22" ht="12" customHeight="1">
      <c r="A27" s="517" t="s">
        <v>226</v>
      </c>
      <c r="B27" s="333">
        <f t="shared" ref="B27:Q27" si="6">SUM(B26)</f>
        <v>4</v>
      </c>
      <c r="C27" s="333">
        <f t="shared" si="6"/>
        <v>4</v>
      </c>
      <c r="D27" s="333">
        <f t="shared" si="6"/>
        <v>4</v>
      </c>
      <c r="E27" s="333">
        <f t="shared" si="6"/>
        <v>4</v>
      </c>
      <c r="F27" s="333">
        <f t="shared" si="6"/>
        <v>4</v>
      </c>
      <c r="G27" s="333">
        <f t="shared" si="6"/>
        <v>5</v>
      </c>
      <c r="H27" s="333">
        <f t="shared" si="6"/>
        <v>5</v>
      </c>
      <c r="I27" s="333">
        <f t="shared" si="6"/>
        <v>5</v>
      </c>
      <c r="J27" s="333">
        <f t="shared" si="6"/>
        <v>6</v>
      </c>
      <c r="K27" s="333">
        <f t="shared" si="6"/>
        <v>6</v>
      </c>
      <c r="L27" s="333">
        <f t="shared" si="6"/>
        <v>6</v>
      </c>
      <c r="M27" s="333">
        <f t="shared" si="6"/>
        <v>6</v>
      </c>
      <c r="N27" s="333">
        <f>SUM(N26)</f>
        <v>59</v>
      </c>
      <c r="O27" s="512">
        <f t="shared" si="6"/>
        <v>0</v>
      </c>
      <c r="P27" s="333">
        <f t="shared" si="6"/>
        <v>72</v>
      </c>
      <c r="Q27" s="333">
        <f t="shared" si="6"/>
        <v>13</v>
      </c>
      <c r="R27" s="505">
        <f>Q27/N27</f>
        <v>0.22033898305084745</v>
      </c>
      <c r="S27" s="512"/>
      <c r="T27" s="333">
        <f ca="1">INDIRECT("'"&amp;A27&amp;"'!O53")</f>
        <v>2771.0268233898305</v>
      </c>
    </row>
    <row r="28" spans="1:22" ht="12" customHeight="1">
      <c r="A28" s="517"/>
      <c r="B28" s="333"/>
      <c r="C28" s="333"/>
      <c r="D28" s="333"/>
      <c r="E28" s="333"/>
      <c r="F28" s="333"/>
      <c r="G28" s="333"/>
      <c r="H28" s="333"/>
      <c r="I28" s="333"/>
      <c r="J28" s="333"/>
      <c r="K28" s="333"/>
      <c r="L28" s="333"/>
      <c r="M28" s="333"/>
      <c r="N28" s="333"/>
      <c r="O28" s="512"/>
      <c r="P28" s="333"/>
      <c r="Q28" s="333"/>
      <c r="S28" s="512"/>
      <c r="T28" s="333"/>
    </row>
    <row r="29" spans="1:22">
      <c r="A29" s="520" t="s">
        <v>457</v>
      </c>
      <c r="B29" s="521">
        <f>B18+B24+B27</f>
        <v>133281</v>
      </c>
      <c r="C29" s="521">
        <f t="shared" ref="C29:Q29" si="7">C18+C24+C27</f>
        <v>133019</v>
      </c>
      <c r="D29" s="521">
        <f t="shared" si="7"/>
        <v>132778</v>
      </c>
      <c r="E29" s="521">
        <f t="shared" si="7"/>
        <v>132667</v>
      </c>
      <c r="F29" s="521">
        <f t="shared" si="7"/>
        <v>132278</v>
      </c>
      <c r="G29" s="521">
        <f t="shared" si="7"/>
        <v>131739</v>
      </c>
      <c r="H29" s="521">
        <f t="shared" si="7"/>
        <v>131568</v>
      </c>
      <c r="I29" s="521">
        <f t="shared" si="7"/>
        <v>131632</v>
      </c>
      <c r="J29" s="521">
        <f t="shared" si="7"/>
        <v>131640</v>
      </c>
      <c r="K29" s="521">
        <f t="shared" si="7"/>
        <v>131556</v>
      </c>
      <c r="L29" s="521">
        <f t="shared" si="7"/>
        <v>131146</v>
      </c>
      <c r="M29" s="521">
        <f t="shared" si="7"/>
        <v>131760</v>
      </c>
      <c r="N29" s="521">
        <f>N18+N24+N27</f>
        <v>1585064</v>
      </c>
      <c r="O29" s="522">
        <f t="shared" si="7"/>
        <v>0</v>
      </c>
      <c r="P29" s="521">
        <f>P18+P24+P27</f>
        <v>1581120</v>
      </c>
      <c r="Q29" s="521">
        <f t="shared" si="7"/>
        <v>-3944</v>
      </c>
      <c r="R29" s="523">
        <f>Q29/N29</f>
        <v>-2.4882276046897791E-3</v>
      </c>
      <c r="S29" s="522"/>
      <c r="T29" s="521">
        <f ca="1">T18+T24+T27</f>
        <v>-567986.01218490361</v>
      </c>
      <c r="V29" s="524"/>
    </row>
    <row r="30" spans="1:22" ht="12" customHeight="1">
      <c r="A30" s="517"/>
      <c r="B30" s="333"/>
      <c r="C30" s="333"/>
      <c r="D30" s="333"/>
      <c r="E30" s="333"/>
      <c r="F30" s="333"/>
      <c r="G30" s="333"/>
      <c r="H30" s="333"/>
      <c r="I30" s="333"/>
      <c r="J30" s="333"/>
      <c r="K30" s="333"/>
      <c r="L30" s="333"/>
      <c r="M30" s="333"/>
      <c r="N30" s="333"/>
      <c r="O30" s="512"/>
      <c r="P30" s="333"/>
      <c r="Q30" s="333"/>
      <c r="S30" s="512"/>
      <c r="T30" s="333"/>
    </row>
    <row r="31" spans="1:22">
      <c r="A31" s="517" t="s">
        <v>419</v>
      </c>
      <c r="B31" s="333">
        <v>22574</v>
      </c>
      <c r="C31" s="333">
        <v>22626</v>
      </c>
      <c r="D31" s="333">
        <v>22614</v>
      </c>
      <c r="E31" s="333">
        <v>22630</v>
      </c>
      <c r="F31" s="333">
        <v>22669</v>
      </c>
      <c r="G31" s="333">
        <v>22606</v>
      </c>
      <c r="H31" s="333">
        <v>22652</v>
      </c>
      <c r="I31" s="333">
        <v>22624</v>
      </c>
      <c r="J31" s="333">
        <v>22683</v>
      </c>
      <c r="K31" s="333">
        <v>22636</v>
      </c>
      <c r="L31" s="333">
        <v>22602</v>
      </c>
      <c r="M31" s="333">
        <v>22717</v>
      </c>
      <c r="N31" s="333">
        <f t="shared" ref="N31:N35" si="8">SUM(B31:M31)</f>
        <v>271633</v>
      </c>
      <c r="O31" s="512"/>
      <c r="P31" s="333">
        <f>M31*12</f>
        <v>272604</v>
      </c>
      <c r="Q31" s="333">
        <f>P31-N31</f>
        <v>971</v>
      </c>
      <c r="R31" s="505">
        <f>Q31/N31</f>
        <v>3.5746761255075784E-3</v>
      </c>
      <c r="S31" s="512"/>
      <c r="T31" s="333"/>
    </row>
    <row r="32" spans="1:22">
      <c r="A32" s="517" t="s">
        <v>420</v>
      </c>
      <c r="B32" s="333">
        <v>1</v>
      </c>
      <c r="C32" s="333">
        <v>1</v>
      </c>
      <c r="D32" s="333">
        <v>1</v>
      </c>
      <c r="E32" s="333">
        <v>1</v>
      </c>
      <c r="F32" s="333">
        <v>1</v>
      </c>
      <c r="G32" s="333">
        <v>1</v>
      </c>
      <c r="H32" s="333">
        <v>1</v>
      </c>
      <c r="I32" s="333">
        <v>1</v>
      </c>
      <c r="J32" s="333">
        <v>1</v>
      </c>
      <c r="K32" s="333">
        <v>1</v>
      </c>
      <c r="L32" s="333">
        <v>1</v>
      </c>
      <c r="M32" s="333">
        <v>1</v>
      </c>
      <c r="N32" s="333">
        <f t="shared" si="8"/>
        <v>12</v>
      </c>
      <c r="O32" s="512"/>
      <c r="P32" s="333">
        <f>M32*12</f>
        <v>12</v>
      </c>
      <c r="Q32" s="333">
        <f>P32-N32</f>
        <v>0</v>
      </c>
      <c r="S32" s="512"/>
      <c r="T32" s="333"/>
    </row>
    <row r="33" spans="1:20">
      <c r="A33" s="517" t="s">
        <v>423</v>
      </c>
      <c r="B33" s="333">
        <v>6434</v>
      </c>
      <c r="C33" s="333">
        <v>6426</v>
      </c>
      <c r="D33" s="333">
        <v>6431</v>
      </c>
      <c r="E33" s="333">
        <v>6411</v>
      </c>
      <c r="F33" s="333">
        <v>6422</v>
      </c>
      <c r="G33" s="333">
        <v>6406</v>
      </c>
      <c r="H33" s="333">
        <v>6398</v>
      </c>
      <c r="I33" s="333">
        <v>6392</v>
      </c>
      <c r="J33" s="333">
        <v>6389</v>
      </c>
      <c r="K33" s="333">
        <v>6386</v>
      </c>
      <c r="L33" s="333">
        <v>6362</v>
      </c>
      <c r="M33" s="333">
        <v>6408</v>
      </c>
      <c r="N33" s="333">
        <f t="shared" si="8"/>
        <v>76865</v>
      </c>
      <c r="O33" s="512"/>
      <c r="P33" s="333">
        <f>M33*12</f>
        <v>76896</v>
      </c>
      <c r="Q33" s="333">
        <f>P33-N33</f>
        <v>31</v>
      </c>
      <c r="R33" s="505">
        <f>Q33/N33</f>
        <v>4.0330449489364473E-4</v>
      </c>
      <c r="S33" s="512"/>
      <c r="T33" s="333"/>
    </row>
    <row r="34" spans="1:20">
      <c r="A34" s="517" t="s">
        <v>424</v>
      </c>
      <c r="B34" s="333">
        <v>0</v>
      </c>
      <c r="C34" s="333">
        <v>0</v>
      </c>
      <c r="D34" s="333">
        <v>0</v>
      </c>
      <c r="E34" s="333">
        <v>0</v>
      </c>
      <c r="F34" s="333">
        <v>0</v>
      </c>
      <c r="G34" s="333">
        <v>0</v>
      </c>
      <c r="H34" s="333">
        <v>0</v>
      </c>
      <c r="I34" s="333">
        <v>0</v>
      </c>
      <c r="J34" s="333">
        <v>0</v>
      </c>
      <c r="K34" s="333">
        <v>0</v>
      </c>
      <c r="L34" s="333">
        <v>0</v>
      </c>
      <c r="M34" s="333">
        <v>0</v>
      </c>
      <c r="N34" s="333">
        <f t="shared" si="8"/>
        <v>0</v>
      </c>
      <c r="O34" s="512"/>
      <c r="P34" s="333">
        <f>M34*12</f>
        <v>0</v>
      </c>
      <c r="Q34" s="333">
        <f>P34-N34</f>
        <v>0</v>
      </c>
      <c r="S34" s="512"/>
      <c r="T34" s="333"/>
    </row>
    <row r="35" spans="1:20">
      <c r="A35" s="518" t="s">
        <v>426</v>
      </c>
      <c r="B35" s="334">
        <v>1</v>
      </c>
      <c r="C35" s="334">
        <v>1</v>
      </c>
      <c r="D35" s="334">
        <v>1</v>
      </c>
      <c r="E35" s="334">
        <v>1</v>
      </c>
      <c r="F35" s="334">
        <v>1</v>
      </c>
      <c r="G35" s="334">
        <v>1</v>
      </c>
      <c r="H35" s="334">
        <v>1</v>
      </c>
      <c r="I35" s="334">
        <v>1</v>
      </c>
      <c r="J35" s="334">
        <v>1</v>
      </c>
      <c r="K35" s="334">
        <v>1</v>
      </c>
      <c r="L35" s="334">
        <v>1</v>
      </c>
      <c r="M35" s="334">
        <v>1</v>
      </c>
      <c r="N35" s="334">
        <f t="shared" si="8"/>
        <v>12</v>
      </c>
      <c r="O35" s="512"/>
      <c r="P35" s="334">
        <f>M35*12</f>
        <v>12</v>
      </c>
      <c r="Q35" s="334">
        <f>P35-N35</f>
        <v>0</v>
      </c>
      <c r="R35" s="519">
        <f>Q35/N35</f>
        <v>0</v>
      </c>
      <c r="S35" s="512"/>
      <c r="T35" s="334"/>
    </row>
    <row r="36" spans="1:20">
      <c r="A36" s="517" t="s">
        <v>366</v>
      </c>
      <c r="B36" s="333">
        <f t="shared" ref="B36:Q36" si="9">SUM(B31:B35)</f>
        <v>29010</v>
      </c>
      <c r="C36" s="333">
        <f t="shared" si="9"/>
        <v>29054</v>
      </c>
      <c r="D36" s="333">
        <f t="shared" si="9"/>
        <v>29047</v>
      </c>
      <c r="E36" s="333">
        <f t="shared" si="9"/>
        <v>29043</v>
      </c>
      <c r="F36" s="333">
        <f t="shared" si="9"/>
        <v>29093</v>
      </c>
      <c r="G36" s="333">
        <f t="shared" si="9"/>
        <v>29014</v>
      </c>
      <c r="H36" s="333">
        <f t="shared" si="9"/>
        <v>29052</v>
      </c>
      <c r="I36" s="333">
        <f t="shared" si="9"/>
        <v>29018</v>
      </c>
      <c r="J36" s="333">
        <f t="shared" si="9"/>
        <v>29074</v>
      </c>
      <c r="K36" s="333">
        <f t="shared" si="9"/>
        <v>29024</v>
      </c>
      <c r="L36" s="333">
        <f t="shared" si="9"/>
        <v>28966</v>
      </c>
      <c r="M36" s="333">
        <f t="shared" si="9"/>
        <v>29127</v>
      </c>
      <c r="N36" s="333">
        <f t="shared" si="9"/>
        <v>348522</v>
      </c>
      <c r="O36" s="512">
        <f t="shared" si="9"/>
        <v>0</v>
      </c>
      <c r="P36" s="333">
        <f t="shared" si="9"/>
        <v>349524</v>
      </c>
      <c r="Q36" s="333">
        <f t="shared" si="9"/>
        <v>1002</v>
      </c>
      <c r="R36" s="505">
        <f>Q36/N36</f>
        <v>2.8749978480555028E-3</v>
      </c>
      <c r="S36" s="512"/>
      <c r="T36" s="333">
        <f ca="1">INDIRECT("'"&amp;A36&amp;"'!O53")</f>
        <v>224082.58038907318</v>
      </c>
    </row>
    <row r="37" spans="1:20">
      <c r="A37" s="517"/>
      <c r="B37" s="333"/>
      <c r="C37" s="333"/>
      <c r="D37" s="333"/>
      <c r="E37" s="333"/>
      <c r="F37" s="333"/>
      <c r="G37" s="333"/>
      <c r="H37" s="333"/>
      <c r="I37" s="333"/>
      <c r="J37" s="333"/>
      <c r="K37" s="333"/>
      <c r="L37" s="333"/>
      <c r="M37" s="333"/>
      <c r="N37" s="333"/>
      <c r="O37" s="512"/>
      <c r="P37" s="333"/>
      <c r="Q37" s="333"/>
      <c r="S37" s="512"/>
      <c r="T37" s="333"/>
    </row>
    <row r="38" spans="1:20">
      <c r="A38" s="517" t="s">
        <v>418</v>
      </c>
      <c r="B38" s="333">
        <v>388</v>
      </c>
      <c r="C38" s="333">
        <v>382</v>
      </c>
      <c r="D38" s="333">
        <v>365</v>
      </c>
      <c r="E38" s="333">
        <v>364</v>
      </c>
      <c r="F38" s="333">
        <v>364</v>
      </c>
      <c r="G38" s="333">
        <v>390</v>
      </c>
      <c r="H38" s="333">
        <v>356</v>
      </c>
      <c r="I38" s="333">
        <v>356</v>
      </c>
      <c r="J38" s="333">
        <v>356</v>
      </c>
      <c r="K38" s="333">
        <v>356</v>
      </c>
      <c r="L38" s="333">
        <v>356</v>
      </c>
      <c r="M38" s="333">
        <v>356</v>
      </c>
      <c r="N38" s="333">
        <f t="shared" ref="N38:N39" si="10">SUM(B38:M38)</f>
        <v>4389</v>
      </c>
      <c r="O38" s="512"/>
      <c r="P38" s="333">
        <f>M38*12</f>
        <v>4272</v>
      </c>
      <c r="Q38" s="333">
        <f>P38-N38</f>
        <v>-117</v>
      </c>
      <c r="R38" s="505">
        <f>Q38/N38</f>
        <v>-2.6657552973342446E-2</v>
      </c>
      <c r="S38" s="512"/>
      <c r="T38" s="333"/>
    </row>
    <row r="39" spans="1:20">
      <c r="A39" s="518" t="s">
        <v>421</v>
      </c>
      <c r="B39" s="334">
        <v>582</v>
      </c>
      <c r="C39" s="334">
        <v>582</v>
      </c>
      <c r="D39" s="334">
        <v>582</v>
      </c>
      <c r="E39" s="334">
        <v>581</v>
      </c>
      <c r="F39" s="334">
        <v>581</v>
      </c>
      <c r="G39" s="334">
        <v>581</v>
      </c>
      <c r="H39" s="334">
        <v>581</v>
      </c>
      <c r="I39" s="334">
        <v>581</v>
      </c>
      <c r="J39" s="334">
        <v>585</v>
      </c>
      <c r="K39" s="334">
        <v>590</v>
      </c>
      <c r="L39" s="334">
        <v>581</v>
      </c>
      <c r="M39" s="334">
        <v>580</v>
      </c>
      <c r="N39" s="334">
        <f t="shared" si="10"/>
        <v>6987</v>
      </c>
      <c r="O39" s="512"/>
      <c r="P39" s="334">
        <f>M39*12</f>
        <v>6960</v>
      </c>
      <c r="Q39" s="334">
        <f>P39-N39</f>
        <v>-27</v>
      </c>
      <c r="R39" s="519">
        <f>Q39/N39</f>
        <v>-3.8643194504079004E-3</v>
      </c>
      <c r="S39" s="512"/>
      <c r="T39" s="334"/>
    </row>
    <row r="40" spans="1:20">
      <c r="A40" s="517" t="s">
        <v>365</v>
      </c>
      <c r="B40" s="333">
        <f t="shared" ref="B40:Q40" si="11">SUM(B38:B39)</f>
        <v>970</v>
      </c>
      <c r="C40" s="333">
        <f t="shared" si="11"/>
        <v>964</v>
      </c>
      <c r="D40" s="333">
        <f t="shared" si="11"/>
        <v>947</v>
      </c>
      <c r="E40" s="333">
        <f t="shared" si="11"/>
        <v>945</v>
      </c>
      <c r="F40" s="333">
        <f t="shared" si="11"/>
        <v>945</v>
      </c>
      <c r="G40" s="333">
        <f t="shared" si="11"/>
        <v>971</v>
      </c>
      <c r="H40" s="333">
        <f t="shared" si="11"/>
        <v>937</v>
      </c>
      <c r="I40" s="333">
        <f t="shared" si="11"/>
        <v>937</v>
      </c>
      <c r="J40" s="333">
        <f t="shared" si="11"/>
        <v>941</v>
      </c>
      <c r="K40" s="333">
        <f t="shared" si="11"/>
        <v>946</v>
      </c>
      <c r="L40" s="333">
        <f t="shared" si="11"/>
        <v>937</v>
      </c>
      <c r="M40" s="333">
        <f t="shared" si="11"/>
        <v>936</v>
      </c>
      <c r="N40" s="333">
        <f t="shared" si="11"/>
        <v>11376</v>
      </c>
      <c r="O40" s="512">
        <f t="shared" si="11"/>
        <v>0</v>
      </c>
      <c r="P40" s="333">
        <f>SUM(P38:P39)</f>
        <v>11232</v>
      </c>
      <c r="Q40" s="333">
        <f t="shared" si="11"/>
        <v>-144</v>
      </c>
      <c r="R40" s="505">
        <f>Q40/N40</f>
        <v>-1.2658227848101266E-2</v>
      </c>
      <c r="S40" s="512"/>
      <c r="T40" s="333">
        <f ca="1">INDIRECT("'"&amp;A40&amp;"'!O53")</f>
        <v>-7240.5813799504922</v>
      </c>
    </row>
    <row r="41" spans="1:20">
      <c r="A41" s="517"/>
      <c r="B41" s="333"/>
      <c r="C41" s="333"/>
      <c r="D41" s="333"/>
      <c r="E41" s="333"/>
      <c r="F41" s="333"/>
      <c r="G41" s="333"/>
      <c r="H41" s="333"/>
      <c r="I41" s="333"/>
      <c r="J41" s="333"/>
      <c r="K41" s="333"/>
      <c r="L41" s="333"/>
      <c r="M41" s="333"/>
      <c r="N41" s="333"/>
      <c r="O41" s="512"/>
      <c r="P41" s="333"/>
      <c r="Q41" s="333"/>
      <c r="S41" s="512"/>
      <c r="T41" s="333"/>
    </row>
    <row r="42" spans="1:20">
      <c r="A42" s="518" t="s">
        <v>430</v>
      </c>
      <c r="B42" s="334">
        <v>498</v>
      </c>
      <c r="C42" s="334">
        <v>498</v>
      </c>
      <c r="D42" s="334">
        <v>501</v>
      </c>
      <c r="E42" s="334">
        <v>496</v>
      </c>
      <c r="F42" s="334">
        <v>502</v>
      </c>
      <c r="G42" s="334">
        <v>498</v>
      </c>
      <c r="H42" s="334">
        <v>497</v>
      </c>
      <c r="I42" s="334">
        <v>497</v>
      </c>
      <c r="J42" s="334">
        <v>497</v>
      </c>
      <c r="K42" s="334">
        <v>495</v>
      </c>
      <c r="L42" s="334">
        <v>496</v>
      </c>
      <c r="M42" s="334">
        <v>500</v>
      </c>
      <c r="N42" s="334">
        <f>SUM(B42:M42)</f>
        <v>5975</v>
      </c>
      <c r="O42" s="512"/>
      <c r="P42" s="334">
        <f>M42*12</f>
        <v>6000</v>
      </c>
      <c r="Q42" s="334">
        <f>P42-N42</f>
        <v>25</v>
      </c>
      <c r="R42" s="519">
        <f>Q42/N42</f>
        <v>4.1841004184100415E-3</v>
      </c>
      <c r="S42" s="512"/>
      <c r="T42" s="334"/>
    </row>
    <row r="43" spans="1:20">
      <c r="A43" s="517" t="s">
        <v>202</v>
      </c>
      <c r="B43" s="333">
        <f t="shared" ref="B43:Q43" si="12">SUM(B42)</f>
        <v>498</v>
      </c>
      <c r="C43" s="333">
        <f t="shared" si="12"/>
        <v>498</v>
      </c>
      <c r="D43" s="333">
        <f t="shared" si="12"/>
        <v>501</v>
      </c>
      <c r="E43" s="333">
        <f t="shared" si="12"/>
        <v>496</v>
      </c>
      <c r="F43" s="333">
        <f t="shared" si="12"/>
        <v>502</v>
      </c>
      <c r="G43" s="333">
        <f t="shared" si="12"/>
        <v>498</v>
      </c>
      <c r="H43" s="333">
        <f t="shared" si="12"/>
        <v>497</v>
      </c>
      <c r="I43" s="333">
        <f t="shared" si="12"/>
        <v>497</v>
      </c>
      <c r="J43" s="333">
        <f t="shared" si="12"/>
        <v>497</v>
      </c>
      <c r="K43" s="333">
        <f t="shared" si="12"/>
        <v>495</v>
      </c>
      <c r="L43" s="333">
        <f t="shared" si="12"/>
        <v>496</v>
      </c>
      <c r="M43" s="333">
        <f t="shared" si="12"/>
        <v>500</v>
      </c>
      <c r="N43" s="333">
        <f t="shared" si="12"/>
        <v>5975</v>
      </c>
      <c r="O43" s="512">
        <f t="shared" si="12"/>
        <v>0</v>
      </c>
      <c r="P43" s="333">
        <f t="shared" si="12"/>
        <v>6000</v>
      </c>
      <c r="Q43" s="333">
        <f t="shared" si="12"/>
        <v>25</v>
      </c>
      <c r="R43" s="505">
        <f>Q43/N43</f>
        <v>4.1841004184100415E-3</v>
      </c>
      <c r="S43" s="512"/>
      <c r="T43" s="333">
        <f ca="1">INDIRECT("'"&amp;A43&amp;"'!O53")</f>
        <v>4841.5326624686186</v>
      </c>
    </row>
    <row r="44" spans="1:20">
      <c r="A44" s="517"/>
      <c r="B44" s="333"/>
      <c r="C44" s="333"/>
      <c r="D44" s="333"/>
      <c r="E44" s="333"/>
      <c r="F44" s="333"/>
      <c r="G44" s="333"/>
      <c r="H44" s="333"/>
      <c r="I44" s="333"/>
      <c r="J44" s="333"/>
      <c r="K44" s="333"/>
      <c r="L44" s="333"/>
      <c r="M44" s="333"/>
      <c r="N44" s="333"/>
      <c r="O44" s="512"/>
      <c r="P44" s="333"/>
      <c r="Q44" s="333"/>
      <c r="S44" s="512"/>
      <c r="T44" s="333"/>
    </row>
    <row r="45" spans="1:20">
      <c r="A45" s="518" t="s">
        <v>422</v>
      </c>
      <c r="B45" s="334">
        <v>85</v>
      </c>
      <c r="C45" s="334">
        <v>85</v>
      </c>
      <c r="D45" s="334">
        <v>85</v>
      </c>
      <c r="E45" s="334">
        <v>85</v>
      </c>
      <c r="F45" s="334">
        <v>85</v>
      </c>
      <c r="G45" s="334">
        <v>83</v>
      </c>
      <c r="H45" s="334">
        <v>83</v>
      </c>
      <c r="I45" s="334">
        <v>84</v>
      </c>
      <c r="J45" s="334">
        <v>83</v>
      </c>
      <c r="K45" s="334">
        <v>85</v>
      </c>
      <c r="L45" s="334">
        <v>86</v>
      </c>
      <c r="M45" s="334">
        <v>86</v>
      </c>
      <c r="N45" s="334">
        <f>SUM(B45:M45)</f>
        <v>1015</v>
      </c>
      <c r="O45" s="512"/>
      <c r="P45" s="334">
        <f>M45*12</f>
        <v>1032</v>
      </c>
      <c r="Q45" s="334">
        <f>P45-N45</f>
        <v>17</v>
      </c>
      <c r="R45" s="519">
        <f>Q45/N45</f>
        <v>1.6748768472906402E-2</v>
      </c>
      <c r="S45" s="512"/>
      <c r="T45" s="334"/>
    </row>
    <row r="46" spans="1:20">
      <c r="A46" s="517" t="s">
        <v>367</v>
      </c>
      <c r="B46" s="333">
        <f t="shared" ref="B46:Q46" si="13">SUM(B45)</f>
        <v>85</v>
      </c>
      <c r="C46" s="333">
        <f t="shared" si="13"/>
        <v>85</v>
      </c>
      <c r="D46" s="333">
        <f t="shared" si="13"/>
        <v>85</v>
      </c>
      <c r="E46" s="333">
        <f t="shared" si="13"/>
        <v>85</v>
      </c>
      <c r="F46" s="333">
        <f t="shared" si="13"/>
        <v>85</v>
      </c>
      <c r="G46" s="333">
        <f t="shared" si="13"/>
        <v>83</v>
      </c>
      <c r="H46" s="333">
        <f t="shared" si="13"/>
        <v>83</v>
      </c>
      <c r="I46" s="333">
        <f t="shared" si="13"/>
        <v>84</v>
      </c>
      <c r="J46" s="333">
        <f t="shared" si="13"/>
        <v>83</v>
      </c>
      <c r="K46" s="333">
        <f t="shared" si="13"/>
        <v>85</v>
      </c>
      <c r="L46" s="333">
        <f t="shared" si="13"/>
        <v>86</v>
      </c>
      <c r="M46" s="333">
        <f t="shared" si="13"/>
        <v>86</v>
      </c>
      <c r="N46" s="333">
        <f t="shared" si="13"/>
        <v>1015</v>
      </c>
      <c r="O46" s="512">
        <f t="shared" si="13"/>
        <v>0</v>
      </c>
      <c r="P46" s="333">
        <f t="shared" si="13"/>
        <v>1032</v>
      </c>
      <c r="Q46" s="333">
        <f t="shared" si="13"/>
        <v>17</v>
      </c>
      <c r="R46" s="505">
        <f>Q46/N46</f>
        <v>1.6748768472906402E-2</v>
      </c>
      <c r="S46" s="512"/>
      <c r="T46" s="333">
        <f ca="1">INDIRECT("'"&amp;A46&amp;"'!O53")</f>
        <v>2951.9003082167483</v>
      </c>
    </row>
    <row r="47" spans="1:20">
      <c r="A47" s="517"/>
      <c r="B47" s="333"/>
      <c r="C47" s="333"/>
      <c r="D47" s="333"/>
      <c r="E47" s="333"/>
      <c r="F47" s="333"/>
      <c r="G47" s="333"/>
      <c r="H47" s="333"/>
      <c r="I47" s="333"/>
      <c r="J47" s="333"/>
      <c r="K47" s="333"/>
      <c r="L47" s="333"/>
      <c r="M47" s="333"/>
      <c r="N47" s="333"/>
      <c r="O47" s="512"/>
      <c r="P47" s="333"/>
      <c r="Q47" s="333"/>
      <c r="S47" s="512"/>
      <c r="T47" s="333"/>
    </row>
    <row r="48" spans="1:20">
      <c r="A48" s="517" t="s">
        <v>428</v>
      </c>
      <c r="B48" s="333">
        <v>39</v>
      </c>
      <c r="C48" s="333">
        <v>39</v>
      </c>
      <c r="D48" s="333">
        <v>39</v>
      </c>
      <c r="E48" s="333">
        <v>38</v>
      </c>
      <c r="F48" s="333">
        <v>38</v>
      </c>
      <c r="G48" s="333">
        <v>37</v>
      </c>
      <c r="H48" s="333">
        <v>36</v>
      </c>
      <c r="I48" s="333">
        <v>36</v>
      </c>
      <c r="J48" s="333">
        <v>36</v>
      </c>
      <c r="K48" s="333">
        <v>36</v>
      </c>
      <c r="L48" s="333">
        <v>36</v>
      </c>
      <c r="M48" s="333">
        <v>36</v>
      </c>
      <c r="N48" s="333">
        <f t="shared" ref="N48:N49" si="14">SUM(B48:M48)</f>
        <v>446</v>
      </c>
      <c r="O48" s="512"/>
      <c r="P48" s="333">
        <f>M48*12</f>
        <v>432</v>
      </c>
      <c r="Q48" s="333">
        <f>P48-N48</f>
        <v>-14</v>
      </c>
      <c r="R48" s="505">
        <f>Q48/N48</f>
        <v>-3.1390134529147982E-2</v>
      </c>
      <c r="S48" s="512"/>
      <c r="T48" s="333"/>
    </row>
    <row r="49" spans="1:20">
      <c r="A49" s="518" t="s">
        <v>429</v>
      </c>
      <c r="B49" s="334">
        <v>31</v>
      </c>
      <c r="C49" s="334">
        <v>31</v>
      </c>
      <c r="D49" s="334">
        <v>31</v>
      </c>
      <c r="E49" s="334">
        <v>31</v>
      </c>
      <c r="F49" s="334">
        <v>31</v>
      </c>
      <c r="G49" s="334">
        <v>31</v>
      </c>
      <c r="H49" s="334">
        <v>31</v>
      </c>
      <c r="I49" s="334">
        <v>32</v>
      </c>
      <c r="J49" s="334">
        <v>30</v>
      </c>
      <c r="K49" s="334">
        <v>27</v>
      </c>
      <c r="L49" s="334">
        <v>25</v>
      </c>
      <c r="M49" s="334">
        <v>29</v>
      </c>
      <c r="N49" s="334">
        <f t="shared" si="14"/>
        <v>360</v>
      </c>
      <c r="O49" s="512"/>
      <c r="P49" s="334">
        <f>M49*12</f>
        <v>348</v>
      </c>
      <c r="Q49" s="334">
        <f>P49-N49</f>
        <v>-12</v>
      </c>
      <c r="R49" s="519">
        <f>Q49/N49</f>
        <v>-3.3333333333333333E-2</v>
      </c>
      <c r="S49" s="512"/>
      <c r="T49" s="334"/>
    </row>
    <row r="50" spans="1:20">
      <c r="A50" s="517" t="s">
        <v>369</v>
      </c>
      <c r="B50" s="333">
        <f t="shared" ref="B50:Q50" si="15">SUM(B48:B49)</f>
        <v>70</v>
      </c>
      <c r="C50" s="333">
        <f t="shared" si="15"/>
        <v>70</v>
      </c>
      <c r="D50" s="333">
        <f t="shared" si="15"/>
        <v>70</v>
      </c>
      <c r="E50" s="333">
        <f t="shared" si="15"/>
        <v>69</v>
      </c>
      <c r="F50" s="333">
        <f t="shared" si="15"/>
        <v>69</v>
      </c>
      <c r="G50" s="333">
        <f t="shared" si="15"/>
        <v>68</v>
      </c>
      <c r="H50" s="333">
        <f t="shared" si="15"/>
        <v>67</v>
      </c>
      <c r="I50" s="333">
        <f t="shared" si="15"/>
        <v>68</v>
      </c>
      <c r="J50" s="333">
        <f t="shared" si="15"/>
        <v>66</v>
      </c>
      <c r="K50" s="333">
        <f t="shared" si="15"/>
        <v>63</v>
      </c>
      <c r="L50" s="333">
        <f t="shared" si="15"/>
        <v>61</v>
      </c>
      <c r="M50" s="333">
        <f t="shared" si="15"/>
        <v>65</v>
      </c>
      <c r="N50" s="333">
        <f t="shared" si="15"/>
        <v>806</v>
      </c>
      <c r="O50" s="512">
        <f t="shared" si="15"/>
        <v>0</v>
      </c>
      <c r="P50" s="333">
        <f t="shared" si="15"/>
        <v>780</v>
      </c>
      <c r="Q50" s="333">
        <f t="shared" si="15"/>
        <v>-26</v>
      </c>
      <c r="R50" s="505">
        <f>Q50/N50</f>
        <v>-3.2258064516129031E-2</v>
      </c>
      <c r="S50" s="512"/>
      <c r="T50" s="333">
        <f ca="1">INDIRECT("'"&amp;A50&amp;"'!O53")</f>
        <v>-6630.4515945161293</v>
      </c>
    </row>
    <row r="51" spans="1:20">
      <c r="A51" s="517"/>
      <c r="B51" s="333"/>
      <c r="C51" s="333"/>
      <c r="D51" s="333"/>
      <c r="E51" s="333"/>
      <c r="F51" s="333"/>
      <c r="G51" s="333"/>
      <c r="H51" s="333"/>
      <c r="I51" s="333"/>
      <c r="J51" s="333"/>
      <c r="K51" s="333"/>
      <c r="L51" s="333"/>
      <c r="M51" s="333"/>
      <c r="N51" s="333"/>
      <c r="O51" s="512"/>
      <c r="P51" s="333"/>
      <c r="Q51" s="333"/>
      <c r="S51" s="512"/>
      <c r="T51" s="333"/>
    </row>
    <row r="52" spans="1:20">
      <c r="A52" s="518" t="s">
        <v>431</v>
      </c>
      <c r="B52" s="334">
        <v>138</v>
      </c>
      <c r="C52" s="334">
        <v>138</v>
      </c>
      <c r="D52" s="334">
        <v>138</v>
      </c>
      <c r="E52" s="334">
        <v>138</v>
      </c>
      <c r="F52" s="334">
        <v>138</v>
      </c>
      <c r="G52" s="334">
        <v>138</v>
      </c>
      <c r="H52" s="334">
        <v>138</v>
      </c>
      <c r="I52" s="334">
        <v>139</v>
      </c>
      <c r="J52" s="334">
        <v>142</v>
      </c>
      <c r="K52" s="334">
        <v>142</v>
      </c>
      <c r="L52" s="334">
        <v>141</v>
      </c>
      <c r="M52" s="334">
        <v>142</v>
      </c>
      <c r="N52" s="334">
        <f>SUM(B52:M52)</f>
        <v>1672</v>
      </c>
      <c r="O52" s="512"/>
      <c r="P52" s="334">
        <f>M52*12</f>
        <v>1704</v>
      </c>
      <c r="Q52" s="334">
        <f>P52-N52</f>
        <v>32</v>
      </c>
      <c r="R52" s="519">
        <f>Q52/N52</f>
        <v>1.9138755980861243E-2</v>
      </c>
      <c r="S52" s="512"/>
      <c r="T52" s="334"/>
    </row>
    <row r="53" spans="1:20">
      <c r="A53" s="517" t="s">
        <v>370</v>
      </c>
      <c r="B53" s="333">
        <f t="shared" ref="B53:S53" si="16">SUM(B52)</f>
        <v>138</v>
      </c>
      <c r="C53" s="333">
        <f t="shared" si="16"/>
        <v>138</v>
      </c>
      <c r="D53" s="333">
        <f t="shared" si="16"/>
        <v>138</v>
      </c>
      <c r="E53" s="333">
        <f t="shared" si="16"/>
        <v>138</v>
      </c>
      <c r="F53" s="333">
        <f t="shared" si="16"/>
        <v>138</v>
      </c>
      <c r="G53" s="333">
        <f t="shared" si="16"/>
        <v>138</v>
      </c>
      <c r="H53" s="333">
        <f t="shared" si="16"/>
        <v>138</v>
      </c>
      <c r="I53" s="333">
        <f t="shared" si="16"/>
        <v>139</v>
      </c>
      <c r="J53" s="333">
        <f t="shared" si="16"/>
        <v>142</v>
      </c>
      <c r="K53" s="333">
        <f t="shared" si="16"/>
        <v>142</v>
      </c>
      <c r="L53" s="333">
        <f t="shared" si="16"/>
        <v>141</v>
      </c>
      <c r="M53" s="333">
        <f t="shared" si="16"/>
        <v>142</v>
      </c>
      <c r="N53" s="333">
        <f t="shared" si="16"/>
        <v>1672</v>
      </c>
      <c r="O53" s="512">
        <f t="shared" si="16"/>
        <v>0</v>
      </c>
      <c r="P53" s="333">
        <f t="shared" si="16"/>
        <v>1704</v>
      </c>
      <c r="Q53" s="333">
        <f t="shared" si="16"/>
        <v>32</v>
      </c>
      <c r="R53" s="505">
        <f>Q53/N53</f>
        <v>1.9138755980861243E-2</v>
      </c>
      <c r="S53" s="512">
        <f t="shared" si="16"/>
        <v>0</v>
      </c>
      <c r="T53" s="333">
        <f ca="1">INDIRECT("'"&amp;A53&amp;"'!O53")</f>
        <v>18486.66003770335</v>
      </c>
    </row>
    <row r="54" spans="1:20">
      <c r="A54" s="517"/>
      <c r="B54" s="333"/>
      <c r="C54" s="333"/>
      <c r="D54" s="333"/>
      <c r="E54" s="333"/>
      <c r="F54" s="333"/>
      <c r="G54" s="333"/>
      <c r="H54" s="333"/>
      <c r="I54" s="333"/>
      <c r="J54" s="333"/>
      <c r="K54" s="333"/>
      <c r="L54" s="333"/>
      <c r="M54" s="333"/>
      <c r="N54" s="333"/>
      <c r="O54" s="512"/>
      <c r="P54" s="333"/>
      <c r="Q54" s="333"/>
      <c r="S54" s="512"/>
      <c r="T54" s="333"/>
    </row>
    <row r="55" spans="1:20">
      <c r="A55" s="517" t="s">
        <v>425</v>
      </c>
      <c r="B55" s="333">
        <v>32</v>
      </c>
      <c r="C55" s="333">
        <v>34</v>
      </c>
      <c r="D55" s="333">
        <v>34</v>
      </c>
      <c r="E55" s="333">
        <v>34</v>
      </c>
      <c r="F55" s="333">
        <v>34</v>
      </c>
      <c r="G55" s="333">
        <v>34</v>
      </c>
      <c r="H55" s="333">
        <v>34</v>
      </c>
      <c r="I55" s="333">
        <v>33</v>
      </c>
      <c r="J55" s="333">
        <v>33</v>
      </c>
      <c r="K55" s="333">
        <v>31</v>
      </c>
      <c r="L55" s="333">
        <v>32</v>
      </c>
      <c r="M55" s="333">
        <v>32</v>
      </c>
      <c r="N55" s="333">
        <f t="shared" ref="N55:N56" si="17">SUM(B55:M55)</f>
        <v>397</v>
      </c>
      <c r="O55" s="512"/>
      <c r="P55" s="333">
        <f>M55*12</f>
        <v>384</v>
      </c>
      <c r="Q55" s="333">
        <f>P55-N55</f>
        <v>-13</v>
      </c>
      <c r="R55" s="505">
        <f>Q55/N55</f>
        <v>-3.2745591939546598E-2</v>
      </c>
      <c r="S55" s="512"/>
      <c r="T55" s="333"/>
    </row>
    <row r="56" spans="1:20" ht="13.5" customHeight="1">
      <c r="A56" s="518" t="s">
        <v>427</v>
      </c>
      <c r="B56" s="334">
        <v>40</v>
      </c>
      <c r="C56" s="334">
        <v>40</v>
      </c>
      <c r="D56" s="334">
        <v>41</v>
      </c>
      <c r="E56" s="334">
        <v>40</v>
      </c>
      <c r="F56" s="334">
        <v>48</v>
      </c>
      <c r="G56" s="334">
        <v>39</v>
      </c>
      <c r="H56" s="334">
        <v>40</v>
      </c>
      <c r="I56" s="334">
        <v>43</v>
      </c>
      <c r="J56" s="334">
        <v>41</v>
      </c>
      <c r="K56" s="334">
        <v>40</v>
      </c>
      <c r="L56" s="334">
        <v>41</v>
      </c>
      <c r="M56" s="334">
        <v>40</v>
      </c>
      <c r="N56" s="334">
        <f t="shared" si="17"/>
        <v>493</v>
      </c>
      <c r="O56" s="512"/>
      <c r="P56" s="334">
        <f>M56*12</f>
        <v>480</v>
      </c>
      <c r="Q56" s="334">
        <f>P56-N56</f>
        <v>-13</v>
      </c>
      <c r="R56" s="519">
        <f>Q56/N56</f>
        <v>-2.6369168356997971E-2</v>
      </c>
      <c r="S56" s="512"/>
      <c r="T56" s="334"/>
    </row>
    <row r="57" spans="1:20" ht="13.5" customHeight="1">
      <c r="A57" s="517" t="s">
        <v>368</v>
      </c>
      <c r="B57" s="333">
        <f t="shared" ref="B57:Q57" si="18">SUM(B55:B56)</f>
        <v>72</v>
      </c>
      <c r="C57" s="333">
        <f t="shared" si="18"/>
        <v>74</v>
      </c>
      <c r="D57" s="333">
        <f t="shared" si="18"/>
        <v>75</v>
      </c>
      <c r="E57" s="333">
        <f t="shared" si="18"/>
        <v>74</v>
      </c>
      <c r="F57" s="333">
        <f t="shared" si="18"/>
        <v>82</v>
      </c>
      <c r="G57" s="333">
        <f t="shared" si="18"/>
        <v>73</v>
      </c>
      <c r="H57" s="333">
        <f t="shared" si="18"/>
        <v>74</v>
      </c>
      <c r="I57" s="333">
        <f t="shared" si="18"/>
        <v>76</v>
      </c>
      <c r="J57" s="333">
        <f t="shared" si="18"/>
        <v>74</v>
      </c>
      <c r="K57" s="333">
        <f t="shared" si="18"/>
        <v>71</v>
      </c>
      <c r="L57" s="333">
        <f t="shared" si="18"/>
        <v>73</v>
      </c>
      <c r="M57" s="333">
        <f t="shared" si="18"/>
        <v>72</v>
      </c>
      <c r="N57" s="333">
        <f t="shared" si="18"/>
        <v>890</v>
      </c>
      <c r="O57" s="512">
        <f t="shared" si="18"/>
        <v>0</v>
      </c>
      <c r="P57" s="333">
        <f t="shared" si="18"/>
        <v>864</v>
      </c>
      <c r="Q57" s="333">
        <f t="shared" si="18"/>
        <v>-26</v>
      </c>
      <c r="R57" s="505">
        <f>Q57/N57</f>
        <v>-2.9213483146067417E-2</v>
      </c>
      <c r="S57" s="512"/>
      <c r="T57" s="333">
        <f ca="1">INDIRECT("'"&amp;A57&amp;"'!O53")</f>
        <v>-28835.535900847695</v>
      </c>
    </row>
    <row r="58" spans="1:20">
      <c r="A58" s="517"/>
      <c r="B58" s="333"/>
      <c r="C58" s="333"/>
      <c r="D58" s="333"/>
      <c r="E58" s="333"/>
      <c r="F58" s="333"/>
      <c r="G58" s="333"/>
      <c r="H58" s="333"/>
      <c r="I58" s="333"/>
      <c r="J58" s="333"/>
      <c r="K58" s="333"/>
      <c r="L58" s="333"/>
      <c r="M58" s="333"/>
      <c r="N58" s="333"/>
      <c r="O58" s="512"/>
      <c r="P58" s="333"/>
      <c r="Q58" s="333"/>
      <c r="S58" s="512"/>
      <c r="T58" s="333"/>
    </row>
    <row r="59" spans="1:20">
      <c r="A59" s="518" t="s">
        <v>432</v>
      </c>
      <c r="B59" s="334">
        <v>3</v>
      </c>
      <c r="C59" s="334">
        <v>4</v>
      </c>
      <c r="D59" s="334">
        <v>4</v>
      </c>
      <c r="E59" s="334">
        <v>2</v>
      </c>
      <c r="F59" s="334">
        <v>3</v>
      </c>
      <c r="G59" s="334">
        <v>4</v>
      </c>
      <c r="H59" s="334">
        <v>2</v>
      </c>
      <c r="I59" s="334">
        <v>3</v>
      </c>
      <c r="J59" s="334">
        <v>4</v>
      </c>
      <c r="K59" s="334">
        <v>3</v>
      </c>
      <c r="L59" s="334">
        <v>2</v>
      </c>
      <c r="M59" s="334">
        <v>3</v>
      </c>
      <c r="N59" s="334">
        <f t="shared" ref="N59" si="19">SUM(B59:M59)</f>
        <v>37</v>
      </c>
      <c r="O59" s="512"/>
      <c r="P59" s="334">
        <f>M59*12</f>
        <v>36</v>
      </c>
      <c r="Q59" s="334">
        <f>P59-N59</f>
        <v>-1</v>
      </c>
      <c r="R59" s="519">
        <f>Q59/N59</f>
        <v>-2.7027027027027029E-2</v>
      </c>
      <c r="S59" s="512"/>
      <c r="T59" s="334"/>
    </row>
    <row r="60" spans="1:20">
      <c r="A60" s="517" t="s">
        <v>371</v>
      </c>
      <c r="B60" s="333">
        <f t="shared" ref="B60:Q60" si="20">SUM(B59)</f>
        <v>3</v>
      </c>
      <c r="C60" s="333">
        <f t="shared" si="20"/>
        <v>4</v>
      </c>
      <c r="D60" s="333">
        <f t="shared" si="20"/>
        <v>4</v>
      </c>
      <c r="E60" s="333">
        <f t="shared" si="20"/>
        <v>2</v>
      </c>
      <c r="F60" s="333">
        <f t="shared" si="20"/>
        <v>3</v>
      </c>
      <c r="G60" s="333">
        <f t="shared" si="20"/>
        <v>4</v>
      </c>
      <c r="H60" s="333">
        <f t="shared" si="20"/>
        <v>2</v>
      </c>
      <c r="I60" s="333">
        <f t="shared" si="20"/>
        <v>3</v>
      </c>
      <c r="J60" s="333">
        <f t="shared" si="20"/>
        <v>4</v>
      </c>
      <c r="K60" s="333">
        <f t="shared" si="20"/>
        <v>3</v>
      </c>
      <c r="L60" s="333">
        <f t="shared" si="20"/>
        <v>2</v>
      </c>
      <c r="M60" s="333">
        <f t="shared" si="20"/>
        <v>3</v>
      </c>
      <c r="N60" s="333">
        <f t="shared" si="20"/>
        <v>37</v>
      </c>
      <c r="O60" s="512">
        <f t="shared" si="20"/>
        <v>0</v>
      </c>
      <c r="P60" s="333">
        <f t="shared" si="20"/>
        <v>36</v>
      </c>
      <c r="Q60" s="333">
        <f t="shared" si="20"/>
        <v>-1</v>
      </c>
      <c r="R60" s="505">
        <f>Q60/N60</f>
        <v>-2.7027027027027029E-2</v>
      </c>
      <c r="S60" s="512"/>
      <c r="T60" s="333">
        <f ca="1">INDIRECT("'"&amp;A60&amp;"'!O53")</f>
        <v>-1431.1480956756757</v>
      </c>
    </row>
    <row r="61" spans="1:20">
      <c r="A61" s="517"/>
      <c r="B61" s="333"/>
      <c r="C61" s="333"/>
      <c r="D61" s="333"/>
      <c r="E61" s="333"/>
      <c r="F61" s="333"/>
      <c r="G61" s="333"/>
      <c r="H61" s="333"/>
      <c r="I61" s="333"/>
      <c r="J61" s="333"/>
      <c r="K61" s="333"/>
      <c r="L61" s="333"/>
      <c r="M61" s="333"/>
      <c r="N61" s="333"/>
      <c r="O61" s="512"/>
      <c r="P61" s="333"/>
      <c r="Q61" s="333"/>
      <c r="S61" s="512"/>
      <c r="T61" s="333"/>
    </row>
    <row r="62" spans="1:20">
      <c r="A62" s="520" t="s">
        <v>458</v>
      </c>
      <c r="B62" s="521">
        <f>B36+B40+B43+B46+B50+B53+B57+B60</f>
        <v>30846</v>
      </c>
      <c r="C62" s="521">
        <f t="shared" ref="C62:Q62" si="21">C36+C40+C43+C46+C50+C53+C57+C60</f>
        <v>30887</v>
      </c>
      <c r="D62" s="521">
        <f t="shared" si="21"/>
        <v>30867</v>
      </c>
      <c r="E62" s="521">
        <f t="shared" si="21"/>
        <v>30852</v>
      </c>
      <c r="F62" s="521">
        <f t="shared" si="21"/>
        <v>30917</v>
      </c>
      <c r="G62" s="521">
        <f t="shared" si="21"/>
        <v>30849</v>
      </c>
      <c r="H62" s="521">
        <f t="shared" si="21"/>
        <v>30850</v>
      </c>
      <c r="I62" s="521">
        <f t="shared" si="21"/>
        <v>30822</v>
      </c>
      <c r="J62" s="521">
        <f t="shared" si="21"/>
        <v>30881</v>
      </c>
      <c r="K62" s="521">
        <f t="shared" si="21"/>
        <v>30829</v>
      </c>
      <c r="L62" s="521">
        <f t="shared" si="21"/>
        <v>30762</v>
      </c>
      <c r="M62" s="521">
        <f t="shared" si="21"/>
        <v>30931</v>
      </c>
      <c r="N62" s="521">
        <f t="shared" si="21"/>
        <v>370293</v>
      </c>
      <c r="O62" s="522">
        <f t="shared" si="21"/>
        <v>0</v>
      </c>
      <c r="P62" s="521">
        <f t="shared" si="21"/>
        <v>371172</v>
      </c>
      <c r="Q62" s="521">
        <f t="shared" si="21"/>
        <v>879</v>
      </c>
      <c r="R62" s="523">
        <f>Q62/N62</f>
        <v>2.3737958859605772E-3</v>
      </c>
      <c r="S62" s="522"/>
      <c r="T62" s="521">
        <f t="shared" ref="T62" ca="1" si="22">T36+T40+T43+T46+T50+T53+T57+T60</f>
        <v>206224.95642647188</v>
      </c>
    </row>
    <row r="63" spans="1:20">
      <c r="A63" s="517"/>
      <c r="B63" s="140"/>
      <c r="C63" s="333"/>
      <c r="D63" s="333"/>
      <c r="E63" s="333"/>
      <c r="F63" s="333"/>
      <c r="G63" s="333"/>
      <c r="H63" s="333"/>
      <c r="I63" s="333"/>
      <c r="J63" s="333"/>
      <c r="K63" s="333"/>
      <c r="L63" s="333"/>
      <c r="M63" s="333"/>
      <c r="N63" s="333"/>
      <c r="O63" s="512"/>
      <c r="P63" s="333"/>
      <c r="Q63" s="333"/>
      <c r="S63" s="512"/>
      <c r="T63" s="333"/>
    </row>
    <row r="64" spans="1:20">
      <c r="A64" s="517" t="s">
        <v>433</v>
      </c>
      <c r="B64" s="333">
        <v>352</v>
      </c>
      <c r="C64" s="333">
        <v>352</v>
      </c>
      <c r="D64" s="333">
        <v>348</v>
      </c>
      <c r="E64" s="333">
        <v>350</v>
      </c>
      <c r="F64" s="333">
        <v>347</v>
      </c>
      <c r="G64" s="333">
        <v>351</v>
      </c>
      <c r="H64" s="333">
        <v>352</v>
      </c>
      <c r="I64" s="333">
        <v>354</v>
      </c>
      <c r="J64" s="333">
        <v>359</v>
      </c>
      <c r="K64" s="333">
        <v>357</v>
      </c>
      <c r="L64" s="333">
        <v>357</v>
      </c>
      <c r="M64" s="333">
        <v>357</v>
      </c>
      <c r="N64" s="333">
        <f t="shared" ref="N64:N65" si="23">SUM(B64:M64)</f>
        <v>4236</v>
      </c>
      <c r="O64" s="512"/>
      <c r="P64" s="333">
        <f>M64*12</f>
        <v>4284</v>
      </c>
      <c r="Q64" s="333">
        <f>P64-N64</f>
        <v>48</v>
      </c>
      <c r="R64" s="505">
        <f>Q64/N64</f>
        <v>1.1331444759206799E-2</v>
      </c>
      <c r="S64" s="512"/>
      <c r="T64" s="333"/>
    </row>
    <row r="65" spans="1:20">
      <c r="A65" s="518" t="s">
        <v>434</v>
      </c>
      <c r="B65" s="334">
        <v>7</v>
      </c>
      <c r="C65" s="334">
        <v>7</v>
      </c>
      <c r="D65" s="334">
        <v>7</v>
      </c>
      <c r="E65" s="334">
        <v>7</v>
      </c>
      <c r="F65" s="334">
        <v>7</v>
      </c>
      <c r="G65" s="334">
        <v>7</v>
      </c>
      <c r="H65" s="334">
        <v>7</v>
      </c>
      <c r="I65" s="334">
        <v>7</v>
      </c>
      <c r="J65" s="334">
        <v>7</v>
      </c>
      <c r="K65" s="334">
        <v>7</v>
      </c>
      <c r="L65" s="334">
        <v>7</v>
      </c>
      <c r="M65" s="334">
        <v>7</v>
      </c>
      <c r="N65" s="334">
        <f t="shared" si="23"/>
        <v>84</v>
      </c>
      <c r="O65" s="512"/>
      <c r="P65" s="334">
        <f>M65*12</f>
        <v>84</v>
      </c>
      <c r="Q65" s="334">
        <f>P65-N65</f>
        <v>0</v>
      </c>
      <c r="R65" s="519">
        <f>Q65/N65</f>
        <v>0</v>
      </c>
      <c r="S65" s="512"/>
      <c r="T65" s="334"/>
    </row>
    <row r="66" spans="1:20">
      <c r="A66" s="517" t="s">
        <v>372</v>
      </c>
      <c r="B66" s="333">
        <f t="shared" ref="B66:Q66" si="24">SUM(B64:B65)</f>
        <v>359</v>
      </c>
      <c r="C66" s="333">
        <f t="shared" si="24"/>
        <v>359</v>
      </c>
      <c r="D66" s="333">
        <f t="shared" si="24"/>
        <v>355</v>
      </c>
      <c r="E66" s="333">
        <f t="shared" si="24"/>
        <v>357</v>
      </c>
      <c r="F66" s="333">
        <f t="shared" si="24"/>
        <v>354</v>
      </c>
      <c r="G66" s="333">
        <f t="shared" si="24"/>
        <v>358</v>
      </c>
      <c r="H66" s="333">
        <f t="shared" si="24"/>
        <v>359</v>
      </c>
      <c r="I66" s="333">
        <f t="shared" si="24"/>
        <v>361</v>
      </c>
      <c r="J66" s="333">
        <f t="shared" si="24"/>
        <v>366</v>
      </c>
      <c r="K66" s="333">
        <f t="shared" si="24"/>
        <v>364</v>
      </c>
      <c r="L66" s="333">
        <f t="shared" si="24"/>
        <v>364</v>
      </c>
      <c r="M66" s="333">
        <f t="shared" si="24"/>
        <v>364</v>
      </c>
      <c r="N66" s="333">
        <f t="shared" si="24"/>
        <v>4320</v>
      </c>
      <c r="O66" s="512">
        <f t="shared" si="24"/>
        <v>0</v>
      </c>
      <c r="P66" s="333">
        <f t="shared" si="24"/>
        <v>4368</v>
      </c>
      <c r="Q66" s="333">
        <f t="shared" si="24"/>
        <v>48</v>
      </c>
      <c r="R66" s="505">
        <f>Q66/N66</f>
        <v>1.1111111111111112E-2</v>
      </c>
      <c r="S66" s="512"/>
      <c r="T66" s="333">
        <f ca="1">INDIRECT("'"&amp;A66&amp;"'!O53")</f>
        <v>362776.7955315556</v>
      </c>
    </row>
    <row r="67" spans="1:20">
      <c r="A67" s="517"/>
      <c r="B67" s="333"/>
      <c r="C67" s="333"/>
      <c r="D67" s="333"/>
      <c r="E67" s="333"/>
      <c r="F67" s="333"/>
      <c r="G67" s="333"/>
      <c r="H67" s="333"/>
      <c r="I67" s="333"/>
      <c r="J67" s="333"/>
      <c r="K67" s="333"/>
      <c r="L67" s="333"/>
      <c r="M67" s="333"/>
      <c r="N67" s="333"/>
      <c r="O67" s="512"/>
      <c r="P67" s="333"/>
      <c r="Q67" s="333"/>
      <c r="S67" s="512"/>
      <c r="T67" s="333"/>
    </row>
    <row r="68" spans="1:20">
      <c r="A68" s="518" t="s">
        <v>439</v>
      </c>
      <c r="B68" s="334">
        <v>7</v>
      </c>
      <c r="C68" s="334">
        <v>7</v>
      </c>
      <c r="D68" s="334">
        <v>7</v>
      </c>
      <c r="E68" s="334">
        <v>7</v>
      </c>
      <c r="F68" s="334">
        <v>7</v>
      </c>
      <c r="G68" s="334">
        <v>7</v>
      </c>
      <c r="H68" s="334">
        <v>7</v>
      </c>
      <c r="I68" s="334">
        <v>7</v>
      </c>
      <c r="J68" s="334">
        <v>7</v>
      </c>
      <c r="K68" s="334">
        <v>7</v>
      </c>
      <c r="L68" s="334">
        <v>7</v>
      </c>
      <c r="M68" s="334">
        <v>7</v>
      </c>
      <c r="N68" s="334">
        <f>SUM(B68:M68)</f>
        <v>84</v>
      </c>
      <c r="O68" s="512"/>
      <c r="P68" s="334">
        <f>M68*12</f>
        <v>84</v>
      </c>
      <c r="Q68" s="334">
        <f>P68-N68</f>
        <v>0</v>
      </c>
      <c r="R68" s="519">
        <f>Q68/N68</f>
        <v>0</v>
      </c>
      <c r="S68" s="512"/>
      <c r="T68" s="334"/>
    </row>
    <row r="69" spans="1:20">
      <c r="A69" s="517" t="s">
        <v>376</v>
      </c>
      <c r="B69" s="333">
        <f t="shared" ref="B69:Q69" si="25">SUM(B68)</f>
        <v>7</v>
      </c>
      <c r="C69" s="333">
        <f t="shared" si="25"/>
        <v>7</v>
      </c>
      <c r="D69" s="333">
        <f t="shared" si="25"/>
        <v>7</v>
      </c>
      <c r="E69" s="333">
        <f t="shared" si="25"/>
        <v>7</v>
      </c>
      <c r="F69" s="333">
        <f t="shared" si="25"/>
        <v>7</v>
      </c>
      <c r="G69" s="333">
        <f t="shared" si="25"/>
        <v>7</v>
      </c>
      <c r="H69" s="333">
        <f t="shared" si="25"/>
        <v>7</v>
      </c>
      <c r="I69" s="333">
        <f t="shared" si="25"/>
        <v>7</v>
      </c>
      <c r="J69" s="333">
        <f t="shared" si="25"/>
        <v>7</v>
      </c>
      <c r="K69" s="333">
        <f t="shared" si="25"/>
        <v>7</v>
      </c>
      <c r="L69" s="333">
        <f t="shared" si="25"/>
        <v>7</v>
      </c>
      <c r="M69" s="333">
        <f t="shared" si="25"/>
        <v>7</v>
      </c>
      <c r="N69" s="333">
        <f t="shared" si="25"/>
        <v>84</v>
      </c>
      <c r="O69" s="512">
        <f t="shared" si="25"/>
        <v>0</v>
      </c>
      <c r="P69" s="333">
        <f t="shared" si="25"/>
        <v>84</v>
      </c>
      <c r="Q69" s="333">
        <f t="shared" si="25"/>
        <v>0</v>
      </c>
      <c r="R69" s="505">
        <f>Q69/N69</f>
        <v>0</v>
      </c>
      <c r="S69" s="512"/>
      <c r="T69" s="333">
        <f ca="1">INDIRECT("'"&amp;A69&amp;"'!O53")</f>
        <v>0</v>
      </c>
    </row>
    <row r="70" spans="1:20">
      <c r="A70" s="517"/>
      <c r="B70" s="333"/>
      <c r="C70" s="333"/>
      <c r="D70" s="333"/>
      <c r="E70" s="333"/>
      <c r="F70" s="333"/>
      <c r="G70" s="333"/>
      <c r="H70" s="333"/>
      <c r="I70" s="333"/>
      <c r="J70" s="333"/>
      <c r="K70" s="333"/>
      <c r="L70" s="333"/>
      <c r="M70" s="333"/>
      <c r="N70" s="333"/>
      <c r="O70" s="512"/>
      <c r="P70" s="333"/>
      <c r="Q70" s="333"/>
      <c r="S70" s="512"/>
      <c r="T70" s="333"/>
    </row>
    <row r="71" spans="1:20">
      <c r="A71" s="518" t="s">
        <v>440</v>
      </c>
      <c r="B71" s="334">
        <v>3</v>
      </c>
      <c r="C71" s="334">
        <v>5</v>
      </c>
      <c r="D71" s="334">
        <v>4</v>
      </c>
      <c r="E71" s="334">
        <v>4</v>
      </c>
      <c r="F71" s="334">
        <v>4</v>
      </c>
      <c r="G71" s="334">
        <v>4</v>
      </c>
      <c r="H71" s="334">
        <v>4</v>
      </c>
      <c r="I71" s="334">
        <v>4</v>
      </c>
      <c r="J71" s="334">
        <v>4</v>
      </c>
      <c r="K71" s="334">
        <v>4</v>
      </c>
      <c r="L71" s="334">
        <v>5</v>
      </c>
      <c r="M71" s="334">
        <v>5</v>
      </c>
      <c r="N71" s="334">
        <f>SUM(B71:M71)</f>
        <v>50</v>
      </c>
      <c r="O71" s="512"/>
      <c r="P71" s="334">
        <f>M71*12</f>
        <v>60</v>
      </c>
      <c r="Q71" s="334">
        <f>P71-N71</f>
        <v>10</v>
      </c>
      <c r="R71" s="519">
        <f>Q71/N71</f>
        <v>0.2</v>
      </c>
      <c r="S71" s="512"/>
      <c r="T71" s="334"/>
    </row>
    <row r="72" spans="1:20">
      <c r="A72" s="517" t="s">
        <v>377</v>
      </c>
      <c r="B72" s="333">
        <f t="shared" ref="B72:Q72" si="26">SUM(B71)</f>
        <v>3</v>
      </c>
      <c r="C72" s="333">
        <f t="shared" si="26"/>
        <v>5</v>
      </c>
      <c r="D72" s="333">
        <f t="shared" si="26"/>
        <v>4</v>
      </c>
      <c r="E72" s="333">
        <f t="shared" si="26"/>
        <v>4</v>
      </c>
      <c r="F72" s="333">
        <f t="shared" si="26"/>
        <v>4</v>
      </c>
      <c r="G72" s="333">
        <f t="shared" si="26"/>
        <v>4</v>
      </c>
      <c r="H72" s="333">
        <f t="shared" si="26"/>
        <v>4</v>
      </c>
      <c r="I72" s="333">
        <f t="shared" si="26"/>
        <v>4</v>
      </c>
      <c r="J72" s="333">
        <f t="shared" si="26"/>
        <v>4</v>
      </c>
      <c r="K72" s="333">
        <f t="shared" si="26"/>
        <v>4</v>
      </c>
      <c r="L72" s="333">
        <f t="shared" si="26"/>
        <v>5</v>
      </c>
      <c r="M72" s="333">
        <f t="shared" si="26"/>
        <v>5</v>
      </c>
      <c r="N72" s="333">
        <f t="shared" si="26"/>
        <v>50</v>
      </c>
      <c r="O72" s="512">
        <f t="shared" si="26"/>
        <v>0</v>
      </c>
      <c r="P72" s="333">
        <f t="shared" si="26"/>
        <v>60</v>
      </c>
      <c r="Q72" s="333">
        <f t="shared" si="26"/>
        <v>10</v>
      </c>
      <c r="R72" s="505">
        <f>Q72/N72</f>
        <v>0.2</v>
      </c>
      <c r="S72" s="512"/>
      <c r="T72" s="333">
        <f ca="1">INDIRECT("'"&amp;A72&amp;"'!O53")</f>
        <v>98005.866808000006</v>
      </c>
    </row>
    <row r="73" spans="1:20">
      <c r="A73" s="517"/>
      <c r="B73" s="333"/>
      <c r="C73" s="333"/>
      <c r="D73" s="333"/>
      <c r="E73" s="333"/>
      <c r="F73" s="333"/>
      <c r="G73" s="333"/>
      <c r="H73" s="333"/>
      <c r="I73" s="333"/>
      <c r="J73" s="333"/>
      <c r="K73" s="333"/>
      <c r="L73" s="333"/>
      <c r="M73" s="333"/>
      <c r="N73" s="333"/>
      <c r="O73" s="512"/>
      <c r="P73" s="333"/>
      <c r="Q73" s="333"/>
      <c r="S73" s="512"/>
      <c r="T73" s="333"/>
    </row>
    <row r="74" spans="1:20">
      <c r="A74" s="518" t="s">
        <v>441</v>
      </c>
      <c r="B74" s="334">
        <v>2</v>
      </c>
      <c r="C74" s="334">
        <v>2</v>
      </c>
      <c r="D74" s="334">
        <v>2</v>
      </c>
      <c r="E74" s="334">
        <v>2</v>
      </c>
      <c r="F74" s="334">
        <v>2</v>
      </c>
      <c r="G74" s="334">
        <v>2</v>
      </c>
      <c r="H74" s="334">
        <v>2</v>
      </c>
      <c r="I74" s="334">
        <v>1</v>
      </c>
      <c r="J74" s="334">
        <v>2</v>
      </c>
      <c r="K74" s="334">
        <v>3</v>
      </c>
      <c r="L74" s="334">
        <v>2</v>
      </c>
      <c r="M74" s="334">
        <v>2</v>
      </c>
      <c r="N74" s="334">
        <f>SUM(B74:M74)</f>
        <v>24</v>
      </c>
      <c r="O74" s="512"/>
      <c r="P74" s="334">
        <f>M74*12</f>
        <v>24</v>
      </c>
      <c r="Q74" s="334">
        <f>P74-N74</f>
        <v>0</v>
      </c>
      <c r="R74" s="519">
        <f>Q74/N74</f>
        <v>0</v>
      </c>
      <c r="S74" s="512"/>
      <c r="T74" s="334"/>
    </row>
    <row r="75" spans="1:20">
      <c r="A75" s="517" t="s">
        <v>378</v>
      </c>
      <c r="B75" s="333">
        <f t="shared" ref="B75:Q75" si="27">SUM(B74)</f>
        <v>2</v>
      </c>
      <c r="C75" s="333">
        <f t="shared" si="27"/>
        <v>2</v>
      </c>
      <c r="D75" s="333">
        <f t="shared" si="27"/>
        <v>2</v>
      </c>
      <c r="E75" s="333">
        <f t="shared" si="27"/>
        <v>2</v>
      </c>
      <c r="F75" s="333">
        <f t="shared" si="27"/>
        <v>2</v>
      </c>
      <c r="G75" s="333">
        <f t="shared" si="27"/>
        <v>2</v>
      </c>
      <c r="H75" s="333">
        <f t="shared" si="27"/>
        <v>2</v>
      </c>
      <c r="I75" s="333">
        <f t="shared" si="27"/>
        <v>1</v>
      </c>
      <c r="J75" s="333">
        <f t="shared" si="27"/>
        <v>2</v>
      </c>
      <c r="K75" s="333">
        <f t="shared" si="27"/>
        <v>3</v>
      </c>
      <c r="L75" s="333">
        <f t="shared" si="27"/>
        <v>2</v>
      </c>
      <c r="M75" s="333">
        <f t="shared" si="27"/>
        <v>2</v>
      </c>
      <c r="N75" s="333">
        <f>SUM(N74)</f>
        <v>24</v>
      </c>
      <c r="O75" s="512">
        <f t="shared" si="27"/>
        <v>0</v>
      </c>
      <c r="P75" s="333">
        <f t="shared" si="27"/>
        <v>24</v>
      </c>
      <c r="Q75" s="333">
        <f t="shared" si="27"/>
        <v>0</v>
      </c>
      <c r="R75" s="505">
        <f>Q75/N75</f>
        <v>0</v>
      </c>
      <c r="S75" s="512"/>
      <c r="T75" s="333">
        <f ca="1">INDIRECT("'"&amp;A75&amp;"'!O53")</f>
        <v>0</v>
      </c>
    </row>
    <row r="76" spans="1:20">
      <c r="A76" s="517"/>
      <c r="B76" s="333"/>
      <c r="C76" s="333"/>
      <c r="D76" s="333"/>
      <c r="E76" s="333"/>
      <c r="F76" s="333"/>
      <c r="G76" s="333"/>
      <c r="H76" s="333"/>
      <c r="I76" s="333"/>
      <c r="J76" s="333"/>
      <c r="K76" s="333"/>
      <c r="L76" s="333"/>
      <c r="M76" s="333"/>
      <c r="N76" s="333"/>
      <c r="O76" s="512"/>
      <c r="P76" s="333"/>
      <c r="Q76" s="333"/>
      <c r="S76" s="512"/>
      <c r="T76" s="333"/>
    </row>
    <row r="77" spans="1:20">
      <c r="A77" s="517" t="s">
        <v>435</v>
      </c>
      <c r="B77" s="333">
        <v>64</v>
      </c>
      <c r="C77" s="333">
        <v>64</v>
      </c>
      <c r="D77" s="333">
        <v>63</v>
      </c>
      <c r="E77" s="333">
        <v>64</v>
      </c>
      <c r="F77" s="333">
        <v>62</v>
      </c>
      <c r="G77" s="333">
        <v>66</v>
      </c>
      <c r="H77" s="333">
        <v>66</v>
      </c>
      <c r="I77" s="333">
        <v>65</v>
      </c>
      <c r="J77" s="333">
        <v>69</v>
      </c>
      <c r="K77" s="333">
        <v>70</v>
      </c>
      <c r="L77" s="333">
        <v>68</v>
      </c>
      <c r="M77" s="333">
        <v>68</v>
      </c>
      <c r="N77" s="333">
        <f t="shared" ref="N77:N78" si="28">SUM(B77:M77)</f>
        <v>789</v>
      </c>
      <c r="O77" s="512"/>
      <c r="P77" s="333">
        <f>M77*12</f>
        <v>816</v>
      </c>
      <c r="Q77" s="333">
        <f>P77-N77</f>
        <v>27</v>
      </c>
      <c r="R77" s="505">
        <f>Q77/N77</f>
        <v>3.4220532319391636E-2</v>
      </c>
      <c r="S77" s="512"/>
      <c r="T77" s="333"/>
    </row>
    <row r="78" spans="1:20">
      <c r="A78" s="518" t="s">
        <v>436</v>
      </c>
      <c r="B78" s="334">
        <v>1</v>
      </c>
      <c r="C78" s="334">
        <v>1</v>
      </c>
      <c r="D78" s="334">
        <v>1</v>
      </c>
      <c r="E78" s="334">
        <v>1</v>
      </c>
      <c r="F78" s="334">
        <v>1</v>
      </c>
      <c r="G78" s="334">
        <v>1</v>
      </c>
      <c r="H78" s="334">
        <v>1</v>
      </c>
      <c r="I78" s="334">
        <v>1</v>
      </c>
      <c r="J78" s="334">
        <v>1</v>
      </c>
      <c r="K78" s="334">
        <v>1</v>
      </c>
      <c r="L78" s="334">
        <v>1</v>
      </c>
      <c r="M78" s="334">
        <v>1</v>
      </c>
      <c r="N78" s="334">
        <f t="shared" si="28"/>
        <v>12</v>
      </c>
      <c r="O78" s="512"/>
      <c r="P78" s="334">
        <f>M78*12</f>
        <v>12</v>
      </c>
      <c r="Q78" s="334">
        <f>P78-N78</f>
        <v>0</v>
      </c>
      <c r="R78" s="519">
        <f>Q78/N78</f>
        <v>0</v>
      </c>
      <c r="S78" s="512"/>
      <c r="T78" s="334"/>
    </row>
    <row r="79" spans="1:20">
      <c r="A79" s="517" t="s">
        <v>373</v>
      </c>
      <c r="B79" s="333">
        <f t="shared" ref="B79:Q79" si="29">SUM(B77:B78)</f>
        <v>65</v>
      </c>
      <c r="C79" s="333">
        <f t="shared" si="29"/>
        <v>65</v>
      </c>
      <c r="D79" s="333">
        <f t="shared" si="29"/>
        <v>64</v>
      </c>
      <c r="E79" s="333">
        <f t="shared" si="29"/>
        <v>65</v>
      </c>
      <c r="F79" s="333">
        <f t="shared" si="29"/>
        <v>63</v>
      </c>
      <c r="G79" s="333">
        <f t="shared" si="29"/>
        <v>67</v>
      </c>
      <c r="H79" s="333">
        <f t="shared" si="29"/>
        <v>67</v>
      </c>
      <c r="I79" s="333">
        <f t="shared" si="29"/>
        <v>66</v>
      </c>
      <c r="J79" s="333">
        <f t="shared" si="29"/>
        <v>70</v>
      </c>
      <c r="K79" s="333">
        <f t="shared" si="29"/>
        <v>71</v>
      </c>
      <c r="L79" s="333">
        <f t="shared" si="29"/>
        <v>69</v>
      </c>
      <c r="M79" s="333">
        <f t="shared" si="29"/>
        <v>69</v>
      </c>
      <c r="N79" s="333">
        <f t="shared" si="29"/>
        <v>801</v>
      </c>
      <c r="O79" s="512">
        <f t="shared" si="29"/>
        <v>0</v>
      </c>
      <c r="P79" s="333">
        <f t="shared" si="29"/>
        <v>828</v>
      </c>
      <c r="Q79" s="333">
        <f t="shared" si="29"/>
        <v>27</v>
      </c>
      <c r="R79" s="505">
        <f>Q79/N79</f>
        <v>3.3707865168539325E-2</v>
      </c>
      <c r="S79" s="512"/>
      <c r="T79" s="333">
        <f ca="1">INDIRECT("'"&amp;A79&amp;"'!O53")</f>
        <v>299561.77455101127</v>
      </c>
    </row>
    <row r="80" spans="1:20">
      <c r="A80" s="517"/>
      <c r="B80" s="333"/>
      <c r="C80" s="333"/>
      <c r="D80" s="333"/>
      <c r="E80" s="333"/>
      <c r="F80" s="333"/>
      <c r="G80" s="333"/>
      <c r="H80" s="333"/>
      <c r="I80" s="333"/>
      <c r="J80" s="333"/>
      <c r="K80" s="333"/>
      <c r="L80" s="333"/>
      <c r="M80" s="333"/>
      <c r="N80" s="333"/>
      <c r="O80" s="512"/>
      <c r="P80" s="333"/>
      <c r="Q80" s="333"/>
      <c r="S80" s="512"/>
      <c r="T80" s="333"/>
    </row>
    <row r="81" spans="1:20">
      <c r="A81" s="518" t="s">
        <v>437</v>
      </c>
      <c r="B81" s="334">
        <v>7</v>
      </c>
      <c r="C81" s="334">
        <v>7</v>
      </c>
      <c r="D81" s="334">
        <v>7</v>
      </c>
      <c r="E81" s="334">
        <v>6</v>
      </c>
      <c r="F81" s="334">
        <v>6</v>
      </c>
      <c r="G81" s="334">
        <v>6</v>
      </c>
      <c r="H81" s="334">
        <v>6</v>
      </c>
      <c r="I81" s="334">
        <v>6</v>
      </c>
      <c r="J81" s="334">
        <v>6</v>
      </c>
      <c r="K81" s="334">
        <v>7</v>
      </c>
      <c r="L81" s="334">
        <v>7</v>
      </c>
      <c r="M81" s="334">
        <v>7</v>
      </c>
      <c r="N81" s="334">
        <f>SUM(B81:M81)</f>
        <v>78</v>
      </c>
      <c r="O81" s="512"/>
      <c r="P81" s="334">
        <f>M81*12</f>
        <v>84</v>
      </c>
      <c r="Q81" s="334">
        <f>P81-N81</f>
        <v>6</v>
      </c>
      <c r="R81" s="519">
        <f>Q81/N81</f>
        <v>7.6923076923076927E-2</v>
      </c>
      <c r="S81" s="512"/>
      <c r="T81" s="334"/>
    </row>
    <row r="82" spans="1:20">
      <c r="A82" s="517" t="s">
        <v>374</v>
      </c>
      <c r="B82" s="333">
        <f t="shared" ref="B82:Q82" si="30">SUM(B81)</f>
        <v>7</v>
      </c>
      <c r="C82" s="333">
        <f t="shared" si="30"/>
        <v>7</v>
      </c>
      <c r="D82" s="333">
        <f t="shared" si="30"/>
        <v>7</v>
      </c>
      <c r="E82" s="333">
        <f t="shared" si="30"/>
        <v>6</v>
      </c>
      <c r="F82" s="333">
        <f t="shared" si="30"/>
        <v>6</v>
      </c>
      <c r="G82" s="333">
        <f t="shared" si="30"/>
        <v>6</v>
      </c>
      <c r="H82" s="333">
        <f t="shared" si="30"/>
        <v>6</v>
      </c>
      <c r="I82" s="333">
        <f t="shared" si="30"/>
        <v>6</v>
      </c>
      <c r="J82" s="333">
        <f t="shared" si="30"/>
        <v>6</v>
      </c>
      <c r="K82" s="333">
        <f t="shared" si="30"/>
        <v>7</v>
      </c>
      <c r="L82" s="333">
        <f t="shared" si="30"/>
        <v>7</v>
      </c>
      <c r="M82" s="333">
        <f t="shared" si="30"/>
        <v>7</v>
      </c>
      <c r="N82" s="333">
        <f t="shared" si="30"/>
        <v>78</v>
      </c>
      <c r="O82" s="512">
        <f t="shared" si="30"/>
        <v>0</v>
      </c>
      <c r="P82" s="333">
        <f t="shared" si="30"/>
        <v>84</v>
      </c>
      <c r="Q82" s="333">
        <f t="shared" si="30"/>
        <v>6</v>
      </c>
      <c r="R82" s="505">
        <f>Q82/N82</f>
        <v>7.6923076923076927E-2</v>
      </c>
      <c r="S82" s="512"/>
      <c r="T82" s="333">
        <f ca="1">INDIRECT("'"&amp;A82&amp;"'!O53")</f>
        <v>71661.171453846153</v>
      </c>
    </row>
    <row r="83" spans="1:20">
      <c r="A83" s="517"/>
      <c r="B83" s="333"/>
      <c r="C83" s="333"/>
      <c r="D83" s="333"/>
      <c r="E83" s="333"/>
      <c r="F83" s="333"/>
      <c r="G83" s="333"/>
      <c r="H83" s="333"/>
      <c r="I83" s="333"/>
      <c r="J83" s="333"/>
      <c r="K83" s="333"/>
      <c r="L83" s="333"/>
      <c r="M83" s="333"/>
      <c r="N83" s="333"/>
      <c r="O83" s="512"/>
      <c r="P83" s="333"/>
      <c r="Q83" s="333"/>
      <c r="S83" s="512"/>
      <c r="T83" s="333"/>
    </row>
    <row r="84" spans="1:20">
      <c r="A84" s="518" t="s">
        <v>438</v>
      </c>
      <c r="B84" s="334">
        <v>0</v>
      </c>
      <c r="C84" s="334">
        <v>0</v>
      </c>
      <c r="D84" s="334">
        <v>0</v>
      </c>
      <c r="E84" s="334">
        <v>0</v>
      </c>
      <c r="F84" s="334">
        <v>0</v>
      </c>
      <c r="G84" s="334">
        <v>0</v>
      </c>
      <c r="H84" s="334">
        <v>0</v>
      </c>
      <c r="I84" s="334">
        <v>0</v>
      </c>
      <c r="J84" s="334">
        <v>0</v>
      </c>
      <c r="K84" s="334">
        <v>0</v>
      </c>
      <c r="L84" s="334">
        <v>0</v>
      </c>
      <c r="M84" s="334">
        <v>0</v>
      </c>
      <c r="N84" s="334">
        <f>SUM(B84:M84)</f>
        <v>0</v>
      </c>
      <c r="O84" s="512"/>
      <c r="P84" s="334">
        <f>M84*12</f>
        <v>0</v>
      </c>
      <c r="Q84" s="334">
        <f>P84-N84</f>
        <v>0</v>
      </c>
      <c r="R84" s="519">
        <v>0</v>
      </c>
      <c r="S84" s="512"/>
      <c r="T84" s="334"/>
    </row>
    <row r="85" spans="1:20">
      <c r="A85" s="517" t="s">
        <v>375</v>
      </c>
      <c r="B85" s="333">
        <f t="shared" ref="B85:Q85" si="31">SUM(B84)</f>
        <v>0</v>
      </c>
      <c r="C85" s="333">
        <f t="shared" si="31"/>
        <v>0</v>
      </c>
      <c r="D85" s="333">
        <f t="shared" si="31"/>
        <v>0</v>
      </c>
      <c r="E85" s="333">
        <f t="shared" si="31"/>
        <v>0</v>
      </c>
      <c r="F85" s="333">
        <f t="shared" si="31"/>
        <v>0</v>
      </c>
      <c r="G85" s="333">
        <f t="shared" si="31"/>
        <v>0</v>
      </c>
      <c r="H85" s="333">
        <f t="shared" si="31"/>
        <v>0</v>
      </c>
      <c r="I85" s="333">
        <f t="shared" si="31"/>
        <v>0</v>
      </c>
      <c r="J85" s="333">
        <f t="shared" si="31"/>
        <v>0</v>
      </c>
      <c r="K85" s="333">
        <f t="shared" si="31"/>
        <v>0</v>
      </c>
      <c r="L85" s="333">
        <f t="shared" si="31"/>
        <v>0</v>
      </c>
      <c r="M85" s="333">
        <f t="shared" si="31"/>
        <v>0</v>
      </c>
      <c r="N85" s="333">
        <f t="shared" si="31"/>
        <v>0</v>
      </c>
      <c r="O85" s="512">
        <f t="shared" si="31"/>
        <v>0</v>
      </c>
      <c r="P85" s="333">
        <f t="shared" si="31"/>
        <v>0</v>
      </c>
      <c r="Q85" s="333">
        <f t="shared" si="31"/>
        <v>0</v>
      </c>
      <c r="R85" s="505">
        <v>0</v>
      </c>
      <c r="S85" s="512"/>
      <c r="T85" s="333">
        <f ca="1">INDIRECT("'"&amp;A85&amp;"'!O53")</f>
        <v>0</v>
      </c>
    </row>
    <row r="86" spans="1:20">
      <c r="A86" s="517"/>
      <c r="B86" s="333"/>
      <c r="C86" s="333"/>
      <c r="D86" s="333"/>
      <c r="E86" s="333"/>
      <c r="F86" s="333"/>
      <c r="G86" s="333"/>
      <c r="H86" s="333"/>
      <c r="I86" s="333"/>
      <c r="J86" s="333"/>
      <c r="K86" s="333"/>
      <c r="L86" s="333"/>
      <c r="M86" s="333"/>
      <c r="N86" s="333"/>
      <c r="O86" s="512"/>
      <c r="P86" s="333"/>
      <c r="Q86" s="333"/>
      <c r="S86" s="512"/>
      <c r="T86" s="333"/>
    </row>
    <row r="87" spans="1:20">
      <c r="A87" s="520" t="s">
        <v>459</v>
      </c>
      <c r="B87" s="521">
        <f>B66+B69+B72+B75+B79+B82+B85</f>
        <v>443</v>
      </c>
      <c r="C87" s="521">
        <f t="shared" ref="C87:Q87" si="32">C66+C69+C72+C75+C79+C82+C85</f>
        <v>445</v>
      </c>
      <c r="D87" s="521">
        <f t="shared" si="32"/>
        <v>439</v>
      </c>
      <c r="E87" s="521">
        <f t="shared" si="32"/>
        <v>441</v>
      </c>
      <c r="F87" s="521">
        <f t="shared" si="32"/>
        <v>436</v>
      </c>
      <c r="G87" s="521">
        <f t="shared" si="32"/>
        <v>444</v>
      </c>
      <c r="H87" s="521">
        <f t="shared" si="32"/>
        <v>445</v>
      </c>
      <c r="I87" s="521">
        <f t="shared" si="32"/>
        <v>445</v>
      </c>
      <c r="J87" s="521">
        <f t="shared" si="32"/>
        <v>455</v>
      </c>
      <c r="K87" s="521">
        <f t="shared" si="32"/>
        <v>456</v>
      </c>
      <c r="L87" s="521">
        <f t="shared" si="32"/>
        <v>454</v>
      </c>
      <c r="M87" s="521">
        <f>M66+M69+M72+M75+M79+M82+M85</f>
        <v>454</v>
      </c>
      <c r="N87" s="521">
        <f t="shared" si="32"/>
        <v>5357</v>
      </c>
      <c r="O87" s="522">
        <f t="shared" si="32"/>
        <v>0</v>
      </c>
      <c r="P87" s="521">
        <f t="shared" si="32"/>
        <v>5448</v>
      </c>
      <c r="Q87" s="521">
        <f t="shared" si="32"/>
        <v>91</v>
      </c>
      <c r="R87" s="523">
        <f>Q87/N87</f>
        <v>1.6987119656524174E-2</v>
      </c>
      <c r="S87" s="522"/>
      <c r="T87" s="521">
        <f t="shared" ref="T87" ca="1" si="33">T66+T69+T72+T75+T79+T82+T85</f>
        <v>832005.60834441311</v>
      </c>
    </row>
    <row r="88" spans="1:20">
      <c r="A88" s="517"/>
      <c r="B88" s="333"/>
      <c r="C88" s="333"/>
      <c r="D88" s="333"/>
      <c r="E88" s="333"/>
      <c r="F88" s="333"/>
      <c r="G88" s="333"/>
      <c r="H88" s="333"/>
      <c r="I88" s="333"/>
      <c r="J88" s="333"/>
      <c r="K88" s="333"/>
      <c r="L88" s="333"/>
      <c r="M88" s="333"/>
      <c r="N88" s="333"/>
      <c r="O88" s="512"/>
      <c r="P88" s="333"/>
      <c r="Q88" s="333"/>
      <c r="S88" s="512"/>
      <c r="T88" s="333"/>
    </row>
    <row r="89" spans="1:20">
      <c r="A89" s="518" t="s">
        <v>442</v>
      </c>
      <c r="B89" s="334">
        <v>138</v>
      </c>
      <c r="C89" s="334">
        <v>139</v>
      </c>
      <c r="D89" s="334">
        <v>138</v>
      </c>
      <c r="E89" s="334">
        <v>138</v>
      </c>
      <c r="F89" s="334">
        <v>138</v>
      </c>
      <c r="G89" s="334">
        <v>138</v>
      </c>
      <c r="H89" s="334">
        <v>137</v>
      </c>
      <c r="I89" s="334">
        <v>135</v>
      </c>
      <c r="J89" s="334">
        <v>135</v>
      </c>
      <c r="K89" s="334">
        <v>134</v>
      </c>
      <c r="L89" s="334">
        <v>133</v>
      </c>
      <c r="M89" s="334">
        <v>138</v>
      </c>
      <c r="N89" s="334">
        <f>SUM(B89:M89)</f>
        <v>1641</v>
      </c>
      <c r="O89" s="512"/>
      <c r="P89" s="334">
        <f>M89*12</f>
        <v>1656</v>
      </c>
      <c r="Q89" s="334">
        <f>P89-N89</f>
        <v>15</v>
      </c>
      <c r="R89" s="519">
        <f>Q89/N89</f>
        <v>9.140767824497258E-3</v>
      </c>
      <c r="S89" s="512"/>
      <c r="T89" s="334"/>
    </row>
    <row r="90" spans="1:20">
      <c r="A90" s="517" t="s">
        <v>379</v>
      </c>
      <c r="B90" s="333">
        <f t="shared" ref="B90:Q90" si="34">SUM(B89)</f>
        <v>138</v>
      </c>
      <c r="C90" s="333">
        <f t="shared" si="34"/>
        <v>139</v>
      </c>
      <c r="D90" s="333">
        <f t="shared" si="34"/>
        <v>138</v>
      </c>
      <c r="E90" s="333">
        <f t="shared" si="34"/>
        <v>138</v>
      </c>
      <c r="F90" s="333">
        <f t="shared" si="34"/>
        <v>138</v>
      </c>
      <c r="G90" s="333">
        <f t="shared" si="34"/>
        <v>138</v>
      </c>
      <c r="H90" s="333">
        <f t="shared" si="34"/>
        <v>137</v>
      </c>
      <c r="I90" s="333">
        <f t="shared" si="34"/>
        <v>135</v>
      </c>
      <c r="J90" s="333">
        <f t="shared" si="34"/>
        <v>135</v>
      </c>
      <c r="K90" s="333">
        <f t="shared" si="34"/>
        <v>134</v>
      </c>
      <c r="L90" s="333">
        <f t="shared" si="34"/>
        <v>133</v>
      </c>
      <c r="M90" s="333">
        <f t="shared" si="34"/>
        <v>138</v>
      </c>
      <c r="N90" s="333">
        <f t="shared" si="34"/>
        <v>1641</v>
      </c>
      <c r="O90" s="512">
        <f t="shared" si="34"/>
        <v>0</v>
      </c>
      <c r="P90" s="333">
        <f t="shared" si="34"/>
        <v>1656</v>
      </c>
      <c r="Q90" s="333">
        <f t="shared" si="34"/>
        <v>15</v>
      </c>
      <c r="R90" s="505">
        <f>Q90/N90</f>
        <v>9.140767824497258E-3</v>
      </c>
      <c r="S90" s="512"/>
      <c r="T90" s="333">
        <f ca="1">INDIRECT("'"&amp;A90&amp;"'!O53")</f>
        <v>94034.963542961603</v>
      </c>
    </row>
    <row r="91" spans="1:20">
      <c r="A91" s="517"/>
      <c r="B91" s="333"/>
      <c r="C91" s="333"/>
      <c r="D91" s="333"/>
      <c r="E91" s="333"/>
      <c r="F91" s="333"/>
      <c r="G91" s="333"/>
      <c r="H91" s="333"/>
      <c r="I91" s="333"/>
      <c r="J91" s="333"/>
      <c r="K91" s="333"/>
      <c r="L91" s="333"/>
      <c r="M91" s="333"/>
      <c r="N91" s="333"/>
      <c r="O91" s="512"/>
      <c r="P91" s="333"/>
      <c r="Q91" s="333"/>
      <c r="S91" s="512"/>
      <c r="T91" s="333"/>
    </row>
    <row r="92" spans="1:20">
      <c r="A92" s="518" t="s">
        <v>443</v>
      </c>
      <c r="B92" s="334">
        <v>1</v>
      </c>
      <c r="C92" s="334">
        <v>1</v>
      </c>
      <c r="D92" s="334">
        <v>1</v>
      </c>
      <c r="E92" s="334">
        <v>1</v>
      </c>
      <c r="F92" s="334">
        <v>1</v>
      </c>
      <c r="G92" s="334">
        <v>1</v>
      </c>
      <c r="H92" s="334">
        <v>1</v>
      </c>
      <c r="I92" s="334">
        <v>1</v>
      </c>
      <c r="J92" s="334">
        <v>1</v>
      </c>
      <c r="K92" s="334">
        <v>1</v>
      </c>
      <c r="L92" s="334">
        <v>1</v>
      </c>
      <c r="M92" s="334">
        <v>1</v>
      </c>
      <c r="N92" s="334">
        <f>SUM(B92:M92)</f>
        <v>12</v>
      </c>
      <c r="O92" s="512"/>
      <c r="P92" s="334">
        <f>M92*12</f>
        <v>12</v>
      </c>
      <c r="Q92" s="334">
        <f>P92-N92</f>
        <v>0</v>
      </c>
      <c r="R92" s="519">
        <f>Q92/N92</f>
        <v>0</v>
      </c>
      <c r="S92" s="512"/>
      <c r="T92" s="334"/>
    </row>
    <row r="93" spans="1:20">
      <c r="A93" s="517" t="s">
        <v>380</v>
      </c>
      <c r="B93" s="333">
        <f t="shared" ref="B93:Q93" si="35">SUM(B92)</f>
        <v>1</v>
      </c>
      <c r="C93" s="333">
        <f t="shared" si="35"/>
        <v>1</v>
      </c>
      <c r="D93" s="333">
        <f t="shared" si="35"/>
        <v>1</v>
      </c>
      <c r="E93" s="333">
        <f t="shared" si="35"/>
        <v>1</v>
      </c>
      <c r="F93" s="333">
        <f t="shared" si="35"/>
        <v>1</v>
      </c>
      <c r="G93" s="333">
        <f t="shared" si="35"/>
        <v>1</v>
      </c>
      <c r="H93" s="333">
        <f t="shared" si="35"/>
        <v>1</v>
      </c>
      <c r="I93" s="333">
        <f t="shared" si="35"/>
        <v>1</v>
      </c>
      <c r="J93" s="333">
        <f t="shared" si="35"/>
        <v>1</v>
      </c>
      <c r="K93" s="333">
        <f t="shared" si="35"/>
        <v>1</v>
      </c>
      <c r="L93" s="333">
        <f t="shared" si="35"/>
        <v>1</v>
      </c>
      <c r="M93" s="333">
        <f t="shared" si="35"/>
        <v>1</v>
      </c>
      <c r="N93" s="333">
        <f t="shared" si="35"/>
        <v>12</v>
      </c>
      <c r="O93" s="512">
        <f t="shared" si="35"/>
        <v>0</v>
      </c>
      <c r="P93" s="333">
        <f t="shared" si="35"/>
        <v>12</v>
      </c>
      <c r="Q93" s="333">
        <f t="shared" si="35"/>
        <v>0</v>
      </c>
      <c r="R93" s="505">
        <f>Q93/N93</f>
        <v>0</v>
      </c>
      <c r="S93" s="512"/>
      <c r="T93" s="333">
        <f ca="1">INDIRECT("'"&amp;A93&amp;"'!O53")</f>
        <v>0</v>
      </c>
    </row>
    <row r="94" spans="1:20">
      <c r="A94" s="517"/>
      <c r="B94" s="333"/>
      <c r="C94" s="333"/>
      <c r="D94" s="333"/>
      <c r="E94" s="333"/>
      <c r="F94" s="333"/>
      <c r="G94" s="333"/>
      <c r="H94" s="333"/>
      <c r="I94" s="333"/>
      <c r="J94" s="333"/>
      <c r="K94" s="333"/>
      <c r="L94" s="333"/>
      <c r="M94" s="333"/>
      <c r="N94" s="333"/>
      <c r="O94" s="512"/>
      <c r="P94" s="333"/>
      <c r="Q94" s="333"/>
      <c r="S94" s="512"/>
      <c r="T94" s="333"/>
    </row>
    <row r="95" spans="1:20">
      <c r="A95" s="520" t="s">
        <v>460</v>
      </c>
      <c r="B95" s="521">
        <f>B90+B93</f>
        <v>139</v>
      </c>
      <c r="C95" s="521">
        <f t="shared" ref="C95:Q95" si="36">C90+C93</f>
        <v>140</v>
      </c>
      <c r="D95" s="521">
        <f t="shared" si="36"/>
        <v>139</v>
      </c>
      <c r="E95" s="521">
        <f t="shared" si="36"/>
        <v>139</v>
      </c>
      <c r="F95" s="521">
        <f t="shared" si="36"/>
        <v>139</v>
      </c>
      <c r="G95" s="521">
        <f t="shared" si="36"/>
        <v>139</v>
      </c>
      <c r="H95" s="521">
        <f t="shared" si="36"/>
        <v>138</v>
      </c>
      <c r="I95" s="521">
        <f t="shared" si="36"/>
        <v>136</v>
      </c>
      <c r="J95" s="521">
        <f t="shared" si="36"/>
        <v>136</v>
      </c>
      <c r="K95" s="521">
        <f t="shared" si="36"/>
        <v>135</v>
      </c>
      <c r="L95" s="521">
        <f t="shared" si="36"/>
        <v>134</v>
      </c>
      <c r="M95" s="521">
        <f t="shared" si="36"/>
        <v>139</v>
      </c>
      <c r="N95" s="521">
        <f t="shared" si="36"/>
        <v>1653</v>
      </c>
      <c r="O95" s="522">
        <f t="shared" si="36"/>
        <v>0</v>
      </c>
      <c r="P95" s="521">
        <f t="shared" si="36"/>
        <v>1668</v>
      </c>
      <c r="Q95" s="521">
        <f t="shared" si="36"/>
        <v>15</v>
      </c>
      <c r="R95" s="523">
        <f>Q95/N95</f>
        <v>9.0744101633393835E-3</v>
      </c>
      <c r="S95" s="522"/>
      <c r="T95" s="521">
        <f t="shared" ref="T95" ca="1" si="37">T90+T93</f>
        <v>94034.963542961603</v>
      </c>
    </row>
    <row r="96" spans="1:20">
      <c r="A96" s="517"/>
      <c r="B96" s="333"/>
      <c r="C96" s="333"/>
      <c r="D96" s="333"/>
      <c r="E96" s="333"/>
      <c r="F96" s="333"/>
      <c r="G96" s="333"/>
      <c r="H96" s="333"/>
      <c r="I96" s="333"/>
      <c r="J96" s="333"/>
      <c r="K96" s="333"/>
      <c r="L96" s="333"/>
      <c r="M96" s="333"/>
      <c r="N96" s="333"/>
      <c r="O96" s="512"/>
      <c r="P96" s="333"/>
      <c r="Q96" s="333"/>
      <c r="S96" s="512"/>
      <c r="T96" s="333"/>
    </row>
    <row r="97" spans="1:20">
      <c r="A97" s="518" t="s">
        <v>448</v>
      </c>
      <c r="B97" s="334">
        <v>4</v>
      </c>
      <c r="C97" s="334">
        <v>4</v>
      </c>
      <c r="D97" s="334">
        <v>4</v>
      </c>
      <c r="E97" s="334">
        <v>4</v>
      </c>
      <c r="F97" s="334">
        <v>4</v>
      </c>
      <c r="G97" s="334">
        <v>4</v>
      </c>
      <c r="H97" s="334">
        <v>4</v>
      </c>
      <c r="I97" s="334">
        <v>4</v>
      </c>
      <c r="J97" s="334">
        <v>4</v>
      </c>
      <c r="K97" s="334">
        <v>4</v>
      </c>
      <c r="L97" s="334">
        <v>4</v>
      </c>
      <c r="M97" s="334">
        <v>4</v>
      </c>
      <c r="N97" s="334">
        <f>SUM(B97:M97)</f>
        <v>48</v>
      </c>
      <c r="O97" s="512"/>
      <c r="P97" s="334">
        <f>M97*12</f>
        <v>48</v>
      </c>
      <c r="Q97" s="334">
        <f>P97-N97</f>
        <v>0</v>
      </c>
      <c r="R97" s="519">
        <f>Q97/N97</f>
        <v>0</v>
      </c>
      <c r="S97" s="512"/>
      <c r="T97" s="334"/>
    </row>
    <row r="98" spans="1:20">
      <c r="A98" s="517" t="s">
        <v>384</v>
      </c>
      <c r="B98" s="333">
        <f t="shared" ref="B98:Q98" si="38">SUM(B97)</f>
        <v>4</v>
      </c>
      <c r="C98" s="333">
        <f t="shared" si="38"/>
        <v>4</v>
      </c>
      <c r="D98" s="333">
        <f t="shared" si="38"/>
        <v>4</v>
      </c>
      <c r="E98" s="333">
        <f t="shared" si="38"/>
        <v>4</v>
      </c>
      <c r="F98" s="333">
        <f t="shared" si="38"/>
        <v>4</v>
      </c>
      <c r="G98" s="333">
        <f t="shared" si="38"/>
        <v>4</v>
      </c>
      <c r="H98" s="333">
        <f t="shared" si="38"/>
        <v>4</v>
      </c>
      <c r="I98" s="333">
        <f t="shared" si="38"/>
        <v>4</v>
      </c>
      <c r="J98" s="333">
        <f t="shared" si="38"/>
        <v>4</v>
      </c>
      <c r="K98" s="333">
        <f t="shared" si="38"/>
        <v>4</v>
      </c>
      <c r="L98" s="333">
        <f t="shared" si="38"/>
        <v>4</v>
      </c>
      <c r="M98" s="333">
        <f t="shared" si="38"/>
        <v>4</v>
      </c>
      <c r="N98" s="333">
        <f t="shared" si="38"/>
        <v>48</v>
      </c>
      <c r="O98" s="512">
        <f t="shared" si="38"/>
        <v>0</v>
      </c>
      <c r="P98" s="333">
        <f t="shared" si="38"/>
        <v>48</v>
      </c>
      <c r="Q98" s="333">
        <f t="shared" si="38"/>
        <v>0</v>
      </c>
      <c r="R98" s="505">
        <f>Q98/N98</f>
        <v>0</v>
      </c>
      <c r="S98" s="512"/>
      <c r="T98" s="333">
        <f ca="1">INDIRECT("'"&amp;A98&amp;"'!O53")</f>
        <v>0</v>
      </c>
    </row>
    <row r="99" spans="1:20">
      <c r="A99" s="517"/>
      <c r="B99" s="333"/>
      <c r="C99" s="333"/>
      <c r="D99" s="333"/>
      <c r="E99" s="333"/>
      <c r="F99" s="333"/>
      <c r="G99" s="333"/>
      <c r="H99" s="333"/>
      <c r="I99" s="333"/>
      <c r="J99" s="333"/>
      <c r="K99" s="333"/>
      <c r="L99" s="333"/>
      <c r="M99" s="333"/>
      <c r="N99" s="333"/>
      <c r="O99" s="512"/>
      <c r="P99" s="333"/>
      <c r="Q99" s="333"/>
      <c r="S99" s="512"/>
      <c r="T99" s="333"/>
    </row>
    <row r="100" spans="1:20">
      <c r="A100" s="517" t="s">
        <v>444</v>
      </c>
      <c r="B100" s="333">
        <v>5</v>
      </c>
      <c r="C100" s="333">
        <v>5</v>
      </c>
      <c r="D100" s="333">
        <v>5</v>
      </c>
      <c r="E100" s="333">
        <v>5</v>
      </c>
      <c r="F100" s="333">
        <v>5</v>
      </c>
      <c r="G100" s="333">
        <v>5</v>
      </c>
      <c r="H100" s="333">
        <v>5</v>
      </c>
      <c r="I100" s="333">
        <v>5</v>
      </c>
      <c r="J100" s="333">
        <v>5</v>
      </c>
      <c r="K100" s="333">
        <v>3</v>
      </c>
      <c r="L100" s="333">
        <v>3</v>
      </c>
      <c r="M100" s="333">
        <v>3</v>
      </c>
      <c r="N100" s="333">
        <f t="shared" ref="N100:N102" si="39">SUM(B100:M100)</f>
        <v>54</v>
      </c>
      <c r="O100" s="512"/>
      <c r="P100" s="333">
        <f>M100*12</f>
        <v>36</v>
      </c>
      <c r="Q100" s="333">
        <f>P100-N100</f>
        <v>-18</v>
      </c>
      <c r="R100" s="505">
        <f>Q100/N100</f>
        <v>-0.33333333333333331</v>
      </c>
      <c r="S100" s="512"/>
      <c r="T100" s="333"/>
    </row>
    <row r="101" spans="1:20">
      <c r="A101" s="517" t="s">
        <v>449</v>
      </c>
      <c r="B101" s="333">
        <v>33</v>
      </c>
      <c r="C101" s="333">
        <v>33</v>
      </c>
      <c r="D101" s="333">
        <v>33</v>
      </c>
      <c r="E101" s="333">
        <v>33</v>
      </c>
      <c r="F101" s="333">
        <v>33</v>
      </c>
      <c r="G101" s="333">
        <v>33</v>
      </c>
      <c r="H101" s="333">
        <v>33</v>
      </c>
      <c r="I101" s="333">
        <v>33</v>
      </c>
      <c r="J101" s="333">
        <v>34</v>
      </c>
      <c r="K101" s="333">
        <v>35</v>
      </c>
      <c r="L101" s="333">
        <v>35</v>
      </c>
      <c r="M101" s="333">
        <v>38</v>
      </c>
      <c r="N101" s="333">
        <f t="shared" si="39"/>
        <v>406</v>
      </c>
      <c r="O101" s="512"/>
      <c r="P101" s="333">
        <f>M101*12</f>
        <v>456</v>
      </c>
      <c r="Q101" s="333">
        <f>P101-N101</f>
        <v>50</v>
      </c>
      <c r="R101" s="505">
        <f>Q101/N101</f>
        <v>0.12315270935960591</v>
      </c>
      <c r="S101" s="512"/>
      <c r="T101" s="333"/>
    </row>
    <row r="102" spans="1:20">
      <c r="A102" s="518" t="s">
        <v>452</v>
      </c>
      <c r="B102" s="334">
        <v>1</v>
      </c>
      <c r="C102" s="334">
        <v>1</v>
      </c>
      <c r="D102" s="334">
        <v>1</v>
      </c>
      <c r="E102" s="334">
        <v>1</v>
      </c>
      <c r="F102" s="334">
        <v>1</v>
      </c>
      <c r="G102" s="334">
        <v>1</v>
      </c>
      <c r="H102" s="334">
        <v>1</v>
      </c>
      <c r="I102" s="334">
        <v>1</v>
      </c>
      <c r="J102" s="334">
        <v>1</v>
      </c>
      <c r="K102" s="334">
        <v>1</v>
      </c>
      <c r="L102" s="334">
        <v>1</v>
      </c>
      <c r="M102" s="334">
        <v>1</v>
      </c>
      <c r="N102" s="334">
        <f t="shared" si="39"/>
        <v>12</v>
      </c>
      <c r="O102" s="512"/>
      <c r="P102" s="334">
        <f>M102*12</f>
        <v>12</v>
      </c>
      <c r="Q102" s="334">
        <f>P102-N102</f>
        <v>0</v>
      </c>
      <c r="R102" s="519">
        <f>Q102/N102</f>
        <v>0</v>
      </c>
      <c r="S102" s="512"/>
      <c r="T102" s="334"/>
    </row>
    <row r="103" spans="1:20">
      <c r="A103" s="517" t="s">
        <v>381</v>
      </c>
      <c r="B103" s="333">
        <f t="shared" ref="B103:Q103" si="40">SUM(B100:B102)</f>
        <v>39</v>
      </c>
      <c r="C103" s="333">
        <f t="shared" si="40"/>
        <v>39</v>
      </c>
      <c r="D103" s="333">
        <f t="shared" si="40"/>
        <v>39</v>
      </c>
      <c r="E103" s="333">
        <f t="shared" si="40"/>
        <v>39</v>
      </c>
      <c r="F103" s="333">
        <f t="shared" si="40"/>
        <v>39</v>
      </c>
      <c r="G103" s="333">
        <f t="shared" si="40"/>
        <v>39</v>
      </c>
      <c r="H103" s="333">
        <f t="shared" si="40"/>
        <v>39</v>
      </c>
      <c r="I103" s="333">
        <f t="shared" si="40"/>
        <v>39</v>
      </c>
      <c r="J103" s="333">
        <f t="shared" si="40"/>
        <v>40</v>
      </c>
      <c r="K103" s="333">
        <f t="shared" si="40"/>
        <v>39</v>
      </c>
      <c r="L103" s="333">
        <f t="shared" si="40"/>
        <v>39</v>
      </c>
      <c r="M103" s="333">
        <f t="shared" si="40"/>
        <v>42</v>
      </c>
      <c r="N103" s="333">
        <f t="shared" si="40"/>
        <v>472</v>
      </c>
      <c r="O103" s="512">
        <f t="shared" si="40"/>
        <v>0</v>
      </c>
      <c r="P103" s="333">
        <f t="shared" si="40"/>
        <v>504</v>
      </c>
      <c r="Q103" s="333">
        <f t="shared" si="40"/>
        <v>32</v>
      </c>
      <c r="R103" s="505">
        <f>Q103/N103</f>
        <v>6.7796610169491525E-2</v>
      </c>
      <c r="S103" s="512"/>
      <c r="T103" s="333">
        <f ca="1">INDIRECT("'"&amp;A103&amp;"'!O53")</f>
        <v>1830892.7881627118</v>
      </c>
    </row>
    <row r="104" spans="1:20">
      <c r="A104" s="517"/>
      <c r="B104" s="333"/>
      <c r="C104" s="333"/>
      <c r="D104" s="333"/>
      <c r="E104" s="333"/>
      <c r="F104" s="333"/>
      <c r="G104" s="333"/>
      <c r="H104" s="333"/>
      <c r="I104" s="333"/>
      <c r="J104" s="333"/>
      <c r="K104" s="333"/>
      <c r="L104" s="333"/>
      <c r="M104" s="333"/>
      <c r="N104" s="333"/>
      <c r="O104" s="512"/>
      <c r="P104" s="333"/>
      <c r="Q104" s="333"/>
      <c r="S104" s="512"/>
      <c r="T104" s="333"/>
    </row>
    <row r="105" spans="1:20">
      <c r="A105" s="517" t="s">
        <v>445</v>
      </c>
      <c r="B105" s="333">
        <v>1</v>
      </c>
      <c r="C105" s="333">
        <v>1</v>
      </c>
      <c r="D105" s="333">
        <v>1</v>
      </c>
      <c r="E105" s="333">
        <v>1</v>
      </c>
      <c r="F105" s="333">
        <v>1</v>
      </c>
      <c r="G105" s="333">
        <v>1</v>
      </c>
      <c r="H105" s="333">
        <v>1</v>
      </c>
      <c r="I105" s="333">
        <v>1</v>
      </c>
      <c r="J105" s="333">
        <v>1</v>
      </c>
      <c r="K105" s="333">
        <v>1</v>
      </c>
      <c r="L105" s="333">
        <v>1</v>
      </c>
      <c r="M105" s="333">
        <v>1</v>
      </c>
      <c r="N105" s="333">
        <f t="shared" ref="N105:N108" si="41">SUM(B105:M105)</f>
        <v>12</v>
      </c>
      <c r="O105" s="512"/>
      <c r="P105" s="333">
        <f>M105*12</f>
        <v>12</v>
      </c>
      <c r="Q105" s="333">
        <f>P105-N105</f>
        <v>0</v>
      </c>
      <c r="R105" s="505">
        <f>Q105/N105</f>
        <v>0</v>
      </c>
      <c r="S105" s="512"/>
      <c r="T105" s="333"/>
    </row>
    <row r="106" spans="1:20">
      <c r="A106" s="517" t="s">
        <v>447</v>
      </c>
      <c r="B106" s="333">
        <v>1</v>
      </c>
      <c r="C106" s="333">
        <v>1</v>
      </c>
      <c r="D106" s="333">
        <v>1</v>
      </c>
      <c r="E106" s="333">
        <v>1</v>
      </c>
      <c r="F106" s="333">
        <v>1</v>
      </c>
      <c r="G106" s="333">
        <v>1</v>
      </c>
      <c r="H106" s="333">
        <v>1</v>
      </c>
      <c r="I106" s="333">
        <v>1</v>
      </c>
      <c r="J106" s="333">
        <v>1</v>
      </c>
      <c r="K106" s="333">
        <v>1</v>
      </c>
      <c r="L106" s="333">
        <v>1</v>
      </c>
      <c r="M106" s="333">
        <v>1</v>
      </c>
      <c r="N106" s="333">
        <f t="shared" si="41"/>
        <v>12</v>
      </c>
      <c r="O106" s="512"/>
      <c r="P106" s="333">
        <f>M106*12</f>
        <v>12</v>
      </c>
      <c r="Q106" s="333">
        <f>P106-N106</f>
        <v>0</v>
      </c>
      <c r="R106" s="505">
        <f>Q106/N106</f>
        <v>0</v>
      </c>
      <c r="S106" s="512"/>
      <c r="T106" s="333"/>
    </row>
    <row r="107" spans="1:20">
      <c r="A107" s="517" t="s">
        <v>450</v>
      </c>
      <c r="B107" s="333">
        <v>14</v>
      </c>
      <c r="C107" s="333">
        <v>15</v>
      </c>
      <c r="D107" s="333">
        <v>15</v>
      </c>
      <c r="E107" s="333">
        <v>17</v>
      </c>
      <c r="F107" s="333">
        <v>18</v>
      </c>
      <c r="G107" s="333">
        <v>17</v>
      </c>
      <c r="H107" s="333">
        <v>17</v>
      </c>
      <c r="I107" s="333">
        <v>17</v>
      </c>
      <c r="J107" s="333">
        <v>17</v>
      </c>
      <c r="K107" s="333">
        <v>18</v>
      </c>
      <c r="L107" s="333">
        <v>17</v>
      </c>
      <c r="M107" s="333">
        <v>17</v>
      </c>
      <c r="N107" s="333">
        <f t="shared" si="41"/>
        <v>199</v>
      </c>
      <c r="O107" s="512"/>
      <c r="P107" s="333">
        <f>M107*12</f>
        <v>204</v>
      </c>
      <c r="Q107" s="333">
        <f>P107-N107</f>
        <v>5</v>
      </c>
      <c r="R107" s="505">
        <f>Q107/N107</f>
        <v>2.5125628140703519E-2</v>
      </c>
      <c r="S107" s="512"/>
      <c r="T107" s="333"/>
    </row>
    <row r="108" spans="1:20">
      <c r="A108" s="518" t="s">
        <v>453</v>
      </c>
      <c r="B108" s="334">
        <v>4</v>
      </c>
      <c r="C108" s="334">
        <v>4</v>
      </c>
      <c r="D108" s="334">
        <v>4</v>
      </c>
      <c r="E108" s="334">
        <v>4</v>
      </c>
      <c r="F108" s="334">
        <v>4</v>
      </c>
      <c r="G108" s="334">
        <v>4</v>
      </c>
      <c r="H108" s="334">
        <v>3</v>
      </c>
      <c r="I108" s="334">
        <v>3</v>
      </c>
      <c r="J108" s="334">
        <v>3</v>
      </c>
      <c r="K108" s="334">
        <v>3</v>
      </c>
      <c r="L108" s="334">
        <v>3</v>
      </c>
      <c r="M108" s="334">
        <v>3</v>
      </c>
      <c r="N108" s="334">
        <f t="shared" si="41"/>
        <v>42</v>
      </c>
      <c r="O108" s="512"/>
      <c r="P108" s="334">
        <f>M108*12</f>
        <v>36</v>
      </c>
      <c r="Q108" s="334">
        <f>P108-N108</f>
        <v>-6</v>
      </c>
      <c r="R108" s="519">
        <f>Q108/N108</f>
        <v>-0.14285714285714285</v>
      </c>
      <c r="S108" s="512"/>
      <c r="T108" s="334"/>
    </row>
    <row r="109" spans="1:20">
      <c r="A109" s="517" t="s">
        <v>382</v>
      </c>
      <c r="B109" s="333">
        <f t="shared" ref="B109:Q109" si="42">SUM(B105:B108)</f>
        <v>20</v>
      </c>
      <c r="C109" s="333">
        <f t="shared" si="42"/>
        <v>21</v>
      </c>
      <c r="D109" s="333">
        <f t="shared" si="42"/>
        <v>21</v>
      </c>
      <c r="E109" s="333">
        <f t="shared" si="42"/>
        <v>23</v>
      </c>
      <c r="F109" s="333">
        <f t="shared" si="42"/>
        <v>24</v>
      </c>
      <c r="G109" s="333">
        <f t="shared" si="42"/>
        <v>23</v>
      </c>
      <c r="H109" s="333">
        <f t="shared" si="42"/>
        <v>22</v>
      </c>
      <c r="I109" s="333">
        <f t="shared" si="42"/>
        <v>22</v>
      </c>
      <c r="J109" s="333">
        <f t="shared" si="42"/>
        <v>22</v>
      </c>
      <c r="K109" s="333">
        <f t="shared" si="42"/>
        <v>23</v>
      </c>
      <c r="L109" s="333">
        <f t="shared" si="42"/>
        <v>22</v>
      </c>
      <c r="M109" s="333">
        <f t="shared" si="42"/>
        <v>22</v>
      </c>
      <c r="N109" s="333">
        <f t="shared" si="42"/>
        <v>265</v>
      </c>
      <c r="O109" s="512">
        <f t="shared" si="42"/>
        <v>0</v>
      </c>
      <c r="P109" s="333">
        <f t="shared" si="42"/>
        <v>264</v>
      </c>
      <c r="Q109" s="333">
        <f t="shared" si="42"/>
        <v>-1</v>
      </c>
      <c r="R109" s="505">
        <f>Q109/N109</f>
        <v>-3.7735849056603774E-3</v>
      </c>
      <c r="S109" s="512"/>
      <c r="T109" s="333">
        <f ca="1">INDIRECT("'"&amp;A109&amp;"'!O53")</f>
        <v>0</v>
      </c>
    </row>
    <row r="110" spans="1:20">
      <c r="A110" s="517"/>
      <c r="B110" s="333"/>
      <c r="C110" s="333"/>
      <c r="D110" s="333"/>
      <c r="E110" s="333"/>
      <c r="F110" s="333"/>
      <c r="G110" s="333"/>
      <c r="H110" s="333"/>
      <c r="I110" s="333"/>
      <c r="J110" s="333"/>
      <c r="K110" s="333"/>
      <c r="L110" s="333"/>
      <c r="M110" s="333"/>
      <c r="N110" s="333"/>
      <c r="O110" s="512"/>
      <c r="P110" s="333"/>
      <c r="Q110" s="333"/>
      <c r="S110" s="512"/>
      <c r="T110" s="333"/>
    </row>
    <row r="111" spans="1:20">
      <c r="A111" s="517" t="s">
        <v>446</v>
      </c>
      <c r="B111" s="333">
        <v>1</v>
      </c>
      <c r="C111" s="333">
        <v>1</v>
      </c>
      <c r="D111" s="333">
        <v>1</v>
      </c>
      <c r="E111" s="333">
        <v>1</v>
      </c>
      <c r="F111" s="333">
        <v>1</v>
      </c>
      <c r="G111" s="333">
        <v>1</v>
      </c>
      <c r="H111" s="333">
        <v>1</v>
      </c>
      <c r="I111" s="333">
        <v>1</v>
      </c>
      <c r="J111" s="333">
        <v>1</v>
      </c>
      <c r="K111" s="333">
        <v>1</v>
      </c>
      <c r="L111" s="333">
        <v>1</v>
      </c>
      <c r="M111" s="333">
        <v>1</v>
      </c>
      <c r="N111" s="333">
        <f t="shared" ref="N111:N113" si="43">SUM(B111:M111)</f>
        <v>12</v>
      </c>
      <c r="O111" s="512"/>
      <c r="P111" s="333">
        <f>M111*12</f>
        <v>12</v>
      </c>
      <c r="Q111" s="333">
        <f>P111-N111</f>
        <v>0</v>
      </c>
      <c r="R111" s="505">
        <f>Q111/N111</f>
        <v>0</v>
      </c>
      <c r="S111" s="512"/>
      <c r="T111" s="333"/>
    </row>
    <row r="112" spans="1:20">
      <c r="A112" s="517" t="s">
        <v>451</v>
      </c>
      <c r="B112" s="333">
        <v>1</v>
      </c>
      <c r="C112" s="333">
        <v>1</v>
      </c>
      <c r="D112" s="333">
        <v>1</v>
      </c>
      <c r="E112" s="333">
        <v>1</v>
      </c>
      <c r="F112" s="333">
        <v>1</v>
      </c>
      <c r="G112" s="333">
        <v>1</v>
      </c>
      <c r="H112" s="333">
        <v>1</v>
      </c>
      <c r="I112" s="333">
        <v>1</v>
      </c>
      <c r="J112" s="333">
        <v>1</v>
      </c>
      <c r="K112" s="333">
        <v>1</v>
      </c>
      <c r="L112" s="333">
        <v>1</v>
      </c>
      <c r="M112" s="333">
        <v>1</v>
      </c>
      <c r="N112" s="333">
        <f t="shared" si="43"/>
        <v>12</v>
      </c>
      <c r="O112" s="512"/>
      <c r="P112" s="333">
        <f>M112*12</f>
        <v>12</v>
      </c>
      <c r="Q112" s="333">
        <f>P112-N112</f>
        <v>0</v>
      </c>
      <c r="R112" s="505">
        <f>Q112/N112</f>
        <v>0</v>
      </c>
      <c r="S112" s="512"/>
      <c r="T112" s="333"/>
    </row>
    <row r="113" spans="1:20">
      <c r="A113" s="518" t="s">
        <v>454</v>
      </c>
      <c r="B113" s="334">
        <v>1</v>
      </c>
      <c r="C113" s="334">
        <v>1</v>
      </c>
      <c r="D113" s="334">
        <v>1</v>
      </c>
      <c r="E113" s="334">
        <v>1</v>
      </c>
      <c r="F113" s="334">
        <v>1</v>
      </c>
      <c r="G113" s="334">
        <v>1</v>
      </c>
      <c r="H113" s="334">
        <v>1</v>
      </c>
      <c r="I113" s="334">
        <v>1</v>
      </c>
      <c r="J113" s="334">
        <v>1</v>
      </c>
      <c r="K113" s="334">
        <v>1</v>
      </c>
      <c r="L113" s="334">
        <v>1</v>
      </c>
      <c r="M113" s="334">
        <v>1</v>
      </c>
      <c r="N113" s="334">
        <f t="shared" si="43"/>
        <v>12</v>
      </c>
      <c r="O113" s="512"/>
      <c r="P113" s="334">
        <f>M113*12</f>
        <v>12</v>
      </c>
      <c r="Q113" s="334">
        <f>P113-N113</f>
        <v>0</v>
      </c>
      <c r="R113" s="519">
        <f>Q113/N113</f>
        <v>0</v>
      </c>
      <c r="S113" s="512"/>
      <c r="T113" s="334"/>
    </row>
    <row r="114" spans="1:20">
      <c r="A114" s="517" t="s">
        <v>383</v>
      </c>
      <c r="B114" s="333">
        <f t="shared" ref="B114:Q114" si="44">SUM(B111:B113)</f>
        <v>3</v>
      </c>
      <c r="C114" s="333">
        <f t="shared" si="44"/>
        <v>3</v>
      </c>
      <c r="D114" s="333">
        <f t="shared" si="44"/>
        <v>3</v>
      </c>
      <c r="E114" s="333">
        <f t="shared" si="44"/>
        <v>3</v>
      </c>
      <c r="F114" s="333">
        <f t="shared" si="44"/>
        <v>3</v>
      </c>
      <c r="G114" s="333">
        <f t="shared" si="44"/>
        <v>3</v>
      </c>
      <c r="H114" s="333">
        <f t="shared" si="44"/>
        <v>3</v>
      </c>
      <c r="I114" s="333">
        <f t="shared" si="44"/>
        <v>3</v>
      </c>
      <c r="J114" s="333">
        <f t="shared" si="44"/>
        <v>3</v>
      </c>
      <c r="K114" s="333">
        <f t="shared" si="44"/>
        <v>3</v>
      </c>
      <c r="L114" s="333">
        <f t="shared" si="44"/>
        <v>3</v>
      </c>
      <c r="M114" s="333">
        <f t="shared" si="44"/>
        <v>3</v>
      </c>
      <c r="N114" s="333">
        <f t="shared" si="44"/>
        <v>36</v>
      </c>
      <c r="O114" s="512">
        <f t="shared" si="44"/>
        <v>0</v>
      </c>
      <c r="P114" s="333">
        <f t="shared" si="44"/>
        <v>36</v>
      </c>
      <c r="Q114" s="333">
        <f t="shared" si="44"/>
        <v>0</v>
      </c>
      <c r="R114" s="505">
        <f>Q114/N114</f>
        <v>0</v>
      </c>
      <c r="S114" s="512"/>
      <c r="T114" s="333">
        <f ca="1">INDIRECT("'"&amp;A114&amp;"'!O53")</f>
        <v>0</v>
      </c>
    </row>
    <row r="115" spans="1:20">
      <c r="A115" s="517"/>
      <c r="B115" s="333"/>
      <c r="C115" s="333"/>
      <c r="D115" s="333"/>
      <c r="E115" s="333"/>
      <c r="F115" s="333"/>
      <c r="G115" s="333"/>
      <c r="H115" s="333"/>
      <c r="I115" s="333"/>
      <c r="J115" s="333"/>
      <c r="K115" s="333"/>
      <c r="L115" s="333"/>
      <c r="M115" s="333"/>
      <c r="N115" s="333"/>
      <c r="O115" s="512"/>
      <c r="P115" s="333"/>
      <c r="Q115" s="333"/>
      <c r="S115" s="512"/>
      <c r="T115" s="333"/>
    </row>
    <row r="116" spans="1:20">
      <c r="A116" s="520" t="s">
        <v>461</v>
      </c>
      <c r="B116" s="521">
        <f>B98+B103+B109+B114</f>
        <v>66</v>
      </c>
      <c r="C116" s="521">
        <f t="shared" ref="C116:Q116" si="45">C98+C103+C109+C114</f>
        <v>67</v>
      </c>
      <c r="D116" s="521">
        <f t="shared" si="45"/>
        <v>67</v>
      </c>
      <c r="E116" s="521">
        <f t="shared" si="45"/>
        <v>69</v>
      </c>
      <c r="F116" s="521">
        <f t="shared" si="45"/>
        <v>70</v>
      </c>
      <c r="G116" s="521">
        <f t="shared" si="45"/>
        <v>69</v>
      </c>
      <c r="H116" s="521">
        <f t="shared" si="45"/>
        <v>68</v>
      </c>
      <c r="I116" s="521">
        <f t="shared" si="45"/>
        <v>68</v>
      </c>
      <c r="J116" s="521">
        <f t="shared" si="45"/>
        <v>69</v>
      </c>
      <c r="K116" s="521">
        <f t="shared" si="45"/>
        <v>69</v>
      </c>
      <c r="L116" s="521">
        <f t="shared" si="45"/>
        <v>68</v>
      </c>
      <c r="M116" s="521">
        <f t="shared" si="45"/>
        <v>71</v>
      </c>
      <c r="N116" s="521">
        <f t="shared" si="45"/>
        <v>821</v>
      </c>
      <c r="O116" s="522">
        <f t="shared" si="45"/>
        <v>0</v>
      </c>
      <c r="P116" s="521">
        <f t="shared" si="45"/>
        <v>852</v>
      </c>
      <c r="Q116" s="521">
        <f t="shared" si="45"/>
        <v>31</v>
      </c>
      <c r="R116" s="523">
        <f>Q116/N116</f>
        <v>3.7758830694275276E-2</v>
      </c>
      <c r="S116" s="522"/>
      <c r="T116" s="521">
        <f t="shared" ref="T116" ca="1" si="46">T98+T103+T109+T114</f>
        <v>1830892.7881627118</v>
      </c>
    </row>
    <row r="117" spans="1:20">
      <c r="A117" s="517"/>
      <c r="B117" s="333"/>
      <c r="C117" s="333"/>
      <c r="D117" s="333"/>
      <c r="E117" s="333"/>
      <c r="F117" s="333"/>
      <c r="G117" s="333"/>
      <c r="H117" s="333"/>
      <c r="I117" s="333"/>
      <c r="J117" s="333"/>
      <c r="K117" s="333"/>
      <c r="L117" s="333"/>
      <c r="M117" s="333"/>
      <c r="N117" s="333"/>
      <c r="O117" s="512"/>
      <c r="P117" s="333"/>
      <c r="Q117" s="333"/>
      <c r="S117" s="512"/>
      <c r="T117" s="333"/>
    </row>
    <row r="118" spans="1:20">
      <c r="A118" s="517" t="s">
        <v>399</v>
      </c>
      <c r="B118" s="333">
        <v>544</v>
      </c>
      <c r="C118" s="333">
        <v>561</v>
      </c>
      <c r="D118" s="333">
        <v>556</v>
      </c>
      <c r="E118" s="333">
        <v>552</v>
      </c>
      <c r="F118" s="333">
        <v>509</v>
      </c>
      <c r="G118" s="333">
        <v>540</v>
      </c>
      <c r="H118" s="333">
        <v>532</v>
      </c>
      <c r="I118" s="333">
        <v>531</v>
      </c>
      <c r="J118" s="333">
        <v>520</v>
      </c>
      <c r="K118" s="333">
        <v>519</v>
      </c>
      <c r="L118" s="333">
        <v>500</v>
      </c>
      <c r="M118" s="333">
        <v>490</v>
      </c>
      <c r="N118" s="333">
        <f t="shared" ref="N118:N145" si="47">SUM(B118:M118)</f>
        <v>6354</v>
      </c>
      <c r="O118" s="512"/>
      <c r="P118" s="333">
        <f t="shared" ref="P118:P145" si="48">M118*12</f>
        <v>5880</v>
      </c>
      <c r="Q118" s="333">
        <f t="shared" ref="Q118:Q145" si="49">P118-N118</f>
        <v>-474</v>
      </c>
      <c r="R118" s="505">
        <f t="shared" ref="R118:R145" si="50">Q118/N118</f>
        <v>-7.4598677998111429E-2</v>
      </c>
      <c r="S118" s="512"/>
      <c r="T118" s="333"/>
    </row>
    <row r="119" spans="1:20">
      <c r="A119" s="517" t="s">
        <v>400</v>
      </c>
      <c r="B119" s="333">
        <v>18963</v>
      </c>
      <c r="C119" s="333">
        <v>18696</v>
      </c>
      <c r="D119" s="333">
        <v>18523</v>
      </c>
      <c r="E119" s="333">
        <v>18333</v>
      </c>
      <c r="F119" s="333">
        <v>18115</v>
      </c>
      <c r="G119" s="333">
        <v>17889</v>
      </c>
      <c r="H119" s="333">
        <v>17621</v>
      </c>
      <c r="I119" s="333">
        <v>17409</v>
      </c>
      <c r="J119" s="333">
        <v>17283</v>
      </c>
      <c r="K119" s="333">
        <v>16949</v>
      </c>
      <c r="L119" s="333">
        <v>16520</v>
      </c>
      <c r="M119" s="333">
        <v>16324</v>
      </c>
      <c r="N119" s="333">
        <f t="shared" si="47"/>
        <v>212625</v>
      </c>
      <c r="O119" s="512"/>
      <c r="P119" s="333">
        <f t="shared" si="48"/>
        <v>195888</v>
      </c>
      <c r="Q119" s="333">
        <f t="shared" si="49"/>
        <v>-16737</v>
      </c>
      <c r="R119" s="505">
        <f t="shared" si="50"/>
        <v>-7.871604938271605E-2</v>
      </c>
      <c r="S119" s="512"/>
      <c r="T119" s="333"/>
    </row>
    <row r="120" spans="1:20">
      <c r="A120" s="517" t="s">
        <v>401</v>
      </c>
      <c r="B120" s="333">
        <v>73</v>
      </c>
      <c r="C120" s="333">
        <v>74</v>
      </c>
      <c r="D120" s="333">
        <v>73</v>
      </c>
      <c r="E120" s="333">
        <v>73</v>
      </c>
      <c r="F120" s="333">
        <v>73</v>
      </c>
      <c r="G120" s="333">
        <v>73</v>
      </c>
      <c r="H120" s="333">
        <v>74</v>
      </c>
      <c r="I120" s="333">
        <v>72</v>
      </c>
      <c r="J120" s="333">
        <v>72</v>
      </c>
      <c r="K120" s="333">
        <v>72</v>
      </c>
      <c r="L120" s="333">
        <v>71</v>
      </c>
      <c r="M120" s="333">
        <v>71</v>
      </c>
      <c r="N120" s="333">
        <f t="shared" si="47"/>
        <v>871</v>
      </c>
      <c r="O120" s="512"/>
      <c r="P120" s="333">
        <f t="shared" si="48"/>
        <v>852</v>
      </c>
      <c r="Q120" s="333">
        <f t="shared" si="49"/>
        <v>-19</v>
      </c>
      <c r="R120" s="505">
        <f t="shared" si="50"/>
        <v>-2.1814006888633754E-2</v>
      </c>
      <c r="S120" s="512"/>
      <c r="T120" s="333"/>
    </row>
    <row r="121" spans="1:20">
      <c r="A121" s="517" t="s">
        <v>402</v>
      </c>
      <c r="B121" s="333">
        <v>1622</v>
      </c>
      <c r="C121" s="333">
        <v>1615</v>
      </c>
      <c r="D121" s="333">
        <v>1609</v>
      </c>
      <c r="E121" s="333">
        <v>1603</v>
      </c>
      <c r="F121" s="333">
        <v>1580</v>
      </c>
      <c r="G121" s="333">
        <v>1573</v>
      </c>
      <c r="H121" s="333">
        <v>1568</v>
      </c>
      <c r="I121" s="333">
        <v>1560</v>
      </c>
      <c r="J121" s="333">
        <v>1563</v>
      </c>
      <c r="K121" s="333">
        <v>1543</v>
      </c>
      <c r="L121" s="333">
        <v>1526</v>
      </c>
      <c r="M121" s="333">
        <v>1520</v>
      </c>
      <c r="N121" s="333">
        <f t="shared" si="47"/>
        <v>18882</v>
      </c>
      <c r="O121" s="512"/>
      <c r="P121" s="333">
        <f t="shared" si="48"/>
        <v>18240</v>
      </c>
      <c r="Q121" s="333">
        <f t="shared" si="49"/>
        <v>-642</v>
      </c>
      <c r="R121" s="505">
        <f t="shared" si="50"/>
        <v>-3.4000635525897681E-2</v>
      </c>
      <c r="S121" s="512"/>
      <c r="T121" s="333"/>
    </row>
    <row r="122" spans="1:20">
      <c r="A122" s="517" t="s">
        <v>403</v>
      </c>
      <c r="B122" s="333">
        <v>256</v>
      </c>
      <c r="C122" s="333">
        <v>256</v>
      </c>
      <c r="D122" s="333">
        <v>260</v>
      </c>
      <c r="E122" s="333">
        <v>254</v>
      </c>
      <c r="F122" s="333">
        <v>255</v>
      </c>
      <c r="G122" s="333">
        <v>255</v>
      </c>
      <c r="H122" s="333">
        <v>251</v>
      </c>
      <c r="I122" s="333">
        <v>250</v>
      </c>
      <c r="J122" s="333">
        <v>251</v>
      </c>
      <c r="K122" s="333">
        <v>251</v>
      </c>
      <c r="L122" s="333">
        <v>248</v>
      </c>
      <c r="M122" s="333">
        <v>247</v>
      </c>
      <c r="N122" s="333">
        <f t="shared" si="47"/>
        <v>3034</v>
      </c>
      <c r="O122" s="512"/>
      <c r="P122" s="333">
        <f t="shared" si="48"/>
        <v>2964</v>
      </c>
      <c r="Q122" s="333">
        <f t="shared" si="49"/>
        <v>-70</v>
      </c>
      <c r="R122" s="505">
        <f t="shared" si="50"/>
        <v>-2.3071852340145024E-2</v>
      </c>
      <c r="S122" s="512"/>
      <c r="T122" s="333"/>
    </row>
    <row r="123" spans="1:20">
      <c r="A123" s="517" t="s">
        <v>404</v>
      </c>
      <c r="B123" s="333">
        <v>5</v>
      </c>
      <c r="C123" s="333">
        <v>5</v>
      </c>
      <c r="D123" s="333">
        <v>5</v>
      </c>
      <c r="E123" s="333">
        <v>5</v>
      </c>
      <c r="F123" s="333">
        <v>5</v>
      </c>
      <c r="G123" s="333">
        <v>5</v>
      </c>
      <c r="H123" s="333">
        <v>5</v>
      </c>
      <c r="I123" s="333">
        <v>5</v>
      </c>
      <c r="J123" s="333">
        <v>5</v>
      </c>
      <c r="K123" s="333">
        <v>5</v>
      </c>
      <c r="L123" s="333">
        <v>5</v>
      </c>
      <c r="M123" s="333">
        <v>5</v>
      </c>
      <c r="N123" s="333">
        <f t="shared" si="47"/>
        <v>60</v>
      </c>
      <c r="O123" s="512"/>
      <c r="P123" s="333">
        <f t="shared" si="48"/>
        <v>60</v>
      </c>
      <c r="Q123" s="333">
        <f t="shared" si="49"/>
        <v>0</v>
      </c>
      <c r="R123" s="505">
        <f t="shared" si="50"/>
        <v>0</v>
      </c>
      <c r="S123" s="512"/>
      <c r="T123" s="333"/>
    </row>
    <row r="124" spans="1:20">
      <c r="A124" s="517" t="s">
        <v>405</v>
      </c>
      <c r="B124" s="333">
        <v>3</v>
      </c>
      <c r="C124" s="333">
        <v>3</v>
      </c>
      <c r="D124" s="333">
        <v>3</v>
      </c>
      <c r="E124" s="333">
        <v>3</v>
      </c>
      <c r="F124" s="333">
        <v>3</v>
      </c>
      <c r="G124" s="333">
        <v>3</v>
      </c>
      <c r="H124" s="333">
        <v>3</v>
      </c>
      <c r="I124" s="333">
        <v>3</v>
      </c>
      <c r="J124" s="333">
        <v>3</v>
      </c>
      <c r="K124" s="333">
        <v>3</v>
      </c>
      <c r="L124" s="333">
        <v>3</v>
      </c>
      <c r="M124" s="333">
        <v>3</v>
      </c>
      <c r="N124" s="333">
        <f t="shared" si="47"/>
        <v>36</v>
      </c>
      <c r="O124" s="512"/>
      <c r="P124" s="333">
        <f t="shared" si="48"/>
        <v>36</v>
      </c>
      <c r="Q124" s="333">
        <f t="shared" si="49"/>
        <v>0</v>
      </c>
      <c r="R124" s="505">
        <f t="shared" si="50"/>
        <v>0</v>
      </c>
      <c r="S124" s="512"/>
      <c r="T124" s="333"/>
    </row>
    <row r="125" spans="1:20">
      <c r="A125" s="517" t="s">
        <v>406</v>
      </c>
      <c r="B125" s="333">
        <v>1696</v>
      </c>
      <c r="C125" s="333">
        <v>1689</v>
      </c>
      <c r="D125" s="333">
        <v>1685</v>
      </c>
      <c r="E125" s="333">
        <v>1683</v>
      </c>
      <c r="F125" s="333">
        <v>1675</v>
      </c>
      <c r="G125" s="333">
        <v>1667</v>
      </c>
      <c r="H125" s="333">
        <v>1665</v>
      </c>
      <c r="I125" s="333">
        <v>1653</v>
      </c>
      <c r="J125" s="333">
        <v>1647</v>
      </c>
      <c r="K125" s="333">
        <v>1633</v>
      </c>
      <c r="L125" s="333">
        <v>1571</v>
      </c>
      <c r="M125" s="333">
        <v>1607</v>
      </c>
      <c r="N125" s="333">
        <f t="shared" si="47"/>
        <v>19871</v>
      </c>
      <c r="O125" s="512"/>
      <c r="P125" s="333">
        <f t="shared" si="48"/>
        <v>19284</v>
      </c>
      <c r="Q125" s="333">
        <f t="shared" si="49"/>
        <v>-587</v>
      </c>
      <c r="R125" s="505">
        <f t="shared" si="50"/>
        <v>-2.9540536460168083E-2</v>
      </c>
      <c r="S125" s="512"/>
      <c r="T125" s="333"/>
    </row>
    <row r="126" spans="1:20">
      <c r="A126" s="517" t="s">
        <v>407</v>
      </c>
      <c r="B126" s="333">
        <v>4025</v>
      </c>
      <c r="C126" s="333">
        <v>4013</v>
      </c>
      <c r="D126" s="333">
        <v>3976</v>
      </c>
      <c r="E126" s="333">
        <v>3972</v>
      </c>
      <c r="F126" s="333">
        <v>3972</v>
      </c>
      <c r="G126" s="333">
        <v>3977</v>
      </c>
      <c r="H126" s="333">
        <v>3826</v>
      </c>
      <c r="I126" s="333">
        <v>3944</v>
      </c>
      <c r="J126" s="333">
        <v>3916</v>
      </c>
      <c r="K126" s="333">
        <v>3790</v>
      </c>
      <c r="L126" s="333">
        <v>3805</v>
      </c>
      <c r="M126" s="333">
        <v>3796</v>
      </c>
      <c r="N126" s="333">
        <f t="shared" si="47"/>
        <v>47012</v>
      </c>
      <c r="O126" s="512"/>
      <c r="P126" s="333">
        <f t="shared" si="48"/>
        <v>45552</v>
      </c>
      <c r="Q126" s="333">
        <f t="shared" si="49"/>
        <v>-1460</v>
      </c>
      <c r="R126" s="505">
        <f t="shared" si="50"/>
        <v>-3.1055900621118012E-2</v>
      </c>
      <c r="S126" s="512"/>
      <c r="T126" s="333"/>
    </row>
    <row r="127" spans="1:20">
      <c r="A127" s="517" t="s">
        <v>408</v>
      </c>
      <c r="B127" s="333">
        <v>175</v>
      </c>
      <c r="C127" s="333">
        <v>177</v>
      </c>
      <c r="D127" s="333">
        <v>177</v>
      </c>
      <c r="E127" s="333">
        <v>178</v>
      </c>
      <c r="F127" s="333">
        <v>179</v>
      </c>
      <c r="G127" s="333">
        <v>178</v>
      </c>
      <c r="H127" s="333">
        <v>185</v>
      </c>
      <c r="I127" s="333">
        <v>176</v>
      </c>
      <c r="J127" s="333">
        <v>172</v>
      </c>
      <c r="K127" s="333">
        <v>170</v>
      </c>
      <c r="L127" s="333">
        <v>179</v>
      </c>
      <c r="M127" s="333">
        <v>162</v>
      </c>
      <c r="N127" s="333">
        <f t="shared" si="47"/>
        <v>2108</v>
      </c>
      <c r="O127" s="512"/>
      <c r="P127" s="333">
        <f t="shared" si="48"/>
        <v>1944</v>
      </c>
      <c r="Q127" s="333">
        <f t="shared" si="49"/>
        <v>-164</v>
      </c>
      <c r="R127" s="505">
        <f t="shared" si="50"/>
        <v>-7.7798861480075907E-2</v>
      </c>
      <c r="S127" s="512"/>
      <c r="T127" s="333"/>
    </row>
    <row r="128" spans="1:20">
      <c r="A128" s="517" t="s">
        <v>409</v>
      </c>
      <c r="B128" s="333">
        <v>879</v>
      </c>
      <c r="C128" s="333">
        <v>752</v>
      </c>
      <c r="D128" s="333">
        <v>720</v>
      </c>
      <c r="E128" s="333">
        <v>722</v>
      </c>
      <c r="F128" s="333">
        <v>720</v>
      </c>
      <c r="G128" s="333">
        <v>720</v>
      </c>
      <c r="H128" s="333">
        <v>719</v>
      </c>
      <c r="I128" s="333">
        <v>718</v>
      </c>
      <c r="J128" s="333">
        <v>720</v>
      </c>
      <c r="K128" s="333">
        <v>719</v>
      </c>
      <c r="L128" s="333">
        <v>696</v>
      </c>
      <c r="M128" s="333">
        <v>697</v>
      </c>
      <c r="N128" s="333">
        <f t="shared" si="47"/>
        <v>8782</v>
      </c>
      <c r="O128" s="512"/>
      <c r="P128" s="333">
        <f t="shared" si="48"/>
        <v>8364</v>
      </c>
      <c r="Q128" s="333">
        <f t="shared" si="49"/>
        <v>-418</v>
      </c>
      <c r="R128" s="505">
        <f t="shared" si="50"/>
        <v>-4.7597358232748806E-2</v>
      </c>
      <c r="S128" s="512"/>
      <c r="T128" s="333"/>
    </row>
    <row r="129" spans="1:21">
      <c r="A129" s="517" t="s">
        <v>410</v>
      </c>
      <c r="B129" s="333">
        <v>19247</v>
      </c>
      <c r="C129" s="333">
        <v>18989</v>
      </c>
      <c r="D129" s="333">
        <v>18755</v>
      </c>
      <c r="E129" s="333">
        <v>18424</v>
      </c>
      <c r="F129" s="333">
        <v>18058</v>
      </c>
      <c r="G129" s="333">
        <v>17698</v>
      </c>
      <c r="H129" s="333">
        <v>17298</v>
      </c>
      <c r="I129" s="333">
        <v>16967</v>
      </c>
      <c r="J129" s="333">
        <v>16643</v>
      </c>
      <c r="K129" s="333">
        <v>15998</v>
      </c>
      <c r="L129" s="333">
        <v>15854</v>
      </c>
      <c r="M129" s="333">
        <v>15496</v>
      </c>
      <c r="N129" s="333">
        <f t="shared" si="47"/>
        <v>209427</v>
      </c>
      <c r="O129" s="512"/>
      <c r="P129" s="333">
        <f t="shared" si="48"/>
        <v>185952</v>
      </c>
      <c r="Q129" s="333">
        <f t="shared" si="49"/>
        <v>-23475</v>
      </c>
      <c r="R129" s="505">
        <f t="shared" si="50"/>
        <v>-0.11209156412496955</v>
      </c>
      <c r="S129" s="512"/>
      <c r="T129" s="333"/>
    </row>
    <row r="130" spans="1:21">
      <c r="A130" s="517" t="s">
        <v>411</v>
      </c>
      <c r="B130" s="333">
        <v>940</v>
      </c>
      <c r="C130" s="333">
        <v>937</v>
      </c>
      <c r="D130" s="333">
        <v>941</v>
      </c>
      <c r="E130" s="333">
        <v>938</v>
      </c>
      <c r="F130" s="333">
        <v>931</v>
      </c>
      <c r="G130" s="333">
        <v>933</v>
      </c>
      <c r="H130" s="333">
        <v>837</v>
      </c>
      <c r="I130" s="333">
        <v>918</v>
      </c>
      <c r="J130" s="333">
        <v>912</v>
      </c>
      <c r="K130" s="333">
        <v>885</v>
      </c>
      <c r="L130" s="333">
        <v>871</v>
      </c>
      <c r="M130" s="333">
        <v>874</v>
      </c>
      <c r="N130" s="333">
        <f t="shared" si="47"/>
        <v>10917</v>
      </c>
      <c r="O130" s="512"/>
      <c r="P130" s="333">
        <f t="shared" si="48"/>
        <v>10488</v>
      </c>
      <c r="Q130" s="333">
        <f t="shared" si="49"/>
        <v>-429</v>
      </c>
      <c r="R130" s="505">
        <f t="shared" si="50"/>
        <v>-3.9296510030228084E-2</v>
      </c>
      <c r="S130" s="512"/>
      <c r="T130" s="333"/>
    </row>
    <row r="131" spans="1:21">
      <c r="A131" s="517" t="s">
        <v>412</v>
      </c>
      <c r="B131" s="333">
        <v>2</v>
      </c>
      <c r="C131" s="333">
        <v>2</v>
      </c>
      <c r="D131" s="333">
        <v>3</v>
      </c>
      <c r="E131" s="333">
        <v>2</v>
      </c>
      <c r="F131" s="333">
        <v>2</v>
      </c>
      <c r="G131" s="333">
        <v>2</v>
      </c>
      <c r="H131" s="333">
        <v>2</v>
      </c>
      <c r="I131" s="333">
        <v>2</v>
      </c>
      <c r="J131" s="333">
        <v>2</v>
      </c>
      <c r="K131" s="333">
        <v>2</v>
      </c>
      <c r="L131" s="333">
        <v>2</v>
      </c>
      <c r="M131" s="333">
        <v>2</v>
      </c>
      <c r="N131" s="333">
        <f t="shared" si="47"/>
        <v>25</v>
      </c>
      <c r="O131" s="512"/>
      <c r="P131" s="333">
        <f t="shared" si="48"/>
        <v>24</v>
      </c>
      <c r="Q131" s="333">
        <f t="shared" si="49"/>
        <v>-1</v>
      </c>
      <c r="R131" s="505">
        <f t="shared" si="50"/>
        <v>-0.04</v>
      </c>
      <c r="S131" s="512"/>
      <c r="T131" s="333"/>
    </row>
    <row r="132" spans="1:21">
      <c r="A132" s="517" t="s">
        <v>413</v>
      </c>
      <c r="B132" s="333">
        <v>68</v>
      </c>
      <c r="C132" s="333">
        <v>68</v>
      </c>
      <c r="D132" s="333">
        <v>68</v>
      </c>
      <c r="E132" s="333">
        <v>68</v>
      </c>
      <c r="F132" s="333">
        <v>68</v>
      </c>
      <c r="G132" s="333">
        <v>68</v>
      </c>
      <c r="H132" s="333">
        <v>68</v>
      </c>
      <c r="I132" s="333">
        <v>68</v>
      </c>
      <c r="J132" s="333">
        <v>68</v>
      </c>
      <c r="K132" s="333">
        <v>68</v>
      </c>
      <c r="L132" s="333">
        <v>68</v>
      </c>
      <c r="M132" s="333">
        <v>70</v>
      </c>
      <c r="N132" s="333">
        <f t="shared" si="47"/>
        <v>818</v>
      </c>
      <c r="O132" s="512"/>
      <c r="P132" s="333">
        <f t="shared" si="48"/>
        <v>840</v>
      </c>
      <c r="Q132" s="333">
        <f t="shared" si="49"/>
        <v>22</v>
      </c>
      <c r="R132" s="505">
        <f t="shared" si="50"/>
        <v>2.6894865525672371E-2</v>
      </c>
      <c r="S132" s="512"/>
      <c r="T132" s="333"/>
    </row>
    <row r="133" spans="1:21">
      <c r="A133" s="517" t="s">
        <v>414</v>
      </c>
      <c r="B133" s="333">
        <v>3</v>
      </c>
      <c r="C133" s="333">
        <v>3</v>
      </c>
      <c r="D133" s="333">
        <v>3</v>
      </c>
      <c r="E133" s="333">
        <v>3</v>
      </c>
      <c r="F133" s="333">
        <v>3</v>
      </c>
      <c r="G133" s="333">
        <v>3</v>
      </c>
      <c r="H133" s="333">
        <v>3</v>
      </c>
      <c r="I133" s="333">
        <v>3</v>
      </c>
      <c r="J133" s="333">
        <v>3</v>
      </c>
      <c r="K133" s="333">
        <v>4</v>
      </c>
      <c r="L133" s="333">
        <v>4</v>
      </c>
      <c r="M133" s="333">
        <v>4</v>
      </c>
      <c r="N133" s="333">
        <f t="shared" si="47"/>
        <v>39</v>
      </c>
      <c r="O133" s="512"/>
      <c r="P133" s="333">
        <f t="shared" si="48"/>
        <v>48</v>
      </c>
      <c r="Q133" s="333">
        <f t="shared" si="49"/>
        <v>9</v>
      </c>
      <c r="R133" s="505">
        <f t="shared" si="50"/>
        <v>0.23076923076923078</v>
      </c>
      <c r="S133" s="512"/>
      <c r="T133" s="333"/>
    </row>
    <row r="134" spans="1:21">
      <c r="A134" s="517" t="s">
        <v>415</v>
      </c>
      <c r="B134" s="333">
        <v>3</v>
      </c>
      <c r="C134" s="333">
        <v>3</v>
      </c>
      <c r="D134" s="333">
        <v>3</v>
      </c>
      <c r="E134" s="333">
        <v>3</v>
      </c>
      <c r="F134" s="333">
        <v>10</v>
      </c>
      <c r="G134" s="333">
        <v>10</v>
      </c>
      <c r="H134" s="333">
        <v>10</v>
      </c>
      <c r="I134" s="333">
        <v>10</v>
      </c>
      <c r="J134" s="333">
        <v>10</v>
      </c>
      <c r="K134" s="333">
        <v>10</v>
      </c>
      <c r="L134" s="333">
        <v>10</v>
      </c>
      <c r="M134" s="333">
        <v>10</v>
      </c>
      <c r="N134" s="333">
        <f t="shared" si="47"/>
        <v>92</v>
      </c>
      <c r="O134" s="512"/>
      <c r="P134" s="333">
        <f t="shared" si="48"/>
        <v>120</v>
      </c>
      <c r="Q134" s="333">
        <f t="shared" si="49"/>
        <v>28</v>
      </c>
      <c r="R134" s="505">
        <f t="shared" si="50"/>
        <v>0.30434782608695654</v>
      </c>
      <c r="S134" s="512"/>
      <c r="T134" s="333"/>
    </row>
    <row r="135" spans="1:21">
      <c r="A135" s="517" t="s">
        <v>416</v>
      </c>
      <c r="B135" s="333">
        <v>111</v>
      </c>
      <c r="C135" s="333">
        <v>111</v>
      </c>
      <c r="D135" s="333">
        <v>111</v>
      </c>
      <c r="E135" s="333">
        <v>111</v>
      </c>
      <c r="F135" s="333">
        <v>111</v>
      </c>
      <c r="G135" s="333">
        <v>109</v>
      </c>
      <c r="H135" s="333">
        <v>104</v>
      </c>
      <c r="I135" s="333">
        <v>104</v>
      </c>
      <c r="J135" s="333">
        <v>98</v>
      </c>
      <c r="K135" s="333">
        <v>98</v>
      </c>
      <c r="L135" s="333">
        <v>95</v>
      </c>
      <c r="M135" s="333">
        <v>77</v>
      </c>
      <c r="N135" s="333">
        <f t="shared" si="47"/>
        <v>1240</v>
      </c>
      <c r="O135" s="512"/>
      <c r="P135" s="333">
        <f t="shared" si="48"/>
        <v>924</v>
      </c>
      <c r="Q135" s="333">
        <f t="shared" si="49"/>
        <v>-316</v>
      </c>
      <c r="R135" s="505">
        <f t="shared" si="50"/>
        <v>-0.25483870967741934</v>
      </c>
      <c r="S135" s="512"/>
      <c r="T135" s="333"/>
    </row>
    <row r="136" spans="1:21">
      <c r="A136" s="517" t="s">
        <v>417</v>
      </c>
      <c r="B136" s="333">
        <v>11</v>
      </c>
      <c r="C136" s="333">
        <v>11</v>
      </c>
      <c r="D136" s="333">
        <v>11</v>
      </c>
      <c r="E136" s="333">
        <v>11</v>
      </c>
      <c r="F136" s="333">
        <v>11</v>
      </c>
      <c r="G136" s="333">
        <v>11</v>
      </c>
      <c r="H136" s="333">
        <v>12</v>
      </c>
      <c r="I136" s="333">
        <v>12</v>
      </c>
      <c r="J136" s="333">
        <v>12</v>
      </c>
      <c r="K136" s="333">
        <v>12</v>
      </c>
      <c r="L136" s="333">
        <v>12</v>
      </c>
      <c r="M136" s="333">
        <v>12</v>
      </c>
      <c r="N136" s="333">
        <f t="shared" si="47"/>
        <v>138</v>
      </c>
      <c r="O136" s="512"/>
      <c r="P136" s="333">
        <f t="shared" si="48"/>
        <v>144</v>
      </c>
      <c r="Q136" s="333">
        <f t="shared" si="49"/>
        <v>6</v>
      </c>
      <c r="R136" s="505">
        <f t="shared" si="50"/>
        <v>4.3478260869565216E-2</v>
      </c>
      <c r="S136" s="512"/>
      <c r="T136" s="333"/>
    </row>
    <row r="137" spans="1:21">
      <c r="A137" s="517" t="s">
        <v>597</v>
      </c>
      <c r="B137" s="333">
        <v>6554</v>
      </c>
      <c r="C137" s="333">
        <v>7026</v>
      </c>
      <c r="D137" s="333">
        <v>7491</v>
      </c>
      <c r="E137" s="333">
        <v>7925</v>
      </c>
      <c r="F137" s="333">
        <v>8318</v>
      </c>
      <c r="G137" s="333">
        <v>8984</v>
      </c>
      <c r="H137" s="333">
        <v>9582</v>
      </c>
      <c r="I137" s="333">
        <v>10072</v>
      </c>
      <c r="J137" s="333">
        <v>10931</v>
      </c>
      <c r="K137" s="333">
        <v>11708</v>
      </c>
      <c r="L137" s="333">
        <v>12247</v>
      </c>
      <c r="M137" s="333">
        <v>12775</v>
      </c>
      <c r="N137" s="333">
        <f t="shared" si="47"/>
        <v>113613</v>
      </c>
      <c r="O137" s="512"/>
      <c r="P137" s="333">
        <f t="shared" si="48"/>
        <v>153300</v>
      </c>
      <c r="Q137" s="333">
        <f t="shared" si="49"/>
        <v>39687</v>
      </c>
      <c r="R137" s="505">
        <f t="shared" si="50"/>
        <v>0.34931741966148239</v>
      </c>
      <c r="S137" s="512"/>
      <c r="T137" s="333"/>
    </row>
    <row r="138" spans="1:21">
      <c r="A138" s="517" t="s">
        <v>598</v>
      </c>
      <c r="B138" s="333">
        <v>0</v>
      </c>
      <c r="C138" s="333">
        <v>0</v>
      </c>
      <c r="D138" s="333">
        <v>0</v>
      </c>
      <c r="E138" s="333">
        <v>0</v>
      </c>
      <c r="F138" s="333">
        <v>0</v>
      </c>
      <c r="G138" s="333">
        <v>0</v>
      </c>
      <c r="H138" s="333">
        <v>0</v>
      </c>
      <c r="I138" s="333">
        <v>0</v>
      </c>
      <c r="J138" s="333">
        <v>0</v>
      </c>
      <c r="K138" s="333">
        <v>0</v>
      </c>
      <c r="L138" s="333">
        <v>2</v>
      </c>
      <c r="M138" s="333">
        <v>2</v>
      </c>
      <c r="N138" s="333">
        <f t="shared" si="47"/>
        <v>4</v>
      </c>
      <c r="O138" s="512"/>
      <c r="P138" s="333">
        <f t="shared" si="48"/>
        <v>24</v>
      </c>
      <c r="Q138" s="333">
        <f t="shared" si="49"/>
        <v>20</v>
      </c>
      <c r="R138" s="505">
        <f t="shared" si="50"/>
        <v>5</v>
      </c>
      <c r="S138" s="512"/>
      <c r="T138" s="333"/>
    </row>
    <row r="139" spans="1:21">
      <c r="A139" s="517" t="s">
        <v>599</v>
      </c>
      <c r="B139" s="333">
        <v>0</v>
      </c>
      <c r="C139" s="333">
        <v>0</v>
      </c>
      <c r="D139" s="333">
        <v>0</v>
      </c>
      <c r="E139" s="333">
        <v>1</v>
      </c>
      <c r="F139" s="333">
        <v>1</v>
      </c>
      <c r="G139" s="333">
        <v>1</v>
      </c>
      <c r="H139" s="333">
        <v>1</v>
      </c>
      <c r="I139" s="333">
        <v>1</v>
      </c>
      <c r="J139" s="333">
        <v>1</v>
      </c>
      <c r="K139" s="333">
        <v>1</v>
      </c>
      <c r="L139" s="333">
        <v>2</v>
      </c>
      <c r="M139" s="333">
        <v>5</v>
      </c>
      <c r="N139" s="333">
        <f t="shared" si="47"/>
        <v>14</v>
      </c>
      <c r="O139" s="512"/>
      <c r="P139" s="333">
        <f t="shared" si="48"/>
        <v>60</v>
      </c>
      <c r="Q139" s="333">
        <f t="shared" si="49"/>
        <v>46</v>
      </c>
      <c r="R139" s="505">
        <f t="shared" si="50"/>
        <v>3.2857142857142856</v>
      </c>
      <c r="S139" s="512"/>
      <c r="T139" s="333"/>
    </row>
    <row r="140" spans="1:21">
      <c r="A140" s="517" t="s">
        <v>600</v>
      </c>
      <c r="B140" s="333">
        <v>0</v>
      </c>
      <c r="C140" s="333">
        <v>0</v>
      </c>
      <c r="D140" s="333">
        <v>0</v>
      </c>
      <c r="E140" s="333">
        <v>0</v>
      </c>
      <c r="F140" s="333">
        <v>0</v>
      </c>
      <c r="G140" s="333">
        <v>0</v>
      </c>
      <c r="H140" s="333">
        <v>0</v>
      </c>
      <c r="I140" s="333">
        <v>0</v>
      </c>
      <c r="J140" s="333">
        <v>0</v>
      </c>
      <c r="K140" s="333">
        <v>0</v>
      </c>
      <c r="L140" s="333">
        <v>0</v>
      </c>
      <c r="M140" s="333">
        <v>3</v>
      </c>
      <c r="N140" s="333">
        <f t="shared" si="47"/>
        <v>3</v>
      </c>
      <c r="O140" s="512"/>
      <c r="P140" s="333">
        <f t="shared" si="48"/>
        <v>36</v>
      </c>
      <c r="Q140" s="333">
        <f t="shared" si="49"/>
        <v>33</v>
      </c>
      <c r="R140" s="505">
        <f t="shared" si="50"/>
        <v>11</v>
      </c>
      <c r="S140" s="512"/>
      <c r="T140" s="333"/>
      <c r="U140" s="197">
        <f>(Q137+Q138+Q139+Q140)/(N137+N138+N139+N140)</f>
        <v>0.35012408258091771</v>
      </c>
    </row>
    <row r="141" spans="1:21">
      <c r="A141" s="517" t="s">
        <v>601</v>
      </c>
      <c r="B141" s="333">
        <v>3</v>
      </c>
      <c r="C141" s="333">
        <v>6</v>
      </c>
      <c r="D141" s="333">
        <v>6</v>
      </c>
      <c r="E141" s="333">
        <v>6</v>
      </c>
      <c r="F141" s="333">
        <v>6</v>
      </c>
      <c r="G141" s="333">
        <v>6</v>
      </c>
      <c r="H141" s="333">
        <v>7</v>
      </c>
      <c r="I141" s="333">
        <v>7</v>
      </c>
      <c r="J141" s="333">
        <v>7</v>
      </c>
      <c r="K141" s="333">
        <v>7</v>
      </c>
      <c r="L141" s="333">
        <v>9</v>
      </c>
      <c r="M141" s="333">
        <v>10</v>
      </c>
      <c r="N141" s="333">
        <f t="shared" si="47"/>
        <v>80</v>
      </c>
      <c r="O141" s="512"/>
      <c r="P141" s="333">
        <f t="shared" si="48"/>
        <v>120</v>
      </c>
      <c r="Q141" s="333">
        <f t="shared" si="49"/>
        <v>40</v>
      </c>
      <c r="R141" s="505">
        <f t="shared" si="50"/>
        <v>0.5</v>
      </c>
      <c r="S141" s="512"/>
      <c r="T141" s="333"/>
    </row>
    <row r="142" spans="1:21">
      <c r="A142" s="517" t="s">
        <v>602</v>
      </c>
      <c r="B142" s="333">
        <v>9</v>
      </c>
      <c r="C142" s="333">
        <v>19</v>
      </c>
      <c r="D142" s="333">
        <v>22</v>
      </c>
      <c r="E142" s="333">
        <v>28</v>
      </c>
      <c r="F142" s="333">
        <v>31</v>
      </c>
      <c r="G142" s="333">
        <v>43</v>
      </c>
      <c r="H142" s="333">
        <v>46</v>
      </c>
      <c r="I142" s="333">
        <v>59</v>
      </c>
      <c r="J142" s="333">
        <v>75</v>
      </c>
      <c r="K142" s="333">
        <v>107</v>
      </c>
      <c r="L142" s="333">
        <v>154</v>
      </c>
      <c r="M142" s="333">
        <v>213</v>
      </c>
      <c r="N142" s="333">
        <f t="shared" si="47"/>
        <v>806</v>
      </c>
      <c r="O142" s="512"/>
      <c r="P142" s="333">
        <f t="shared" si="48"/>
        <v>2556</v>
      </c>
      <c r="Q142" s="333">
        <f t="shared" si="49"/>
        <v>1750</v>
      </c>
      <c r="R142" s="505">
        <f t="shared" si="50"/>
        <v>2.1712158808933002</v>
      </c>
      <c r="S142" s="512"/>
      <c r="T142" s="333"/>
    </row>
    <row r="143" spans="1:21">
      <c r="A143" s="517" t="s">
        <v>603</v>
      </c>
      <c r="B143" s="333">
        <v>0</v>
      </c>
      <c r="C143" s="333">
        <v>0</v>
      </c>
      <c r="D143" s="333">
        <v>2</v>
      </c>
      <c r="E143" s="333">
        <v>3</v>
      </c>
      <c r="F143" s="333">
        <v>19</v>
      </c>
      <c r="G143" s="333">
        <v>38</v>
      </c>
      <c r="H143" s="333">
        <v>44</v>
      </c>
      <c r="I143" s="333">
        <v>49</v>
      </c>
      <c r="J143" s="333">
        <v>52</v>
      </c>
      <c r="K143" s="333">
        <v>61</v>
      </c>
      <c r="L143" s="333">
        <v>65</v>
      </c>
      <c r="M143" s="333">
        <v>82</v>
      </c>
      <c r="N143" s="333">
        <f t="shared" si="47"/>
        <v>415</v>
      </c>
      <c r="O143" s="512"/>
      <c r="P143" s="333">
        <f t="shared" si="48"/>
        <v>984</v>
      </c>
      <c r="Q143" s="333">
        <f t="shared" si="49"/>
        <v>569</v>
      </c>
      <c r="R143" s="505">
        <f t="shared" si="50"/>
        <v>1.3710843373493975</v>
      </c>
      <c r="S143" s="512"/>
      <c r="T143" s="333"/>
    </row>
    <row r="144" spans="1:21">
      <c r="A144" s="517" t="s">
        <v>604</v>
      </c>
      <c r="B144" s="333">
        <v>0</v>
      </c>
      <c r="C144" s="333">
        <v>0</v>
      </c>
      <c r="D144" s="333">
        <v>0</v>
      </c>
      <c r="E144" s="333">
        <v>0</v>
      </c>
      <c r="F144" s="333">
        <v>0</v>
      </c>
      <c r="G144" s="333">
        <v>0</v>
      </c>
      <c r="H144" s="333">
        <v>0</v>
      </c>
      <c r="I144" s="333">
        <v>0</v>
      </c>
      <c r="J144" s="333">
        <v>0</v>
      </c>
      <c r="K144" s="333">
        <v>0</v>
      </c>
      <c r="L144" s="333">
        <v>0</v>
      </c>
      <c r="M144" s="333">
        <v>0</v>
      </c>
      <c r="N144" s="333">
        <f t="shared" si="47"/>
        <v>0</v>
      </c>
      <c r="O144" s="512"/>
      <c r="P144" s="333">
        <f t="shared" si="48"/>
        <v>0</v>
      </c>
      <c r="Q144" s="333">
        <f t="shared" si="49"/>
        <v>0</v>
      </c>
      <c r="R144" s="505" t="e">
        <f t="shared" si="50"/>
        <v>#DIV/0!</v>
      </c>
      <c r="S144" s="512"/>
      <c r="T144" s="333"/>
    </row>
    <row r="145" spans="1:20">
      <c r="A145" s="518" t="s">
        <v>605</v>
      </c>
      <c r="B145" s="334">
        <v>-7</v>
      </c>
      <c r="C145" s="334">
        <v>0</v>
      </c>
      <c r="D145" s="334">
        <v>0</v>
      </c>
      <c r="E145" s="334">
        <v>0</v>
      </c>
      <c r="F145" s="334">
        <v>0</v>
      </c>
      <c r="G145" s="334">
        <v>0</v>
      </c>
      <c r="H145" s="334">
        <v>0</v>
      </c>
      <c r="I145" s="334">
        <v>0</v>
      </c>
      <c r="J145" s="334">
        <v>0</v>
      </c>
      <c r="K145" s="334">
        <v>0</v>
      </c>
      <c r="L145" s="334">
        <v>0</v>
      </c>
      <c r="M145" s="334">
        <v>0</v>
      </c>
      <c r="N145" s="334">
        <f t="shared" si="47"/>
        <v>-7</v>
      </c>
      <c r="O145" s="512"/>
      <c r="P145" s="334">
        <f t="shared" si="48"/>
        <v>0</v>
      </c>
      <c r="Q145" s="334">
        <f t="shared" si="49"/>
        <v>7</v>
      </c>
      <c r="R145" s="519">
        <f t="shared" si="50"/>
        <v>-1</v>
      </c>
      <c r="S145" s="512"/>
      <c r="T145" s="334"/>
    </row>
    <row r="146" spans="1:20">
      <c r="A146" s="517" t="s">
        <v>35</v>
      </c>
      <c r="B146" s="333">
        <f t="shared" ref="B146:P146" si="51">SUM(B118:B145)</f>
        <v>55185</v>
      </c>
      <c r="C146" s="333">
        <f t="shared" si="51"/>
        <v>55016</v>
      </c>
      <c r="D146" s="333">
        <f t="shared" si="51"/>
        <v>55003</v>
      </c>
      <c r="E146" s="333">
        <f t="shared" si="51"/>
        <v>54901</v>
      </c>
      <c r="F146" s="333">
        <f t="shared" si="51"/>
        <v>54655</v>
      </c>
      <c r="G146" s="333">
        <f t="shared" si="51"/>
        <v>54786</v>
      </c>
      <c r="H146" s="333">
        <f t="shared" si="51"/>
        <v>54463</v>
      </c>
      <c r="I146" s="333">
        <f t="shared" si="51"/>
        <v>54593</v>
      </c>
      <c r="J146" s="333">
        <f t="shared" si="51"/>
        <v>54966</v>
      </c>
      <c r="K146" s="333">
        <f t="shared" si="51"/>
        <v>54615</v>
      </c>
      <c r="L146" s="333">
        <f t="shared" si="51"/>
        <v>54519</v>
      </c>
      <c r="M146" s="333">
        <f t="shared" si="51"/>
        <v>54557</v>
      </c>
      <c r="N146" s="333">
        <f t="shared" si="51"/>
        <v>657259</v>
      </c>
      <c r="O146" s="512">
        <f t="shared" si="51"/>
        <v>0</v>
      </c>
      <c r="P146" s="333">
        <f t="shared" si="51"/>
        <v>654684</v>
      </c>
      <c r="Q146" s="333">
        <f>SUM(Q118:Q145)</f>
        <v>-2575</v>
      </c>
      <c r="R146" s="505">
        <f>Q146/N146</f>
        <v>-3.9177858348078912E-3</v>
      </c>
      <c r="S146" s="512"/>
      <c r="T146" s="333">
        <f ca="1">INDIRECT("'"&amp;A146&amp;"'!O53")</f>
        <v>0</v>
      </c>
    </row>
    <row r="147" spans="1:20">
      <c r="A147" s="517"/>
      <c r="B147" s="333"/>
      <c r="C147" s="333"/>
      <c r="D147" s="333"/>
      <c r="E147" s="333"/>
      <c r="F147" s="333"/>
      <c r="G147" s="333"/>
      <c r="H147" s="333"/>
      <c r="I147" s="333"/>
      <c r="J147" s="333"/>
      <c r="K147" s="333"/>
      <c r="L147" s="333"/>
      <c r="M147" s="333"/>
      <c r="N147" s="333"/>
      <c r="O147" s="512"/>
      <c r="P147" s="333"/>
      <c r="Q147" s="333"/>
      <c r="S147" s="512"/>
      <c r="T147" s="333"/>
    </row>
    <row r="148" spans="1:20">
      <c r="A148" s="518" t="s">
        <v>455</v>
      </c>
      <c r="B148" s="334">
        <v>12003</v>
      </c>
      <c r="C148" s="334">
        <v>12026</v>
      </c>
      <c r="D148" s="334">
        <v>12029</v>
      </c>
      <c r="E148" s="334">
        <v>12018</v>
      </c>
      <c r="F148" s="334">
        <v>12029</v>
      </c>
      <c r="G148" s="334">
        <v>11974</v>
      </c>
      <c r="H148" s="334">
        <v>11977</v>
      </c>
      <c r="I148" s="334">
        <v>12140</v>
      </c>
      <c r="J148" s="334">
        <v>12044</v>
      </c>
      <c r="K148" s="334">
        <v>12034</v>
      </c>
      <c r="L148" s="334">
        <v>12038</v>
      </c>
      <c r="M148" s="334">
        <v>12039</v>
      </c>
      <c r="N148" s="334">
        <f>SUM(B148:M148)</f>
        <v>144351</v>
      </c>
      <c r="O148" s="512"/>
      <c r="P148" s="334">
        <f>M148*12</f>
        <v>144468</v>
      </c>
      <c r="Q148" s="334">
        <f>P148-N148</f>
        <v>117</v>
      </c>
      <c r="R148" s="519">
        <f>Q148/N148</f>
        <v>8.1052434690442052E-4</v>
      </c>
      <c r="S148" s="512"/>
      <c r="T148" s="334"/>
    </row>
    <row r="149" spans="1:20">
      <c r="A149" s="517" t="s">
        <v>36</v>
      </c>
      <c r="B149" s="333">
        <f t="shared" ref="B149:Q149" si="52">SUM(B148)</f>
        <v>12003</v>
      </c>
      <c r="C149" s="333">
        <f t="shared" si="52"/>
        <v>12026</v>
      </c>
      <c r="D149" s="333">
        <f t="shared" si="52"/>
        <v>12029</v>
      </c>
      <c r="E149" s="333">
        <f t="shared" si="52"/>
        <v>12018</v>
      </c>
      <c r="F149" s="333">
        <f t="shared" si="52"/>
        <v>12029</v>
      </c>
      <c r="G149" s="333">
        <f t="shared" si="52"/>
        <v>11974</v>
      </c>
      <c r="H149" s="333">
        <f t="shared" si="52"/>
        <v>11977</v>
      </c>
      <c r="I149" s="333">
        <f t="shared" si="52"/>
        <v>12140</v>
      </c>
      <c r="J149" s="333">
        <f t="shared" si="52"/>
        <v>12044</v>
      </c>
      <c r="K149" s="333">
        <f t="shared" si="52"/>
        <v>12034</v>
      </c>
      <c r="L149" s="333">
        <f t="shared" si="52"/>
        <v>12038</v>
      </c>
      <c r="M149" s="333">
        <f t="shared" si="52"/>
        <v>12039</v>
      </c>
      <c r="N149" s="333">
        <f t="shared" si="52"/>
        <v>144351</v>
      </c>
      <c r="O149" s="512">
        <f t="shared" si="52"/>
        <v>0</v>
      </c>
      <c r="P149" s="333">
        <f t="shared" si="52"/>
        <v>144468</v>
      </c>
      <c r="Q149" s="333">
        <f t="shared" si="52"/>
        <v>117</v>
      </c>
      <c r="R149" s="505">
        <f>Q149/N149</f>
        <v>8.1052434690442052E-4</v>
      </c>
      <c r="S149" s="512"/>
      <c r="T149" s="333">
        <f ca="1">INDIRECT("'"&amp;A149&amp;"'!O53")</f>
        <v>0</v>
      </c>
    </row>
    <row r="150" spans="1:20">
      <c r="A150" s="517"/>
      <c r="B150" s="333"/>
      <c r="C150" s="333"/>
      <c r="D150" s="333"/>
      <c r="E150" s="333"/>
      <c r="F150" s="333"/>
      <c r="G150" s="333"/>
      <c r="H150" s="333"/>
      <c r="I150" s="333"/>
      <c r="J150" s="333"/>
      <c r="K150" s="333"/>
      <c r="L150" s="333"/>
      <c r="M150" s="333"/>
      <c r="N150" s="333"/>
      <c r="O150" s="512"/>
      <c r="P150" s="333"/>
      <c r="Q150" s="333"/>
      <c r="S150" s="512"/>
      <c r="T150" s="333"/>
    </row>
    <row r="151" spans="1:20">
      <c r="A151" s="518" t="s">
        <v>456</v>
      </c>
      <c r="B151" s="334">
        <v>9</v>
      </c>
      <c r="C151" s="334">
        <v>9</v>
      </c>
      <c r="D151" s="334">
        <v>9</v>
      </c>
      <c r="E151" s="334">
        <v>9</v>
      </c>
      <c r="F151" s="334">
        <v>9</v>
      </c>
      <c r="G151" s="334">
        <v>9</v>
      </c>
      <c r="H151" s="334">
        <v>9</v>
      </c>
      <c r="I151" s="334">
        <v>8</v>
      </c>
      <c r="J151" s="334">
        <v>8</v>
      </c>
      <c r="K151" s="334">
        <v>8</v>
      </c>
      <c r="L151" s="334">
        <v>8</v>
      </c>
      <c r="M151" s="334">
        <v>8</v>
      </c>
      <c r="N151" s="334">
        <f>SUM(B151:M151)</f>
        <v>103</v>
      </c>
      <c r="O151" s="512"/>
      <c r="P151" s="334">
        <f>M151*12</f>
        <v>96</v>
      </c>
      <c r="Q151" s="334">
        <f>P151-N151</f>
        <v>-7</v>
      </c>
      <c r="R151" s="519">
        <f>Q151/N151</f>
        <v>-6.7961165048543687E-2</v>
      </c>
      <c r="S151" s="512"/>
      <c r="T151" s="334"/>
    </row>
    <row r="152" spans="1:20">
      <c r="A152" s="517" t="s">
        <v>34</v>
      </c>
      <c r="B152" s="333">
        <f t="shared" ref="B152:Q152" si="53">SUM(B151)</f>
        <v>9</v>
      </c>
      <c r="C152" s="333">
        <f t="shared" si="53"/>
        <v>9</v>
      </c>
      <c r="D152" s="333">
        <f t="shared" si="53"/>
        <v>9</v>
      </c>
      <c r="E152" s="333">
        <f t="shared" si="53"/>
        <v>9</v>
      </c>
      <c r="F152" s="333">
        <f t="shared" si="53"/>
        <v>9</v>
      </c>
      <c r="G152" s="333">
        <f t="shared" si="53"/>
        <v>9</v>
      </c>
      <c r="H152" s="333">
        <f t="shared" si="53"/>
        <v>9</v>
      </c>
      <c r="I152" s="333">
        <f t="shared" si="53"/>
        <v>8</v>
      </c>
      <c r="J152" s="333">
        <f t="shared" si="53"/>
        <v>8</v>
      </c>
      <c r="K152" s="333">
        <f t="shared" si="53"/>
        <v>8</v>
      </c>
      <c r="L152" s="333">
        <f t="shared" si="53"/>
        <v>8</v>
      </c>
      <c r="M152" s="333">
        <f t="shared" si="53"/>
        <v>8</v>
      </c>
      <c r="N152" s="333">
        <f t="shared" si="53"/>
        <v>103</v>
      </c>
      <c r="O152" s="512">
        <f t="shared" si="53"/>
        <v>0</v>
      </c>
      <c r="P152" s="333">
        <f t="shared" si="53"/>
        <v>96</v>
      </c>
      <c r="Q152" s="333">
        <f t="shared" si="53"/>
        <v>-7</v>
      </c>
      <c r="R152" s="505">
        <f>Q152/N152</f>
        <v>-6.7961165048543687E-2</v>
      </c>
      <c r="S152" s="512"/>
      <c r="T152" s="333">
        <f ca="1">INDIRECT("'"&amp;A152&amp;"'!O53")</f>
        <v>-12732.135126213592</v>
      </c>
    </row>
    <row r="153" spans="1:20">
      <c r="A153" s="525"/>
      <c r="B153" s="474"/>
      <c r="C153" s="474"/>
      <c r="D153" s="474"/>
      <c r="E153" s="474"/>
      <c r="F153" s="474"/>
      <c r="G153" s="474"/>
      <c r="H153" s="474"/>
      <c r="I153" s="474"/>
      <c r="J153" s="474"/>
      <c r="K153" s="474"/>
      <c r="L153" s="474"/>
      <c r="M153" s="474"/>
      <c r="N153" s="474"/>
      <c r="O153" s="526"/>
      <c r="P153" s="474"/>
      <c r="Q153" s="474"/>
      <c r="S153" s="526"/>
      <c r="T153" s="474"/>
    </row>
    <row r="154" spans="1:20">
      <c r="A154" s="525"/>
      <c r="B154" s="474"/>
      <c r="C154" s="474"/>
      <c r="D154" s="474"/>
      <c r="E154" s="474"/>
      <c r="F154" s="474"/>
      <c r="G154" s="474"/>
      <c r="H154" s="474"/>
      <c r="I154" s="474"/>
      <c r="J154" s="474"/>
      <c r="K154" s="474"/>
      <c r="L154" s="474"/>
      <c r="M154" s="474"/>
      <c r="N154" s="474"/>
      <c r="O154" s="526"/>
      <c r="P154" s="474"/>
      <c r="Q154" s="474"/>
      <c r="S154" s="526"/>
      <c r="T154" s="474"/>
    </row>
    <row r="155" spans="1:20" ht="12" thickBot="1">
      <c r="A155" s="527" t="s">
        <v>479</v>
      </c>
      <c r="B155" s="528">
        <f t="shared" ref="B155:Q155" si="54">B29+B62+B87+B95+B116+B152</f>
        <v>164784</v>
      </c>
      <c r="C155" s="528">
        <f t="shared" si="54"/>
        <v>164567</v>
      </c>
      <c r="D155" s="528">
        <f t="shared" si="54"/>
        <v>164299</v>
      </c>
      <c r="E155" s="528">
        <f t="shared" si="54"/>
        <v>164177</v>
      </c>
      <c r="F155" s="528">
        <f t="shared" si="54"/>
        <v>163849</v>
      </c>
      <c r="G155" s="528">
        <f t="shared" si="54"/>
        <v>163249</v>
      </c>
      <c r="H155" s="528">
        <f t="shared" si="54"/>
        <v>163078</v>
      </c>
      <c r="I155" s="528">
        <f t="shared" si="54"/>
        <v>163111</v>
      </c>
      <c r="J155" s="528">
        <f t="shared" si="54"/>
        <v>163189</v>
      </c>
      <c r="K155" s="528">
        <f t="shared" si="54"/>
        <v>163053</v>
      </c>
      <c r="L155" s="528">
        <f t="shared" si="54"/>
        <v>162572</v>
      </c>
      <c r="M155" s="528">
        <f t="shared" si="54"/>
        <v>163363</v>
      </c>
      <c r="N155" s="528">
        <f>N29+N62+N87+N95+N116+N152</f>
        <v>1963291</v>
      </c>
      <c r="O155" s="529">
        <f t="shared" si="54"/>
        <v>0</v>
      </c>
      <c r="P155" s="528">
        <f t="shared" si="54"/>
        <v>1960356</v>
      </c>
      <c r="Q155" s="528">
        <f t="shared" si="54"/>
        <v>-2935</v>
      </c>
      <c r="R155" s="530">
        <f>Q155/N155</f>
        <v>-1.4949388552181007E-3</v>
      </c>
      <c r="S155" s="529"/>
      <c r="T155" s="528">
        <f ca="1">T29+T62+T87+T95+T116+T152</f>
        <v>2382440.1691654413</v>
      </c>
    </row>
    <row r="156" spans="1:20" ht="12" thickTop="1">
      <c r="P156" s="475"/>
    </row>
    <row r="157" spans="1:20">
      <c r="N157" s="475">
        <f>N155/12</f>
        <v>163607.58333333334</v>
      </c>
      <c r="P157" s="475">
        <f t="shared" ref="P157" si="55">P155/12</f>
        <v>163363</v>
      </c>
    </row>
    <row r="158" spans="1:20">
      <c r="N158" s="489">
        <f>N155+N149+N146</f>
        <v>2764901</v>
      </c>
    </row>
    <row r="159" spans="1:20">
      <c r="N159" s="475">
        <f>N158/12</f>
        <v>230408.41666666666</v>
      </c>
    </row>
  </sheetData>
  <phoneticPr fontId="0" type="noConversion"/>
  <pageMargins left="0.75" right="0.75" top="0.75" bottom="0.75" header="0.5" footer="0.5"/>
  <pageSetup scale="59" fitToHeight="0" orientation="landscape" r:id="rId1"/>
  <headerFooter alignWithMargins="0"/>
  <rowBreaks count="1" manualBreakCount="1">
    <brk id="56" max="1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1"/>
  <sheetViews>
    <sheetView zoomScale="85" zoomScaleNormal="85" workbookViewId="0">
      <pane xSplit="1" ySplit="11" topLeftCell="B12" activePane="bottomRight" state="frozen"/>
      <selection pane="topRight" activeCell="B1" sqref="B1"/>
      <selection pane="bottomLeft" activeCell="A6" sqref="A6"/>
      <selection pane="bottomRight" activeCell="E75" sqref="E75"/>
    </sheetView>
  </sheetViews>
  <sheetFormatPr defaultColWidth="8.7109375" defaultRowHeight="12.75"/>
  <cols>
    <col min="1" max="1" width="21.5703125" style="28" bestFit="1" customWidth="1"/>
    <col min="2" max="2" width="15" style="28" bestFit="1" customWidth="1"/>
    <col min="3" max="3" width="9.28515625" style="28" bestFit="1" customWidth="1"/>
    <col min="4" max="4" width="15" style="28" bestFit="1" customWidth="1"/>
    <col min="5" max="5" width="15" style="28" customWidth="1"/>
    <col min="6" max="6" width="16.7109375" style="28" customWidth="1"/>
    <col min="7" max="9" width="8.7109375" style="28"/>
    <col min="10" max="10" width="13.5703125" style="28" bestFit="1" customWidth="1"/>
    <col min="11" max="16384" width="8.7109375" style="28"/>
  </cols>
  <sheetData>
    <row r="1" spans="1:7">
      <c r="A1" s="28" t="str">
        <f>+RS!B2</f>
        <v>KENTUCKY POWER BILLING ANALYSIS</v>
      </c>
    </row>
    <row r="2" spans="1:7">
      <c r="A2" s="28" t="str">
        <f>+RS!B3</f>
        <v>PER BOOKS</v>
      </c>
    </row>
    <row r="3" spans="1:7">
      <c r="A3" s="28" t="str">
        <f>+RS!B4</f>
        <v>TEST YEAR ENDED MARCH 31, 2023</v>
      </c>
    </row>
    <row r="5" spans="1:7">
      <c r="A5" s="28" t="s">
        <v>304</v>
      </c>
      <c r="F5" s="35" t="s">
        <v>305</v>
      </c>
    </row>
    <row r="6" spans="1:7">
      <c r="B6" s="462"/>
      <c r="E6" s="35" t="s">
        <v>17</v>
      </c>
      <c r="F6" s="35" t="s">
        <v>17</v>
      </c>
    </row>
    <row r="7" spans="1:7">
      <c r="B7" s="35" t="s">
        <v>108</v>
      </c>
      <c r="D7" s="35" t="s">
        <v>299</v>
      </c>
      <c r="E7" s="35" t="s">
        <v>301</v>
      </c>
      <c r="F7" s="35" t="s">
        <v>301</v>
      </c>
    </row>
    <row r="8" spans="1:7">
      <c r="B8" s="35" t="s">
        <v>141</v>
      </c>
      <c r="D8" s="35" t="s">
        <v>300</v>
      </c>
      <c r="E8" s="35" t="s">
        <v>302</v>
      </c>
      <c r="F8" s="35" t="s">
        <v>302</v>
      </c>
    </row>
    <row r="9" spans="1:7">
      <c r="B9" s="97" t="s">
        <v>6</v>
      </c>
      <c r="D9" s="97"/>
      <c r="E9" s="97" t="s">
        <v>303</v>
      </c>
      <c r="F9" s="97" t="s">
        <v>303</v>
      </c>
    </row>
    <row r="10" spans="1:7">
      <c r="B10" s="98" t="s">
        <v>7</v>
      </c>
      <c r="D10" s="98" t="s">
        <v>8</v>
      </c>
      <c r="E10" s="98" t="s">
        <v>315</v>
      </c>
      <c r="F10" s="98" t="s">
        <v>124</v>
      </c>
    </row>
    <row r="11" spans="1:7">
      <c r="B11" s="110"/>
      <c r="C11" s="28" t="s">
        <v>298</v>
      </c>
      <c r="G11" s="28" t="s">
        <v>298</v>
      </c>
    </row>
    <row r="12" spans="1:7">
      <c r="A12" s="83" t="s">
        <v>224</v>
      </c>
      <c r="B12" s="463">
        <f>VLOOKUP(A12,'B&amp;A Surcharges'!A:J,10,FALSE)</f>
        <v>14051154.719999999</v>
      </c>
      <c r="C12" s="464">
        <f>B12/$B$66</f>
        <v>0.49199227763894654</v>
      </c>
      <c r="F12" s="465">
        <f>B12/$B$66*$E$66</f>
        <v>-9055052.5186105724</v>
      </c>
      <c r="G12" s="464">
        <f>F12/$F$66</f>
        <v>0.49199227763894637</v>
      </c>
    </row>
    <row r="13" spans="1:7">
      <c r="B13" s="110"/>
      <c r="C13" s="466"/>
    </row>
    <row r="14" spans="1:7">
      <c r="A14" s="83" t="s">
        <v>225</v>
      </c>
      <c r="B14" s="463">
        <f>VLOOKUP(A14,'B&amp;A Surcharges'!A:J,10,FALSE)</f>
        <v>20407.409999999996</v>
      </c>
      <c r="C14" s="464">
        <f>B14/$B$66</f>
        <v>7.1455252800830399E-4</v>
      </c>
      <c r="F14" s="465">
        <f>B14/$B$66*$E$66</f>
        <v>-13151.244363980541</v>
      </c>
      <c r="G14" s="464">
        <f t="shared" ref="G14" si="0">F14/$F$66</f>
        <v>7.1455252800830388E-4</v>
      </c>
    </row>
    <row r="15" spans="1:7">
      <c r="B15" s="110"/>
      <c r="C15" s="466"/>
    </row>
    <row r="16" spans="1:7">
      <c r="A16" s="83" t="s">
        <v>226</v>
      </c>
      <c r="B16" s="463">
        <f>VLOOKUP(A16,'B&amp;A Surcharges'!A:J,10,FALSE)</f>
        <v>769.1099999999999</v>
      </c>
      <c r="C16" s="464">
        <f t="shared" ref="C16" si="1">B16/$B$66</f>
        <v>2.6929899228587394E-5</v>
      </c>
      <c r="F16" s="465">
        <f>B16/$B$66*$E$66</f>
        <v>-495.64121820363653</v>
      </c>
      <c r="G16" s="464">
        <f t="shared" ref="G16" si="2">F16/$F$66</f>
        <v>2.6929899228587391E-5</v>
      </c>
    </row>
    <row r="17" spans="1:7">
      <c r="B17" s="110"/>
      <c r="C17" s="464"/>
    </row>
    <row r="18" spans="1:7">
      <c r="A18" s="83" t="s">
        <v>35</v>
      </c>
      <c r="B18" s="463">
        <f>VLOOKUP(A18,'B&amp;A Surcharges'!A:J,10,FALSE)</f>
        <v>544659.37</v>
      </c>
      <c r="C18" s="464">
        <f t="shared" ref="C18" si="3">B18/$B$66</f>
        <v>1.9070902664125935E-2</v>
      </c>
      <c r="F18" s="465">
        <f>B18/$B$66*$E$66</f>
        <v>-350997.43034523702</v>
      </c>
      <c r="G18" s="464">
        <f t="shared" ref="G18" si="4">F18/$F$66</f>
        <v>1.9070902664125932E-2</v>
      </c>
    </row>
    <row r="19" spans="1:7">
      <c r="B19" s="110"/>
      <c r="C19" s="464"/>
    </row>
    <row r="20" spans="1:7">
      <c r="A20" s="83" t="s">
        <v>365</v>
      </c>
      <c r="B20" s="463">
        <f>VLOOKUP(A20,'B&amp;A Surcharges'!A:J,10,FALSE)</f>
        <v>40224.14</v>
      </c>
      <c r="C20" s="464">
        <f t="shared" ref="C20" si="5">B20/$B$66</f>
        <v>1.408422770158484E-3</v>
      </c>
      <c r="F20" s="465">
        <f>B20/$B$66*$E$66</f>
        <v>-25921.83400397034</v>
      </c>
      <c r="G20" s="464">
        <f t="shared" ref="G20" si="6">F20/$F$66</f>
        <v>1.4084227701584837E-3</v>
      </c>
    </row>
    <row r="21" spans="1:7">
      <c r="B21" s="110"/>
      <c r="C21" s="464"/>
    </row>
    <row r="22" spans="1:7">
      <c r="A22" s="83" t="s">
        <v>366</v>
      </c>
      <c r="B22" s="463">
        <f>VLOOKUP(A22,'B&amp;A Surcharges'!A:J,10,FALSE)</f>
        <v>4956793.0999999996</v>
      </c>
      <c r="C22" s="464">
        <f t="shared" ref="C22" si="7">B22/$B$66</f>
        <v>0.17355896904208415</v>
      </c>
      <c r="F22" s="465">
        <f>B22/$B$66*$E$66</f>
        <v>-3194329.7713817013</v>
      </c>
      <c r="G22" s="464">
        <f t="shared" ref="G22" si="8">F22/$F$66</f>
        <v>0.17355896904208412</v>
      </c>
    </row>
    <row r="23" spans="1:7">
      <c r="B23" s="110"/>
      <c r="C23" s="464"/>
    </row>
    <row r="24" spans="1:7">
      <c r="A24" s="83" t="s">
        <v>367</v>
      </c>
      <c r="B24" s="463">
        <f>VLOOKUP(A24,'B&amp;A Surcharges'!A:J,10,FALSE)</f>
        <v>10738.039999999999</v>
      </c>
      <c r="C24" s="464">
        <f t="shared" ref="C24" si="9">B24/$B$66</f>
        <v>3.7598566539576991E-4</v>
      </c>
      <c r="F24" s="465">
        <f>B24/$B$66*$E$66</f>
        <v>-6919.9662294332111</v>
      </c>
      <c r="G24" s="464">
        <f t="shared" ref="G24" si="10">F24/$F$66</f>
        <v>3.759856653957698E-4</v>
      </c>
    </row>
    <row r="25" spans="1:7">
      <c r="B25" s="110"/>
      <c r="C25" s="464"/>
    </row>
    <row r="26" spans="1:7">
      <c r="A26" s="83" t="s">
        <v>368</v>
      </c>
      <c r="B26" s="463">
        <f>VLOOKUP(A26,'B&amp;A Surcharges'!A:J,10,FALSE)</f>
        <v>59853.53</v>
      </c>
      <c r="C26" s="464">
        <f t="shared" ref="C26" si="11">B26/$B$66</f>
        <v>2.0957334209348892E-3</v>
      </c>
      <c r="F26" s="465">
        <f>B26/$B$66*$E$66</f>
        <v>-38571.695236036336</v>
      </c>
      <c r="G26" s="464">
        <f t="shared" ref="G26" si="12">F26/$F$66</f>
        <v>2.0957334209348887E-3</v>
      </c>
    </row>
    <row r="27" spans="1:7">
      <c r="B27" s="110"/>
      <c r="C27" s="464"/>
    </row>
    <row r="28" spans="1:7">
      <c r="A28" s="83" t="s">
        <v>369</v>
      </c>
      <c r="B28" s="463">
        <f>VLOOKUP(A28,'B&amp;A Surcharges'!A:J,10,FALSE)</f>
        <v>12637.22</v>
      </c>
      <c r="C28" s="464">
        <f t="shared" ref="C28" si="13">B28/$B$66</f>
        <v>4.4248424949550682E-4</v>
      </c>
      <c r="F28" s="465">
        <f>B28/$B$66*$E$66</f>
        <v>-8143.8638367819431</v>
      </c>
      <c r="G28" s="464">
        <f t="shared" ref="G28" si="14">F28/$F$66</f>
        <v>4.4248424949550671E-4</v>
      </c>
    </row>
    <row r="29" spans="1:7">
      <c r="B29" s="110"/>
      <c r="C29" s="464"/>
    </row>
    <row r="30" spans="1:7">
      <c r="A30" s="83" t="s">
        <v>202</v>
      </c>
      <c r="B30" s="463">
        <f>VLOOKUP(A30,'B&amp;A Surcharges'!A:J,10,FALSE)</f>
        <v>75056.05</v>
      </c>
      <c r="C30" s="464">
        <f t="shared" ref="C30" si="15">B30/$B$66</f>
        <v>2.6280400241783584E-3</v>
      </c>
      <c r="F30" s="465">
        <f>B30/$B$66*$E$66</f>
        <v>-48368.727562446278</v>
      </c>
      <c r="G30" s="464">
        <f t="shared" ref="G30" si="16">F30/$F$66</f>
        <v>2.628040024178358E-3</v>
      </c>
    </row>
    <row r="31" spans="1:7">
      <c r="B31" s="110"/>
      <c r="C31" s="464"/>
    </row>
    <row r="32" spans="1:7">
      <c r="A32" s="83" t="s">
        <v>370</v>
      </c>
      <c r="B32" s="463">
        <f>VLOOKUP(A32,'B&amp;A Surcharges'!A:J,10,FALSE)</f>
        <v>59331.409999999996</v>
      </c>
      <c r="C32" s="464">
        <f t="shared" ref="C32" si="17">B32/$B$66</f>
        <v>2.0774517200270477E-3</v>
      </c>
      <c r="F32" s="465">
        <f>B32/$B$66*$E$66</f>
        <v>-38235.222959185841</v>
      </c>
      <c r="G32" s="464">
        <f t="shared" ref="G32" si="18">F32/$F$66</f>
        <v>2.0774517200270472E-3</v>
      </c>
    </row>
    <row r="33" spans="1:7">
      <c r="B33" s="110"/>
      <c r="C33" s="464"/>
    </row>
    <row r="34" spans="1:7">
      <c r="A34" s="83" t="s">
        <v>371</v>
      </c>
      <c r="B34" s="463">
        <f>VLOOKUP(A34,'B&amp;A Surcharges'!A:J,10,FALSE)</f>
        <v>3284.9599999999996</v>
      </c>
      <c r="C34" s="464">
        <f t="shared" ref="C34" si="19">B34/$B$66</f>
        <v>1.1502079256535535E-4</v>
      </c>
      <c r="F34" s="465">
        <f>B34/$B$66*$E$66</f>
        <v>-2116.9424089534891</v>
      </c>
      <c r="G34" s="464">
        <f t="shared" ref="G34" si="20">F34/$F$66</f>
        <v>1.1502079256535534E-4</v>
      </c>
    </row>
    <row r="35" spans="1:7">
      <c r="B35" s="110"/>
      <c r="C35" s="464"/>
    </row>
    <row r="36" spans="1:7">
      <c r="A36" s="83" t="s">
        <v>372</v>
      </c>
      <c r="B36" s="463">
        <f>VLOOKUP(A36,'B&amp;A Surcharges'!A:J,10,FALSE)</f>
        <v>1941340.2</v>
      </c>
      <c r="C36" s="464">
        <f t="shared" ref="C36" si="21">B36/$B$66</f>
        <v>6.7974796783822483E-2</v>
      </c>
      <c r="F36" s="465">
        <f>B36/$B$66*$E$66</f>
        <v>-1251067.1057139961</v>
      </c>
      <c r="G36" s="464">
        <f t="shared" ref="G36" si="22">F36/$F$66</f>
        <v>6.7974796783822469E-2</v>
      </c>
    </row>
    <row r="37" spans="1:7">
      <c r="B37" s="110"/>
      <c r="C37" s="464"/>
    </row>
    <row r="38" spans="1:7">
      <c r="A38" s="83" t="s">
        <v>373</v>
      </c>
      <c r="B38" s="463">
        <f>VLOOKUP(A38,'B&amp;A Surcharges'!A:J,10,FALSE)</f>
        <v>529058.53</v>
      </c>
      <c r="C38" s="464">
        <f t="shared" ref="C38" si="23">B38/$B$66</f>
        <v>1.8524649138516706E-2</v>
      </c>
      <c r="F38" s="465">
        <f>B38/$B$66*$E$66</f>
        <v>-340943.70676525496</v>
      </c>
      <c r="G38" s="464">
        <f t="shared" ref="G38" si="24">F38/$F$66</f>
        <v>1.8524649138516702E-2</v>
      </c>
    </row>
    <row r="39" spans="1:7">
      <c r="B39" s="110"/>
      <c r="C39" s="464"/>
    </row>
    <row r="40" spans="1:7">
      <c r="A40" s="28" t="s">
        <v>374</v>
      </c>
      <c r="B40" s="463">
        <f>VLOOKUP(A40,'B&amp;A Surcharges'!A:J,10,FALSE)</f>
        <v>44280.760000000009</v>
      </c>
      <c r="C40" s="464">
        <f t="shared" ref="C40" si="25">B40/$B$66</f>
        <v>1.5504627485863713E-3</v>
      </c>
      <c r="F40" s="465">
        <f>B40/$B$66*$E$66</f>
        <v>-28536.060939765273</v>
      </c>
      <c r="G40" s="464">
        <f t="shared" ref="G40" si="26">F40/$F$66</f>
        <v>1.5504627485863711E-3</v>
      </c>
    </row>
    <row r="41" spans="1:7">
      <c r="B41" s="110"/>
      <c r="C41" s="464"/>
    </row>
    <row r="42" spans="1:7">
      <c r="A42" s="83" t="s">
        <v>375</v>
      </c>
      <c r="B42" s="463">
        <f>VLOOKUP(A42,'B&amp;A Surcharges'!A:J,10,FALSE)</f>
        <v>0</v>
      </c>
      <c r="C42" s="464">
        <f t="shared" ref="C42" si="27">B42/$B$66</f>
        <v>0</v>
      </c>
      <c r="F42" s="465">
        <f>B42/$B$66*$E$66</f>
        <v>0</v>
      </c>
      <c r="G42" s="464">
        <f t="shared" ref="G42" si="28">F42/$F$66</f>
        <v>0</v>
      </c>
    </row>
    <row r="43" spans="1:7">
      <c r="B43" s="110"/>
      <c r="C43" s="464"/>
    </row>
    <row r="44" spans="1:7">
      <c r="A44" s="83" t="s">
        <v>376</v>
      </c>
      <c r="B44" s="463">
        <f>VLOOKUP(A44,'B&amp;A Surcharges'!A:J,10,FALSE)</f>
        <v>12588.4</v>
      </c>
      <c r="C44" s="464">
        <f t="shared" ref="C44" si="29">B44/$B$66</f>
        <v>4.4077484813505167E-4</v>
      </c>
      <c r="F44" s="465">
        <f>B44/$B$66*$E$66</f>
        <v>-8112.4025318025488</v>
      </c>
      <c r="G44" s="464">
        <f t="shared" ref="G44" si="30">F44/$F$66</f>
        <v>4.4077484813505156E-4</v>
      </c>
    </row>
    <row r="45" spans="1:7">
      <c r="B45" s="110"/>
      <c r="C45" s="464"/>
    </row>
    <row r="46" spans="1:7">
      <c r="A46" s="83" t="s">
        <v>377</v>
      </c>
      <c r="B46" s="463">
        <f>VLOOKUP(A46,'B&amp;A Surcharges'!A:J,10,FALSE)</f>
        <v>27616.070000000003</v>
      </c>
      <c r="C46" s="464">
        <f t="shared" ref="C46" si="31">B46/$B$66</f>
        <v>9.6695918943924238E-4</v>
      </c>
      <c r="F46" s="465">
        <f>B46/$B$66*$E$66</f>
        <v>-17796.755440440123</v>
      </c>
      <c r="G46" s="464">
        <f t="shared" ref="G46" si="32">F46/$F$66</f>
        <v>9.6695918943924216E-4</v>
      </c>
    </row>
    <row r="47" spans="1:7">
      <c r="B47" s="110"/>
      <c r="C47" s="464"/>
    </row>
    <row r="48" spans="1:7">
      <c r="A48" s="83" t="s">
        <v>378</v>
      </c>
      <c r="B48" s="463">
        <f>VLOOKUP(A48,'B&amp;A Surcharges'!A:J,10,FALSE)</f>
        <v>14581.479999999998</v>
      </c>
      <c r="C48" s="464">
        <f t="shared" ref="C48" si="33">B48/$B$66</f>
        <v>5.1056128122591374E-4</v>
      </c>
      <c r="F48" s="465">
        <f>B48/$B$66*$E$66</f>
        <v>-9396.8125631079583</v>
      </c>
      <c r="G48" s="464">
        <f t="shared" ref="G48" si="34">F48/$F$66</f>
        <v>5.1056128122591363E-4</v>
      </c>
    </row>
    <row r="49" spans="1:7">
      <c r="B49" s="110"/>
      <c r="C49" s="464"/>
    </row>
    <row r="50" spans="1:7">
      <c r="A50" s="83" t="s">
        <v>379</v>
      </c>
      <c r="B50" s="463">
        <f>VLOOKUP(A50,'B&amp;A Surcharges'!A:J,10,FALSE)</f>
        <v>631702.44999999995</v>
      </c>
      <c r="C50" s="464">
        <f t="shared" ref="C50" si="35">B50/$B$66</f>
        <v>2.2118660947005979E-2</v>
      </c>
      <c r="F50" s="465">
        <f>B50/$B$66*$E$66</f>
        <v>-407091.01670791151</v>
      </c>
      <c r="G50" s="464">
        <f t="shared" ref="G50" si="36">F50/$F$66</f>
        <v>2.2118660947005975E-2</v>
      </c>
    </row>
    <row r="51" spans="1:7">
      <c r="B51" s="110"/>
      <c r="C51" s="464"/>
    </row>
    <row r="52" spans="1:7">
      <c r="A52" s="83" t="s">
        <v>380</v>
      </c>
      <c r="B52" s="463">
        <f>VLOOKUP(A52,'B&amp;A Surcharges'!A:J,10,FALSE)</f>
        <v>10170.959999999999</v>
      </c>
      <c r="C52" s="464">
        <f t="shared" ref="C52" si="37">B52/$B$66</f>
        <v>3.5612971858120848E-4</v>
      </c>
      <c r="F52" s="465">
        <f>B52/$B$66*$E$66</f>
        <v>-6554.5201657766238</v>
      </c>
      <c r="G52" s="464">
        <f t="shared" ref="G52" si="38">F52/$F$66</f>
        <v>3.5612971858120843E-4</v>
      </c>
    </row>
    <row r="53" spans="1:7">
      <c r="B53" s="110"/>
      <c r="C53" s="464"/>
    </row>
    <row r="54" spans="1:7">
      <c r="A54" s="83" t="s">
        <v>381</v>
      </c>
      <c r="B54" s="463">
        <f>VLOOKUP(A54,'B&amp;A Surcharges'!A:J,10,FALSE)</f>
        <v>1455387.07</v>
      </c>
      <c r="C54" s="464">
        <f t="shared" ref="C54" si="39">B54/$B$66</f>
        <v>5.0959455908373412E-2</v>
      </c>
      <c r="F54" s="465">
        <f>B54/$B$66*$E$66</f>
        <v>-937902.01704908442</v>
      </c>
      <c r="G54" s="464">
        <f t="shared" ref="G54" si="40">F54/$F$66</f>
        <v>5.0959455908373398E-2</v>
      </c>
    </row>
    <row r="55" spans="1:7">
      <c r="B55" s="110"/>
      <c r="C55" s="464"/>
    </row>
    <row r="56" spans="1:7">
      <c r="A56" s="83" t="s">
        <v>382</v>
      </c>
      <c r="B56" s="463">
        <f>VLOOKUP(A56,'B&amp;A Surcharges'!A:J,10,FALSE)</f>
        <v>3325642.3099999996</v>
      </c>
      <c r="C56" s="464">
        <f t="shared" ref="C56" si="41">B56/$B$66</f>
        <v>0.11644525786769981</v>
      </c>
      <c r="F56" s="465">
        <f>B56/$B$66*$E$66</f>
        <v>-2143159.5036314125</v>
      </c>
      <c r="G56" s="464">
        <f t="shared" ref="G56" si="42">F56/$F$66</f>
        <v>0.11644525786769978</v>
      </c>
    </row>
    <row r="57" spans="1:7">
      <c r="B57" s="110"/>
      <c r="C57" s="464"/>
    </row>
    <row r="58" spans="1:7">
      <c r="A58" s="83" t="s">
        <v>383</v>
      </c>
      <c r="B58" s="463">
        <f>VLOOKUP(A58,'B&amp;A Surcharges'!A:J,10,FALSE)</f>
        <v>548612.85</v>
      </c>
      <c r="C58" s="464">
        <f t="shared" ref="C58" si="43">B58/$B$66</f>
        <v>1.9209331260818523E-2</v>
      </c>
      <c r="F58" s="465">
        <f>B58/$B$66*$E$66</f>
        <v>-353545.19027989358</v>
      </c>
      <c r="G58" s="464">
        <f t="shared" ref="G58" si="44">F58/$F$66</f>
        <v>1.9209331260818519E-2</v>
      </c>
    </row>
    <row r="59" spans="1:7">
      <c r="B59" s="110"/>
      <c r="C59" s="464"/>
    </row>
    <row r="60" spans="1:7">
      <c r="A60" s="83" t="s">
        <v>384</v>
      </c>
      <c r="B60" s="463">
        <f>VLOOKUP(A60,'B&amp;A Surcharges'!A:J,10,FALSE)</f>
        <v>72146.950000000012</v>
      </c>
      <c r="C60" s="464">
        <f t="shared" ref="C60" si="45">B60/$B$66</f>
        <v>2.5261797313127303E-3</v>
      </c>
      <c r="F60" s="465">
        <f>B60/$B$66*$E$66</f>
        <v>-46494.002402357095</v>
      </c>
      <c r="G60" s="464">
        <f t="shared" ref="G60" si="46">F60/$F$66</f>
        <v>2.5261797313127299E-3</v>
      </c>
    </row>
    <row r="61" spans="1:7">
      <c r="B61" s="110"/>
      <c r="C61" s="464"/>
    </row>
    <row r="62" spans="1:7">
      <c r="A62" s="83" t="s">
        <v>36</v>
      </c>
      <c r="B62" s="463">
        <f>VLOOKUP(A62,'B&amp;A Surcharges'!A:J,10,FALSE)</f>
        <v>100774.33</v>
      </c>
      <c r="C62" s="464">
        <f t="shared" ref="C62" si="47">B62/$B$66</f>
        <v>3.5285492994869549E-3</v>
      </c>
      <c r="F62" s="465">
        <f>B62/$B$66*$E$66</f>
        <v>-64942.48115985396</v>
      </c>
      <c r="G62" s="464">
        <f t="shared" ref="G62" si="48">F62/$F$66</f>
        <v>3.5285492994869541E-3</v>
      </c>
    </row>
    <row r="63" spans="1:7">
      <c r="B63" s="110"/>
      <c r="C63" s="464"/>
    </row>
    <row r="64" spans="1:7">
      <c r="A64" s="83" t="s">
        <v>34</v>
      </c>
      <c r="B64" s="467">
        <f>VLOOKUP(A64,'B&amp;A Surcharges'!A:J,10,FALSE)</f>
        <v>10894.41</v>
      </c>
      <c r="C64" s="468">
        <f t="shared" ref="C64" si="49">B64/$B$66</f>
        <v>3.8146086184669923E-4</v>
      </c>
      <c r="D64" s="95"/>
      <c r="E64" s="95"/>
      <c r="F64" s="469">
        <f>B64/$B$66*$E$66</f>
        <v>-7020.7364928422212</v>
      </c>
      <c r="G64" s="468">
        <f t="shared" ref="G64" si="50">F64/$F$66</f>
        <v>3.8146086184669917E-4</v>
      </c>
    </row>
    <row r="65" spans="1:7">
      <c r="A65" s="457"/>
      <c r="B65" s="110"/>
    </row>
    <row r="66" spans="1:7">
      <c r="A66" s="457" t="s">
        <v>17</v>
      </c>
      <c r="B66" s="110">
        <f>SUM(B12:B64)</f>
        <v>28559705.829999998</v>
      </c>
      <c r="C66" s="111">
        <f>SUM(C12:C64)</f>
        <v>1</v>
      </c>
      <c r="D66" s="124">
        <v>46964573</v>
      </c>
      <c r="E66" s="199">
        <f>B66-D66</f>
        <v>-18404867.170000002</v>
      </c>
      <c r="F66" s="110">
        <f>SUM(F12:F64)</f>
        <v>-18404867.170000006</v>
      </c>
      <c r="G66" s="111">
        <f>SUM(G12:G64)</f>
        <v>0.99999999999999989</v>
      </c>
    </row>
    <row r="67" spans="1:7">
      <c r="B67" s="28" t="s">
        <v>319</v>
      </c>
    </row>
    <row r="70" spans="1:7">
      <c r="A70" s="470"/>
    </row>
    <row r="71" spans="1:7">
      <c r="A71" s="470"/>
    </row>
  </sheetData>
  <printOptions horizontalCentered="1"/>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5"/>
  <sheetViews>
    <sheetView zoomScale="85" zoomScaleNormal="85" workbookViewId="0">
      <selection activeCell="C10" sqref="C10"/>
    </sheetView>
  </sheetViews>
  <sheetFormatPr defaultRowHeight="12.75"/>
  <cols>
    <col min="1" max="1" width="19" customWidth="1"/>
    <col min="2" max="2" width="21.85546875" customWidth="1"/>
    <col min="3" max="3" width="9.42578125" bestFit="1" customWidth="1"/>
    <col min="4" max="4" width="17.85546875" customWidth="1"/>
    <col min="5" max="5" width="16" bestFit="1" customWidth="1"/>
    <col min="6" max="6" width="12.5703125" customWidth="1"/>
  </cols>
  <sheetData>
    <row r="1" spans="1:6">
      <c r="A1" t="str">
        <f>+RS!B2</f>
        <v>KENTUCKY POWER BILLING ANALYSIS</v>
      </c>
    </row>
    <row r="2" spans="1:6">
      <c r="A2" t="str">
        <f>+RS!B4</f>
        <v>TEST YEAR ENDED MARCH 31, 2023</v>
      </c>
    </row>
    <row r="3" spans="1:6">
      <c r="A3" t="s">
        <v>310</v>
      </c>
    </row>
    <row r="6" spans="1:6">
      <c r="A6" s="1"/>
      <c r="B6" s="1" t="s">
        <v>73</v>
      </c>
      <c r="C6" s="1" t="s">
        <v>6</v>
      </c>
      <c r="D6" s="1" t="s">
        <v>6</v>
      </c>
      <c r="E6" s="1"/>
      <c r="F6" s="1"/>
    </row>
    <row r="7" spans="1:6">
      <c r="A7" s="1"/>
      <c r="B7" s="1" t="s">
        <v>74</v>
      </c>
      <c r="C7" s="1" t="s">
        <v>146</v>
      </c>
      <c r="D7" s="1" t="s">
        <v>146</v>
      </c>
      <c r="E7" s="1"/>
      <c r="F7" s="1" t="s">
        <v>77</v>
      </c>
    </row>
    <row r="8" spans="1:6">
      <c r="A8" s="3" t="s">
        <v>2</v>
      </c>
      <c r="B8" s="3" t="s">
        <v>6</v>
      </c>
      <c r="C8" s="3" t="s">
        <v>316</v>
      </c>
      <c r="D8" s="3" t="s">
        <v>309</v>
      </c>
      <c r="E8" s="3" t="s">
        <v>76</v>
      </c>
      <c r="F8" s="3" t="s">
        <v>76</v>
      </c>
    </row>
    <row r="9" spans="1:6">
      <c r="A9" s="3"/>
      <c r="B9" s="3"/>
      <c r="C9" s="3"/>
      <c r="D9" s="3"/>
      <c r="E9" s="3"/>
      <c r="F9" s="3"/>
    </row>
    <row r="10" spans="1:6">
      <c r="A10" t="s">
        <v>80</v>
      </c>
      <c r="B10" s="8">
        <f>'PB Sum'!C10</f>
        <v>301101949.16364413</v>
      </c>
      <c r="C10" s="8">
        <f>HEAP!F11</f>
        <v>474969.3</v>
      </c>
      <c r="D10" s="8" t="e">
        <f>RS!#REF!</f>
        <v>#REF!</v>
      </c>
      <c r="E10" s="8" t="e">
        <f>+D10-B10+C10</f>
        <v>#REF!</v>
      </c>
      <c r="F10" s="14" t="e">
        <f>+E10/B10</f>
        <v>#REF!</v>
      </c>
    </row>
    <row r="11" spans="1:6">
      <c r="B11" s="8"/>
      <c r="C11" s="8"/>
      <c r="D11" s="8"/>
      <c r="E11" s="8"/>
    </row>
    <row r="12" spans="1:6">
      <c r="A12" t="s">
        <v>81</v>
      </c>
      <c r="B12" s="8" t="e">
        <f>'PB Sum'!C12</f>
        <v>#REF!</v>
      </c>
      <c r="C12" s="8" t="e">
        <f>HEAP!F13</f>
        <v>#REF!</v>
      </c>
      <c r="D12" s="8" t="e">
        <f>#REF!</f>
        <v>#REF!</v>
      </c>
      <c r="E12" s="8" t="e">
        <f>+D12-B12+C12</f>
        <v>#REF!</v>
      </c>
      <c r="F12" s="14" t="e">
        <f>+E12/B12</f>
        <v>#REF!</v>
      </c>
    </row>
    <row r="13" spans="1:6">
      <c r="B13" s="8"/>
      <c r="C13" s="8"/>
      <c r="D13" s="8"/>
      <c r="E13" s="8"/>
    </row>
    <row r="14" spans="1:6">
      <c r="A14" t="s">
        <v>160</v>
      </c>
      <c r="B14" s="8" t="e">
        <f>'PB Sum'!C14</f>
        <v>#REF!</v>
      </c>
      <c r="C14" s="8" t="e">
        <f>HEAP!F15</f>
        <v>#REF!</v>
      </c>
      <c r="D14" s="8" t="e">
        <f>#REF!</f>
        <v>#REF!</v>
      </c>
      <c r="E14" s="100" t="e">
        <f>+D14-B14+C14</f>
        <v>#REF!</v>
      </c>
      <c r="F14" s="14" t="e">
        <f>+E14/B14</f>
        <v>#REF!</v>
      </c>
    </row>
    <row r="15" spans="1:6">
      <c r="B15" s="8"/>
      <c r="C15" s="8"/>
      <c r="D15" s="8"/>
      <c r="E15" s="8"/>
    </row>
    <row r="16" spans="1:6">
      <c r="A16" t="s">
        <v>82</v>
      </c>
      <c r="B16" s="8" t="e">
        <f>'PB Sum'!C16</f>
        <v>#REF!</v>
      </c>
      <c r="C16" s="8"/>
      <c r="D16" s="8" t="e">
        <f>#REF!</f>
        <v>#REF!</v>
      </c>
      <c r="E16" s="8" t="e">
        <f>+D16-B16</f>
        <v>#REF!</v>
      </c>
      <c r="F16" s="14" t="e">
        <f>+E16/B16</f>
        <v>#REF!</v>
      </c>
    </row>
    <row r="17" spans="1:6">
      <c r="B17" s="8"/>
      <c r="C17" s="8"/>
      <c r="D17" s="8"/>
      <c r="E17" s="8"/>
    </row>
    <row r="18" spans="1:6">
      <c r="A18" t="s">
        <v>83</v>
      </c>
      <c r="B18" s="8" t="e">
        <f>'PB Sum'!C18</f>
        <v>#REF!</v>
      </c>
      <c r="C18" s="8"/>
      <c r="D18" s="8" t="e">
        <f>#REF!</f>
        <v>#REF!</v>
      </c>
      <c r="E18" s="8" t="e">
        <f>+D18-B18</f>
        <v>#REF!</v>
      </c>
      <c r="F18" s="14" t="e">
        <f>+E18/B18</f>
        <v>#REF!</v>
      </c>
    </row>
    <row r="19" spans="1:6">
      <c r="B19" s="8"/>
      <c r="C19" s="8"/>
      <c r="D19" s="8"/>
      <c r="E19" s="8"/>
    </row>
    <row r="20" spans="1:6">
      <c r="A20" t="s">
        <v>195</v>
      </c>
      <c r="B20" s="8" t="e">
        <f>'PB Sum'!C20</f>
        <v>#REF!</v>
      </c>
      <c r="C20" s="8"/>
      <c r="D20" s="8" t="e">
        <f>'SGS TOD NA'!#REF!</f>
        <v>#REF!</v>
      </c>
      <c r="E20" s="8" t="e">
        <f>+D20-B20</f>
        <v>#REF!</v>
      </c>
      <c r="F20" s="14" t="e">
        <f>+E20/B20</f>
        <v>#REF!</v>
      </c>
    </row>
    <row r="21" spans="1:6">
      <c r="B21" s="8"/>
      <c r="C21" s="8"/>
      <c r="D21" s="8"/>
      <c r="E21" s="8"/>
    </row>
    <row r="22" spans="1:6">
      <c r="A22" t="s">
        <v>84</v>
      </c>
      <c r="B22" s="8" t="e">
        <f>'PB Sum'!C22</f>
        <v>#REF!</v>
      </c>
      <c r="C22" s="8"/>
      <c r="D22" s="8" t="e">
        <f>#REF!</f>
        <v>#REF!</v>
      </c>
      <c r="E22" s="8" t="e">
        <f>+D22-B22</f>
        <v>#REF!</v>
      </c>
      <c r="F22" s="14" t="e">
        <f>+E22/B22</f>
        <v>#REF!</v>
      </c>
    </row>
    <row r="23" spans="1:6">
      <c r="B23" s="8"/>
      <c r="C23" s="8"/>
      <c r="D23" s="8"/>
      <c r="E23" s="8"/>
      <c r="F23" s="14"/>
    </row>
    <row r="24" spans="1:6">
      <c r="A24" t="s">
        <v>203</v>
      </c>
      <c r="B24" s="8" t="e">
        <f>'PB Sum'!C24</f>
        <v>#REF!</v>
      </c>
      <c r="C24" s="8"/>
      <c r="D24" s="8" t="e">
        <f>+#REF!</f>
        <v>#REF!</v>
      </c>
      <c r="E24" s="8" t="e">
        <f>+D24-B24</f>
        <v>#REF!</v>
      </c>
      <c r="F24" s="14" t="e">
        <f>+E24/B24</f>
        <v>#REF!</v>
      </c>
    </row>
    <row r="25" spans="1:6">
      <c r="B25" s="8"/>
      <c r="C25" s="8"/>
      <c r="D25" s="8"/>
      <c r="E25" s="8"/>
    </row>
    <row r="26" spans="1:6">
      <c r="A26" t="s">
        <v>85</v>
      </c>
      <c r="B26" s="8" t="e">
        <f>'PB Sum'!C26</f>
        <v>#REF!</v>
      </c>
      <c r="C26" s="8"/>
      <c r="D26" s="8" t="e">
        <f>#REF!</f>
        <v>#REF!</v>
      </c>
      <c r="E26" s="8" t="e">
        <f>+D26-B26</f>
        <v>#REF!</v>
      </c>
      <c r="F26" s="14" t="e">
        <f>+E26/B26</f>
        <v>#REF!</v>
      </c>
    </row>
    <row r="27" spans="1:6">
      <c r="B27" s="8"/>
      <c r="C27" s="8"/>
      <c r="D27" s="8"/>
      <c r="E27" s="8"/>
    </row>
    <row r="28" spans="1:6">
      <c r="A28" t="s">
        <v>86</v>
      </c>
      <c r="B28" s="8" t="e">
        <f>'PB Sum'!C28</f>
        <v>#REF!</v>
      </c>
      <c r="C28" s="8"/>
      <c r="D28" s="8" t="e">
        <f>#REF!</f>
        <v>#REF!</v>
      </c>
      <c r="E28" s="8" t="e">
        <f>+D28-B28</f>
        <v>#REF!</v>
      </c>
      <c r="F28" s="14" t="e">
        <f>+E28/B28</f>
        <v>#REF!</v>
      </c>
    </row>
    <row r="29" spans="1:6">
      <c r="B29" s="8"/>
      <c r="C29" s="8"/>
      <c r="D29" s="8"/>
      <c r="E29" s="8"/>
    </row>
    <row r="30" spans="1:6">
      <c r="A30" t="s">
        <v>87</v>
      </c>
      <c r="B30" s="8" t="e">
        <f>'PB Sum'!C30</f>
        <v>#REF!</v>
      </c>
      <c r="C30" s="8"/>
      <c r="D30" s="8" t="e">
        <f>#REF!</f>
        <v>#REF!</v>
      </c>
      <c r="E30" s="8" t="e">
        <f>+D30-B30</f>
        <v>#REF!</v>
      </c>
      <c r="F30" s="14" t="e">
        <f>+E30/B30</f>
        <v>#REF!</v>
      </c>
    </row>
    <row r="31" spans="1:6">
      <c r="B31" s="8"/>
      <c r="C31" s="8"/>
      <c r="D31" s="8"/>
      <c r="E31" s="8"/>
    </row>
    <row r="32" spans="1:6">
      <c r="A32" t="s">
        <v>88</v>
      </c>
      <c r="B32" s="8" t="e">
        <f>'PB Sum'!C32</f>
        <v>#REF!</v>
      </c>
      <c r="C32" s="8"/>
      <c r="D32" s="8" t="e">
        <f>#REF!</f>
        <v>#REF!</v>
      </c>
      <c r="E32" s="8" t="e">
        <f>+D32-B32</f>
        <v>#REF!</v>
      </c>
      <c r="F32" s="14" t="e">
        <f>+E32/B32</f>
        <v>#REF!</v>
      </c>
    </row>
    <row r="33" spans="1:6">
      <c r="B33" s="8"/>
      <c r="C33" s="8"/>
      <c r="D33" s="8"/>
      <c r="E33" s="8"/>
    </row>
    <row r="34" spans="1:6">
      <c r="A34" t="s">
        <v>89</v>
      </c>
      <c r="B34" s="8" t="e">
        <f>'PB Sum'!C34</f>
        <v>#REF!</v>
      </c>
      <c r="C34" s="8"/>
      <c r="D34" s="8" t="e">
        <f>#REF!</f>
        <v>#REF!</v>
      </c>
      <c r="E34" s="8" t="e">
        <f>+D34-B34</f>
        <v>#REF!</v>
      </c>
      <c r="F34" s="14" t="e">
        <f>+E34/B34</f>
        <v>#REF!</v>
      </c>
    </row>
    <row r="35" spans="1:6">
      <c r="B35" s="8"/>
      <c r="C35" s="8"/>
      <c r="D35" s="8"/>
      <c r="E35" s="8"/>
    </row>
    <row r="36" spans="1:6">
      <c r="A36" t="s">
        <v>90</v>
      </c>
      <c r="B36" s="8" t="e">
        <f>'PB Sum'!C36</f>
        <v>#REF!</v>
      </c>
      <c r="C36" s="8"/>
      <c r="D36" s="8" t="e">
        <f>#REF!</f>
        <v>#REF!</v>
      </c>
      <c r="E36" s="8" t="e">
        <f>+D36-B36</f>
        <v>#REF!</v>
      </c>
      <c r="F36" s="14" t="e">
        <f>+E36/B36</f>
        <v>#REF!</v>
      </c>
    </row>
    <row r="37" spans="1:6">
      <c r="B37" s="8"/>
      <c r="C37" s="8"/>
      <c r="D37" s="8"/>
      <c r="E37" s="8"/>
    </row>
    <row r="38" spans="1:6">
      <c r="A38" t="s">
        <v>91</v>
      </c>
      <c r="B38" s="8" t="e">
        <f>'PB Sum'!C38</f>
        <v>#REF!</v>
      </c>
      <c r="C38" s="8"/>
      <c r="D38" s="8" t="e">
        <f>#REF!</f>
        <v>#REF!</v>
      </c>
      <c r="E38" s="8" t="e">
        <f>+D38-B38</f>
        <v>#REF!</v>
      </c>
      <c r="F38" s="14" t="e">
        <f>+E38/B38</f>
        <v>#REF!</v>
      </c>
    </row>
    <row r="39" spans="1:6">
      <c r="B39" s="8"/>
      <c r="C39" s="8"/>
      <c r="D39" s="8"/>
      <c r="E39" s="8"/>
    </row>
    <row r="40" spans="1:6">
      <c r="A40" t="s">
        <v>92</v>
      </c>
      <c r="B40" s="8" t="e">
        <f>'PB Sum'!C40</f>
        <v>#REF!</v>
      </c>
      <c r="C40" s="8"/>
      <c r="D40" s="8" t="e">
        <f>#REF!</f>
        <v>#REF!</v>
      </c>
      <c r="E40" s="8" t="e">
        <f>+D40-B40</f>
        <v>#REF!</v>
      </c>
      <c r="F40" s="14" t="e">
        <f>+E40/B40</f>
        <v>#REF!</v>
      </c>
    </row>
    <row r="41" spans="1:6">
      <c r="B41" s="8"/>
      <c r="C41" s="8"/>
      <c r="D41" s="8"/>
      <c r="E41" s="8"/>
      <c r="F41" s="14"/>
    </row>
    <row r="42" spans="1:6">
      <c r="A42" s="28" t="s">
        <v>282</v>
      </c>
      <c r="B42" s="30" t="e">
        <f>'PB Sum'!C42</f>
        <v>#REF!</v>
      </c>
      <c r="C42" s="30"/>
      <c r="D42" s="30" t="e">
        <f>#REF!</f>
        <v>#REF!</v>
      </c>
      <c r="E42" s="30" t="e">
        <f>+D42-B42</f>
        <v>#REF!</v>
      </c>
      <c r="F42" s="14" t="e">
        <f>+E42/B42</f>
        <v>#REF!</v>
      </c>
    </row>
    <row r="43" spans="1:6">
      <c r="A43" s="28"/>
      <c r="B43" s="30"/>
      <c r="C43" s="30"/>
      <c r="D43" s="30"/>
      <c r="E43" s="30"/>
    </row>
    <row r="44" spans="1:6">
      <c r="A44" s="28" t="s">
        <v>96</v>
      </c>
      <c r="B44" s="30" t="e">
        <f>'PB Sum'!C44</f>
        <v>#REF!</v>
      </c>
      <c r="C44" s="30"/>
      <c r="D44" s="30" t="e">
        <f>#REF!</f>
        <v>#REF!</v>
      </c>
      <c r="E44" s="30" t="e">
        <f>+D44-B44</f>
        <v>#REF!</v>
      </c>
      <c r="F44" s="14" t="e">
        <f>+E44/B44</f>
        <v>#REF!</v>
      </c>
    </row>
    <row r="45" spans="1:6">
      <c r="A45" s="28"/>
      <c r="B45" s="30"/>
      <c r="C45" s="30"/>
      <c r="D45" s="30"/>
      <c r="E45" s="30"/>
    </row>
    <row r="46" spans="1:6">
      <c r="A46" s="28" t="s">
        <v>93</v>
      </c>
      <c r="B46" s="30" t="e">
        <f>'PB Sum'!C46</f>
        <v>#REF!</v>
      </c>
      <c r="C46" s="30"/>
      <c r="D46" s="30" t="e">
        <f>#REF!</f>
        <v>#REF!</v>
      </c>
      <c r="E46" s="30" t="e">
        <f>+D46-B46</f>
        <v>#REF!</v>
      </c>
      <c r="F46" s="14" t="e">
        <f>+E46/B46</f>
        <v>#REF!</v>
      </c>
    </row>
    <row r="47" spans="1:6">
      <c r="A47" s="28"/>
      <c r="B47" s="30"/>
      <c r="C47" s="30"/>
      <c r="D47" s="30"/>
      <c r="E47" s="30"/>
      <c r="F47" s="14"/>
    </row>
    <row r="48" spans="1:6">
      <c r="A48" s="28" t="s">
        <v>198</v>
      </c>
      <c r="B48" s="30" t="e">
        <f>'PB Sum'!C48</f>
        <v>#REF!</v>
      </c>
      <c r="C48" s="30"/>
      <c r="D48" s="30" t="e">
        <f>#REF!</f>
        <v>#REF!</v>
      </c>
      <c r="E48" s="30" t="e">
        <f>+D48-B48</f>
        <v>#REF!</v>
      </c>
      <c r="F48" s="14" t="e">
        <f>+E48/B48</f>
        <v>#REF!</v>
      </c>
    </row>
    <row r="49" spans="1:6">
      <c r="A49" s="28"/>
      <c r="B49" s="30"/>
      <c r="C49" s="30"/>
      <c r="D49" s="30"/>
      <c r="E49" s="30"/>
    </row>
    <row r="50" spans="1:6">
      <c r="A50" s="83" t="s">
        <v>283</v>
      </c>
      <c r="B50" s="30" t="e">
        <f>'PB Sum'!C50</f>
        <v>#REF!</v>
      </c>
      <c r="C50" s="30"/>
      <c r="D50" s="30" t="e">
        <f>#REF!</f>
        <v>#REF!</v>
      </c>
      <c r="E50" s="30" t="e">
        <f>+D50-B50</f>
        <v>#REF!</v>
      </c>
      <c r="F50" s="14" t="e">
        <f>+E50/B50</f>
        <v>#REF!</v>
      </c>
    </row>
    <row r="51" spans="1:6">
      <c r="A51" s="83"/>
      <c r="B51" s="30"/>
      <c r="C51" s="30"/>
      <c r="D51" s="30"/>
      <c r="E51" s="30"/>
    </row>
    <row r="52" spans="1:6">
      <c r="A52" s="83" t="s">
        <v>284</v>
      </c>
      <c r="B52" s="30" t="e">
        <f>'PB Sum'!C52</f>
        <v>#REF!</v>
      </c>
      <c r="C52" s="30"/>
      <c r="D52" s="30" t="e">
        <f>#REF!</f>
        <v>#REF!</v>
      </c>
      <c r="E52" s="30" t="e">
        <f>+D52-B52</f>
        <v>#REF!</v>
      </c>
      <c r="F52" s="14" t="e">
        <f>+E52/B52</f>
        <v>#REF!</v>
      </c>
    </row>
    <row r="53" spans="1:6">
      <c r="A53" s="83"/>
      <c r="B53" s="30"/>
      <c r="C53" s="30"/>
      <c r="D53" s="30"/>
      <c r="E53" s="30"/>
    </row>
    <row r="54" spans="1:6">
      <c r="A54" s="83" t="s">
        <v>322</v>
      </c>
      <c r="B54" s="30" t="e">
        <f>'PB Sum'!C54</f>
        <v>#REF!</v>
      </c>
      <c r="C54" s="30"/>
      <c r="D54" s="30" t="e">
        <f>'CS-IRP TRAN 321'!E48</f>
        <v>#REF!</v>
      </c>
      <c r="E54" s="30" t="e">
        <f>+D54-B54</f>
        <v>#REF!</v>
      </c>
      <c r="F54" s="14" t="e">
        <f>+E54/B54</f>
        <v>#REF!</v>
      </c>
    </row>
    <row r="55" spans="1:6">
      <c r="A55" s="83"/>
      <c r="B55" s="30"/>
      <c r="C55" s="30"/>
      <c r="D55" s="30"/>
      <c r="E55" s="30"/>
    </row>
    <row r="56" spans="1:6">
      <c r="A56" s="83" t="s">
        <v>323</v>
      </c>
      <c r="B56" s="30">
        <f>'PB Sum'!C56</f>
        <v>4184864.9087767745</v>
      </c>
      <c r="C56" s="30"/>
      <c r="D56" s="30">
        <f>'CS-IRP SUB 331'!E48</f>
        <v>4184863.8587767747</v>
      </c>
      <c r="E56" s="30">
        <f>+D56-B56</f>
        <v>-1.0499999998137355</v>
      </c>
      <c r="F56" s="14">
        <f>+E56/B56</f>
        <v>-2.509041564547535E-7</v>
      </c>
    </row>
    <row r="57" spans="1:6">
      <c r="A57" s="83"/>
      <c r="B57" s="30"/>
      <c r="C57" s="30"/>
      <c r="D57" s="30"/>
      <c r="E57" s="30"/>
      <c r="F57" s="14"/>
    </row>
    <row r="58" spans="1:6">
      <c r="A58" s="83" t="s">
        <v>285</v>
      </c>
      <c r="B58" s="30" t="e">
        <f>'PB Sum'!C58</f>
        <v>#REF!</v>
      </c>
      <c r="C58" s="30"/>
      <c r="D58" s="30" t="e">
        <f>#REF!</f>
        <v>#REF!</v>
      </c>
      <c r="E58" s="30" t="e">
        <f>+D58-B58</f>
        <v>#REF!</v>
      </c>
      <c r="F58" s="14" t="e">
        <f>+E58/B58</f>
        <v>#REF!</v>
      </c>
    </row>
    <row r="59" spans="1:6">
      <c r="A59" s="83"/>
      <c r="B59" s="30"/>
      <c r="C59" s="30"/>
      <c r="D59" s="30"/>
      <c r="E59" s="30"/>
    </row>
    <row r="60" spans="1:6">
      <c r="A60" s="83" t="s">
        <v>286</v>
      </c>
      <c r="B60" s="30" t="e">
        <f>'PB Sum'!C60</f>
        <v>#REF!</v>
      </c>
      <c r="C60" s="30"/>
      <c r="D60" s="30" t="e">
        <f>#REF!</f>
        <v>#REF!</v>
      </c>
      <c r="E60" s="30" t="e">
        <f>+D60-B60</f>
        <v>#REF!</v>
      </c>
      <c r="F60" s="14" t="e">
        <f>+E60/B60</f>
        <v>#REF!</v>
      </c>
    </row>
    <row r="61" spans="1:6">
      <c r="A61" s="83"/>
      <c r="B61" s="30"/>
      <c r="C61" s="30"/>
      <c r="D61" s="30"/>
      <c r="E61" s="30"/>
      <c r="F61" s="14"/>
    </row>
    <row r="62" spans="1:6">
      <c r="A62" s="83" t="s">
        <v>287</v>
      </c>
      <c r="B62" s="30" t="e">
        <f>'PB Sum'!C62</f>
        <v>#REF!</v>
      </c>
      <c r="C62" s="30"/>
      <c r="D62" s="30" t="e">
        <f>#REF!</f>
        <v>#REF!</v>
      </c>
      <c r="E62" s="30" t="e">
        <f>+D62-B62</f>
        <v>#REF!</v>
      </c>
      <c r="F62" s="14" t="e">
        <f>+E62/B62</f>
        <v>#REF!</v>
      </c>
    </row>
    <row r="63" spans="1:6">
      <c r="A63" s="83"/>
      <c r="B63" s="30"/>
      <c r="C63" s="30"/>
      <c r="D63" s="30"/>
      <c r="E63" s="30"/>
      <c r="F63" s="14"/>
    </row>
    <row r="64" spans="1:6">
      <c r="A64" s="83" t="s">
        <v>288</v>
      </c>
      <c r="B64" s="30" t="e">
        <f>'PB Sum'!C64</f>
        <v>#REF!</v>
      </c>
      <c r="C64" s="30"/>
      <c r="D64" s="30" t="e">
        <f>#REF!</f>
        <v>#REF!</v>
      </c>
      <c r="E64" s="30" t="e">
        <f>+D64-B64</f>
        <v>#REF!</v>
      </c>
      <c r="F64" s="14" t="e">
        <f>+E64/B64</f>
        <v>#REF!</v>
      </c>
    </row>
    <row r="65" spans="1:6">
      <c r="A65" s="28"/>
      <c r="B65" s="30"/>
      <c r="C65" s="30"/>
      <c r="D65" s="30"/>
      <c r="E65" s="30"/>
      <c r="F65" s="14"/>
    </row>
    <row r="66" spans="1:6">
      <c r="A66" s="28" t="s">
        <v>94</v>
      </c>
      <c r="B66" s="30" t="e">
        <f>'PB Sum'!C66</f>
        <v>#REF!</v>
      </c>
      <c r="C66" s="30"/>
      <c r="D66" s="30" t="e">
        <f>#REF!</f>
        <v>#REF!</v>
      </c>
      <c r="E66" s="30" t="e">
        <f>+D66-B66</f>
        <v>#REF!</v>
      </c>
      <c r="F66" s="14" t="e">
        <f>+E66/B66</f>
        <v>#REF!</v>
      </c>
    </row>
    <row r="67" spans="1:6">
      <c r="A67" s="28"/>
      <c r="B67" s="30"/>
      <c r="C67" s="30"/>
      <c r="D67" s="30"/>
      <c r="E67" s="30"/>
    </row>
    <row r="68" spans="1:6">
      <c r="A68" t="s">
        <v>95</v>
      </c>
      <c r="B68" s="8" t="e">
        <f>'PB Sum'!C68</f>
        <v>#REF!</v>
      </c>
      <c r="C68" s="8"/>
      <c r="D68" s="8" t="e">
        <f>#REF!</f>
        <v>#REF!</v>
      </c>
      <c r="E68" s="8" t="e">
        <f>+D68-B68</f>
        <v>#REF!</v>
      </c>
      <c r="F68" s="14" t="e">
        <f>+E68/B68</f>
        <v>#REF!</v>
      </c>
    </row>
    <row r="69" spans="1:6">
      <c r="B69" s="8"/>
      <c r="C69" s="8"/>
      <c r="D69" s="8"/>
    </row>
    <row r="70" spans="1:6">
      <c r="A70" t="s">
        <v>17</v>
      </c>
      <c r="B70" s="8" t="e">
        <f>SUM(B10:B68)</f>
        <v>#REF!</v>
      </c>
      <c r="C70" s="8"/>
      <c r="D70" s="8" t="e">
        <f>SUM(D10:D68)</f>
        <v>#REF!</v>
      </c>
      <c r="E70" s="8" t="e">
        <f>SUM(E10:E68)</f>
        <v>#REF!</v>
      </c>
      <c r="F70" s="14" t="e">
        <f>+E70/B70</f>
        <v>#REF!</v>
      </c>
    </row>
    <row r="75" spans="1:6">
      <c r="E75" s="8"/>
    </row>
  </sheetData>
  <phoneticPr fontId="0" type="noConversion"/>
  <printOptions horizontalCentered="1"/>
  <pageMargins left="0.75" right="0.75" top="0.5" bottom="0.5" header="0.5" footer="0.5"/>
  <pageSetup scale="8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161"/>
  <sheetViews>
    <sheetView zoomScale="90" zoomScaleNormal="90" workbookViewId="0">
      <pane xSplit="1" ySplit="9" topLeftCell="B14" activePane="bottomRight" state="frozen"/>
      <selection pane="topRight" activeCell="B1" sqref="B1"/>
      <selection pane="bottomLeft" activeCell="A10" sqref="A10"/>
      <selection pane="bottomRight" activeCell="I31" sqref="I31"/>
    </sheetView>
  </sheetViews>
  <sheetFormatPr defaultColWidth="8.7109375" defaultRowHeight="12.75"/>
  <cols>
    <col min="1" max="1" width="32.85546875" style="28" customWidth="1"/>
    <col min="2" max="2" width="15.7109375" style="28" customWidth="1"/>
    <col min="3" max="3" width="2.7109375" style="28" customWidth="1"/>
    <col min="4" max="4" width="14" style="28" bestFit="1" customWidth="1"/>
    <col min="5" max="5" width="2.7109375" style="28" customWidth="1"/>
    <col min="6" max="6" width="14.140625" style="28" bestFit="1" customWidth="1"/>
    <col min="7" max="7" width="2.7109375" style="28" customWidth="1"/>
    <col min="8" max="8" width="14.42578125" style="28" bestFit="1" customWidth="1"/>
    <col min="9" max="9" width="2.7109375" style="28" customWidth="1"/>
    <col min="10" max="10" width="15.42578125" style="28" bestFit="1" customWidth="1"/>
    <col min="11" max="11" width="2.7109375" style="28" customWidth="1"/>
    <col min="12" max="12" width="13.85546875" style="88" bestFit="1" customWidth="1"/>
    <col min="13" max="13" width="1.85546875" style="28" customWidth="1"/>
    <col min="14" max="14" width="14.85546875" style="28" customWidth="1"/>
    <col min="15" max="15" width="13.140625" style="28" customWidth="1"/>
    <col min="16" max="16" width="15.140625" style="28" bestFit="1" customWidth="1"/>
    <col min="17" max="17" width="1.85546875" style="28" customWidth="1"/>
    <col min="18" max="18" width="15.42578125" style="28" bestFit="1" customWidth="1"/>
    <col min="19" max="19" width="16.140625" style="28" bestFit="1" customWidth="1"/>
    <col min="20" max="20" width="4.5703125" style="28" customWidth="1"/>
    <col min="21" max="21" width="16.42578125" style="28" customWidth="1"/>
    <col min="22" max="22" width="22.42578125" style="28" customWidth="1"/>
    <col min="23" max="24" width="19.140625" style="28" bestFit="1" customWidth="1"/>
    <col min="25" max="25" width="18.5703125" style="28" bestFit="1" customWidth="1"/>
    <col min="26" max="26" width="14.42578125" style="28" customWidth="1"/>
    <col min="27" max="27" width="15.28515625" style="28" bestFit="1" customWidth="1"/>
    <col min="28" max="28" width="13.5703125" style="28" bestFit="1" customWidth="1"/>
    <col min="29" max="29" width="13.28515625" style="28" bestFit="1" customWidth="1"/>
    <col min="30" max="31" width="8.7109375" style="28"/>
    <col min="32" max="32" width="15.85546875" style="28" bestFit="1" customWidth="1"/>
    <col min="33" max="34" width="8.7109375" style="28"/>
    <col min="35" max="35" width="13.42578125" style="28" bestFit="1" customWidth="1"/>
    <col min="36" max="36" width="14.42578125" style="28" bestFit="1" customWidth="1"/>
    <col min="37" max="37" width="8.7109375" style="28"/>
    <col min="38" max="38" width="15.85546875" style="28" bestFit="1" customWidth="1"/>
    <col min="39" max="39" width="14.85546875" style="28" bestFit="1" customWidth="1"/>
    <col min="40" max="16384" width="8.7109375" style="28"/>
  </cols>
  <sheetData>
    <row r="1" spans="1:39">
      <c r="A1" s="28" t="str">
        <f>+RS!B2</f>
        <v>KENTUCKY POWER BILLING ANALYSIS</v>
      </c>
    </row>
    <row r="2" spans="1:39">
      <c r="A2" s="28" t="str">
        <f>+RS!B3</f>
        <v>PER BOOKS</v>
      </c>
    </row>
    <row r="3" spans="1:39">
      <c r="A3" s="28" t="str">
        <f>+RS!B4</f>
        <v>TEST YEAR ENDED MARCH 31, 2023</v>
      </c>
      <c r="D3" s="447"/>
    </row>
    <row r="5" spans="1:39">
      <c r="A5" s="28" t="s">
        <v>150</v>
      </c>
    </row>
    <row r="6" spans="1:39">
      <c r="B6" s="462"/>
      <c r="D6" s="462"/>
      <c r="F6" s="462"/>
      <c r="H6" s="462"/>
      <c r="J6" s="462"/>
      <c r="L6" s="471"/>
      <c r="N6" s="462"/>
      <c r="P6" s="462"/>
      <c r="R6" s="462"/>
      <c r="S6" s="462"/>
    </row>
    <row r="7" spans="1:39">
      <c r="C7" s="35"/>
      <c r="D7" s="35" t="s">
        <v>139</v>
      </c>
      <c r="F7" s="35"/>
      <c r="H7" s="472" t="s">
        <v>204</v>
      </c>
      <c r="J7" s="35" t="s">
        <v>108</v>
      </c>
      <c r="L7" s="471" t="s">
        <v>280</v>
      </c>
      <c r="N7" s="35"/>
      <c r="P7" s="471"/>
      <c r="R7" s="471"/>
      <c r="S7" s="471"/>
      <c r="W7" s="35"/>
      <c r="X7" s="35" t="s">
        <v>513</v>
      </c>
      <c r="AA7" s="35" t="s">
        <v>512</v>
      </c>
    </row>
    <row r="8" spans="1:39">
      <c r="A8" s="447"/>
      <c r="B8" s="35" t="s">
        <v>72</v>
      </c>
      <c r="C8" s="35"/>
      <c r="D8" s="35" t="s">
        <v>140</v>
      </c>
      <c r="F8" s="35" t="s">
        <v>158</v>
      </c>
      <c r="H8" s="472" t="s">
        <v>141</v>
      </c>
      <c r="J8" s="35" t="s">
        <v>141</v>
      </c>
      <c r="L8" s="471" t="s">
        <v>281</v>
      </c>
      <c r="N8" s="35" t="s">
        <v>348</v>
      </c>
      <c r="P8" s="471" t="s">
        <v>621</v>
      </c>
      <c r="R8" s="471" t="s">
        <v>345</v>
      </c>
      <c r="S8" s="35" t="s">
        <v>346</v>
      </c>
      <c r="U8" s="35" t="s">
        <v>347</v>
      </c>
      <c r="W8" s="35" t="s">
        <v>824</v>
      </c>
      <c r="X8" s="35" t="s">
        <v>319</v>
      </c>
      <c r="Y8" s="35" t="s">
        <v>827</v>
      </c>
      <c r="Z8" s="35" t="s">
        <v>73</v>
      </c>
      <c r="AA8" s="35" t="s">
        <v>73</v>
      </c>
      <c r="AF8" s="28" t="s">
        <v>826</v>
      </c>
      <c r="AJ8" s="28" t="s">
        <v>743</v>
      </c>
      <c r="AM8" s="28" t="s">
        <v>824</v>
      </c>
    </row>
    <row r="9" spans="1:39">
      <c r="A9" s="36" t="s">
        <v>2</v>
      </c>
      <c r="B9" s="36" t="s">
        <v>138</v>
      </c>
      <c r="C9" s="35"/>
      <c r="D9" s="36" t="s">
        <v>138</v>
      </c>
      <c r="F9" s="36" t="s">
        <v>151</v>
      </c>
      <c r="H9" s="36" t="s">
        <v>6</v>
      </c>
      <c r="J9" s="36" t="s">
        <v>6</v>
      </c>
      <c r="L9" s="36" t="s">
        <v>103</v>
      </c>
      <c r="N9" s="36" t="s">
        <v>212</v>
      </c>
      <c r="P9" s="471" t="s">
        <v>6</v>
      </c>
      <c r="R9" s="471" t="s">
        <v>6</v>
      </c>
      <c r="S9" s="36" t="s">
        <v>6</v>
      </c>
      <c r="U9" s="36" t="s">
        <v>325</v>
      </c>
      <c r="W9" s="28" t="s">
        <v>825</v>
      </c>
      <c r="X9" s="28" t="s">
        <v>362</v>
      </c>
      <c r="Z9" s="28" t="s">
        <v>363</v>
      </c>
      <c r="AA9" s="28" t="s">
        <v>364</v>
      </c>
      <c r="AI9" s="28" t="s">
        <v>2</v>
      </c>
      <c r="AJ9" s="198" t="s">
        <v>6</v>
      </c>
      <c r="AL9" s="28" t="s">
        <v>2</v>
      </c>
      <c r="AM9" s="113" t="s">
        <v>6</v>
      </c>
    </row>
    <row r="10" spans="1:39">
      <c r="A10" s="36"/>
      <c r="B10" s="36"/>
      <c r="AJ10" s="198"/>
      <c r="AM10" s="113"/>
    </row>
    <row r="11" spans="1:39">
      <c r="A11" s="83" t="s">
        <v>224</v>
      </c>
      <c r="B11" s="89">
        <v>51775427.170000002</v>
      </c>
      <c r="D11" s="89">
        <v>-584195.91999999993</v>
      </c>
      <c r="F11" s="89">
        <v>1910864.4893393549</v>
      </c>
      <c r="H11" s="30">
        <v>312639.77999999997</v>
      </c>
      <c r="I11" s="30"/>
      <c r="J11" s="30">
        <v>14051154.719999999</v>
      </c>
      <c r="K11" s="30"/>
      <c r="L11" s="127">
        <v>9688356.6954393554</v>
      </c>
      <c r="M11" s="30"/>
      <c r="N11" s="30">
        <v>14069674.970000001</v>
      </c>
      <c r="O11" s="30"/>
      <c r="P11" s="30">
        <v>474969.3</v>
      </c>
      <c r="Q11" s="30"/>
      <c r="R11" s="30">
        <v>0</v>
      </c>
      <c r="S11" s="30">
        <v>-16494384.799999997</v>
      </c>
      <c r="T11" s="30"/>
      <c r="U11" s="30">
        <f>AA11-Z11</f>
        <v>-1395979.6980995839</v>
      </c>
      <c r="V11" s="30"/>
      <c r="W11" s="199">
        <f>AF20</f>
        <v>301072732.15999997</v>
      </c>
      <c r="X11" s="30">
        <f>SUM(B11:F11,J11:S11)</f>
        <v>74891866.624778703</v>
      </c>
      <c r="Y11" s="345">
        <f>X11/W11</f>
        <v>0.24875008137561491</v>
      </c>
      <c r="Z11" s="30">
        <f>AA11*Y11</f>
        <v>-462229.75190044346</v>
      </c>
      <c r="AA11" s="199">
        <f>AJ20</f>
        <v>-1858209.4500000274</v>
      </c>
      <c r="AB11" s="30">
        <f>U11+Z11</f>
        <v>-1858209.4500000272</v>
      </c>
      <c r="AC11" s="30">
        <f>AB11-AA11</f>
        <v>0</v>
      </c>
      <c r="AF11" s="198">
        <v>329206.63</v>
      </c>
      <c r="AI11" s="28" t="s">
        <v>385</v>
      </c>
      <c r="AJ11" s="198">
        <v>-1749.7000000000116</v>
      </c>
      <c r="AL11" s="198" t="s">
        <v>385</v>
      </c>
      <c r="AM11" s="113">
        <v>329206.63</v>
      </c>
    </row>
    <row r="12" spans="1:39">
      <c r="A12" s="83"/>
      <c r="B12" s="89"/>
      <c r="D12" s="89"/>
      <c r="F12" s="89"/>
      <c r="H12" s="30"/>
      <c r="I12" s="30"/>
      <c r="J12" s="30"/>
      <c r="K12" s="30"/>
      <c r="L12" s="127"/>
      <c r="M12" s="30"/>
      <c r="N12" s="30"/>
      <c r="O12" s="30"/>
      <c r="P12" s="30"/>
      <c r="Q12" s="30"/>
      <c r="R12" s="30"/>
      <c r="S12" s="30"/>
      <c r="T12" s="30"/>
      <c r="U12" s="30"/>
      <c r="V12" s="30"/>
      <c r="W12" s="30"/>
      <c r="X12" s="30"/>
      <c r="Y12" s="345"/>
      <c r="Z12" s="30"/>
      <c r="AA12" s="30"/>
      <c r="AB12" s="30"/>
      <c r="AC12" s="30"/>
      <c r="AF12" s="198">
        <v>28979.379999999997</v>
      </c>
      <c r="AI12" s="28" t="s">
        <v>386</v>
      </c>
      <c r="AJ12" s="198">
        <v>-249.81000000000131</v>
      </c>
      <c r="AL12" s="198" t="s">
        <v>386</v>
      </c>
      <c r="AM12" s="113">
        <v>28979.379999999997</v>
      </c>
    </row>
    <row r="13" spans="1:39">
      <c r="A13" s="83" t="s">
        <v>225</v>
      </c>
      <c r="B13" s="89">
        <v>79137.2</v>
      </c>
      <c r="D13" s="89">
        <v>-907.94</v>
      </c>
      <c r="F13" s="89">
        <v>2751.3423277419352</v>
      </c>
      <c r="H13" s="30">
        <v>473</v>
      </c>
      <c r="I13" s="30"/>
      <c r="J13" s="30">
        <v>20407.409999999996</v>
      </c>
      <c r="K13" s="30"/>
      <c r="L13" s="127">
        <v>14314.753627741935</v>
      </c>
      <c r="M13" s="30"/>
      <c r="N13" s="30">
        <v>20246.18</v>
      </c>
      <c r="O13" s="30"/>
      <c r="P13" s="30">
        <v>532.19999999999993</v>
      </c>
      <c r="Q13" s="30"/>
      <c r="R13" s="30">
        <v>0</v>
      </c>
      <c r="S13" s="30">
        <v>-26320.739999999998</v>
      </c>
      <c r="T13" s="30"/>
      <c r="U13" s="30">
        <f t="shared" ref="U13:U63" si="0">AA13-Z13</f>
        <v>-2911.4118846280408</v>
      </c>
      <c r="V13" s="30"/>
      <c r="W13" s="199">
        <f>AF26</f>
        <v>433590.44</v>
      </c>
      <c r="X13" s="30">
        <f>SUM(B13:F13,J13:S13)</f>
        <v>110160.40595548388</v>
      </c>
      <c r="Y13" s="345">
        <f t="shared" ref="Y13:Y63" si="1">X13/W13</f>
        <v>0.25406557846497696</v>
      </c>
      <c r="Z13" s="30">
        <f>AA13*Y13</f>
        <v>-991.62811537193841</v>
      </c>
      <c r="AA13" s="199">
        <f>AJ26</f>
        <v>-3903.039999999979</v>
      </c>
      <c r="AB13" s="30">
        <f>U13+Z13</f>
        <v>-3903.039999999979</v>
      </c>
      <c r="AC13" s="30">
        <f>AB13-AA13</f>
        <v>0</v>
      </c>
      <c r="AF13" s="198">
        <v>2643.7900000000004</v>
      </c>
      <c r="AI13" s="28" t="s">
        <v>387</v>
      </c>
      <c r="AJ13" s="198">
        <v>-21.6599999999994</v>
      </c>
      <c r="AL13" s="198" t="s">
        <v>387</v>
      </c>
      <c r="AM13" s="113">
        <v>2643.7900000000004</v>
      </c>
    </row>
    <row r="14" spans="1:39">
      <c r="A14" s="83"/>
      <c r="B14" s="89"/>
      <c r="D14" s="89"/>
      <c r="F14" s="89"/>
      <c r="H14" s="30"/>
      <c r="I14" s="30"/>
      <c r="J14" s="30"/>
      <c r="K14" s="30"/>
      <c r="L14" s="127"/>
      <c r="M14" s="30"/>
      <c r="N14" s="30"/>
      <c r="O14" s="30"/>
      <c r="P14" s="30"/>
      <c r="Q14" s="30"/>
      <c r="R14" s="30"/>
      <c r="S14" s="30"/>
      <c r="T14" s="30"/>
      <c r="U14" s="30"/>
      <c r="V14" s="30"/>
      <c r="W14" s="30"/>
      <c r="X14" s="30"/>
      <c r="Y14" s="345"/>
      <c r="Z14" s="30"/>
      <c r="AA14" s="30"/>
      <c r="AB14" s="30"/>
      <c r="AC14" s="30"/>
      <c r="AF14" s="198">
        <v>31173.96</v>
      </c>
      <c r="AI14" s="28" t="s">
        <v>388</v>
      </c>
      <c r="AJ14" s="198">
        <v>-295.95999999999913</v>
      </c>
      <c r="AL14" s="198" t="s">
        <v>388</v>
      </c>
      <c r="AM14" s="113">
        <v>31173.96</v>
      </c>
    </row>
    <row r="15" spans="1:39">
      <c r="A15" s="83" t="s">
        <v>226</v>
      </c>
      <c r="B15" s="89">
        <v>3188.9799999999996</v>
      </c>
      <c r="D15" s="89">
        <v>-41.18</v>
      </c>
      <c r="F15" s="89">
        <v>96.595976774193531</v>
      </c>
      <c r="H15" s="30">
        <v>19.600000000000001</v>
      </c>
      <c r="I15" s="30"/>
      <c r="J15" s="30">
        <v>769.1099999999999</v>
      </c>
      <c r="K15" s="30"/>
      <c r="L15" s="127">
        <v>549.41137677419351</v>
      </c>
      <c r="M15" s="30"/>
      <c r="N15" s="30">
        <v>771.42</v>
      </c>
      <c r="O15" s="30"/>
      <c r="P15" s="30">
        <v>17.700000000000003</v>
      </c>
      <c r="Q15" s="30"/>
      <c r="R15" s="30">
        <v>0</v>
      </c>
      <c r="S15" s="30">
        <v>-1244.0899999999999</v>
      </c>
      <c r="T15" s="30"/>
      <c r="U15" s="30">
        <f t="shared" si="0"/>
        <v>53.372008890612562</v>
      </c>
      <c r="V15" s="30">
        <f>SUM(U11:U15)</f>
        <v>-1398837.7379753212</v>
      </c>
      <c r="W15" s="199">
        <f>AF29</f>
        <v>16688.25</v>
      </c>
      <c r="X15" s="30">
        <f>SUM(B15:F15,J15:S15)</f>
        <v>4107.9473535483867</v>
      </c>
      <c r="Y15" s="345">
        <f t="shared" si="1"/>
        <v>0.246158066516764</v>
      </c>
      <c r="Z15" s="30">
        <f>AA15*Y15</f>
        <v>17.427991109386713</v>
      </c>
      <c r="AA15" s="199">
        <f>AJ29</f>
        <v>70.799999999999272</v>
      </c>
      <c r="AB15" s="30">
        <f>U15+Z15</f>
        <v>70.799999999999272</v>
      </c>
      <c r="AC15" s="30">
        <f>AB15-AA15</f>
        <v>0</v>
      </c>
      <c r="AF15" s="198">
        <v>140986104.42000002</v>
      </c>
      <c r="AI15" s="28" t="s">
        <v>389</v>
      </c>
      <c r="AJ15" s="198">
        <v>-700387.01999998093</v>
      </c>
      <c r="AL15" s="198" t="s">
        <v>389</v>
      </c>
      <c r="AM15" s="113">
        <v>140986104.42000002</v>
      </c>
    </row>
    <row r="16" spans="1:39">
      <c r="A16" s="83"/>
      <c r="B16" s="89"/>
      <c r="D16" s="89"/>
      <c r="F16" s="89"/>
      <c r="H16" s="30"/>
      <c r="I16" s="30"/>
      <c r="J16" s="30"/>
      <c r="K16" s="30"/>
      <c r="L16" s="127"/>
      <c r="M16" s="30"/>
      <c r="N16" s="30"/>
      <c r="O16" s="30"/>
      <c r="P16" s="30"/>
      <c r="Q16" s="30"/>
      <c r="R16" s="30"/>
      <c r="S16" s="30"/>
      <c r="T16" s="30"/>
      <c r="U16" s="30"/>
      <c r="V16" s="30"/>
      <c r="W16" s="30"/>
      <c r="X16" s="30"/>
      <c r="Y16" s="345"/>
      <c r="Z16" s="30"/>
      <c r="AA16" s="30"/>
      <c r="AB16" s="30"/>
      <c r="AC16" s="30"/>
      <c r="AF16" s="198">
        <v>785907.32</v>
      </c>
      <c r="AI16" s="28" t="s">
        <v>390</v>
      </c>
      <c r="AJ16" s="198">
        <v>-6938.3800000000047</v>
      </c>
      <c r="AL16" s="198" t="s">
        <v>390</v>
      </c>
      <c r="AM16" s="113">
        <v>785907.32</v>
      </c>
    </row>
    <row r="17" spans="1:39">
      <c r="A17" s="83" t="s">
        <v>35</v>
      </c>
      <c r="B17" s="30">
        <v>1005977.2999999999</v>
      </c>
      <c r="C17" s="30"/>
      <c r="D17" s="30">
        <v>-12821</v>
      </c>
      <c r="E17" s="30"/>
      <c r="F17" s="30">
        <v>43269.54065548387</v>
      </c>
      <c r="G17" s="30"/>
      <c r="H17" s="30">
        <v>489.8</v>
      </c>
      <c r="I17" s="30"/>
      <c r="J17" s="30">
        <v>544659.37</v>
      </c>
      <c r="K17" s="30"/>
      <c r="L17" s="127">
        <v>28420.841289032254</v>
      </c>
      <c r="M17" s="30"/>
      <c r="N17" s="30">
        <v>563556.17999999993</v>
      </c>
      <c r="O17" s="30"/>
      <c r="P17" s="30"/>
      <c r="Q17" s="30"/>
      <c r="R17" s="30"/>
      <c r="S17" s="30">
        <v>-254480.01</v>
      </c>
      <c r="T17" s="30"/>
      <c r="U17" s="30">
        <f t="shared" si="0"/>
        <v>7629.6536099256018</v>
      </c>
      <c r="V17" s="30"/>
      <c r="W17" s="199">
        <f>AF151</f>
        <v>10018083.140000002</v>
      </c>
      <c r="X17" s="30">
        <f>SUM(B17:F17,J17:S17)</f>
        <v>1918582.2219445163</v>
      </c>
      <c r="Y17" s="345">
        <f t="shared" si="1"/>
        <v>0.1915119085290917</v>
      </c>
      <c r="Z17" s="30">
        <f>AA17*Y17</f>
        <v>1807.2863900745569</v>
      </c>
      <c r="AA17" s="199">
        <f>AJ151</f>
        <v>9436.9400000001588</v>
      </c>
      <c r="AB17" s="30">
        <f>U17+Z17</f>
        <v>9436.9400000001588</v>
      </c>
      <c r="AC17" s="30">
        <f>AB17-AA17</f>
        <v>0</v>
      </c>
      <c r="AF17" s="198">
        <v>0</v>
      </c>
      <c r="AI17" s="28" t="s">
        <v>391</v>
      </c>
      <c r="AJ17" s="198">
        <v>0</v>
      </c>
      <c r="AL17" s="198" t="s">
        <v>391</v>
      </c>
      <c r="AM17" s="113">
        <v>0</v>
      </c>
    </row>
    <row r="18" spans="1:39">
      <c r="A18" s="83"/>
      <c r="B18" s="30"/>
      <c r="C18" s="30"/>
      <c r="D18" s="30"/>
      <c r="E18" s="30"/>
      <c r="F18" s="30"/>
      <c r="G18" s="30"/>
      <c r="H18" s="30"/>
      <c r="I18" s="30"/>
      <c r="J18" s="30"/>
      <c r="K18" s="30"/>
      <c r="L18" s="127"/>
      <c r="M18" s="30"/>
      <c r="N18" s="30"/>
      <c r="O18" s="30"/>
      <c r="P18" s="30"/>
      <c r="Q18" s="30"/>
      <c r="R18" s="30"/>
      <c r="S18" s="30"/>
      <c r="T18" s="30"/>
      <c r="U18" s="30"/>
      <c r="V18" s="30"/>
      <c r="W18" s="30"/>
      <c r="X18" s="30"/>
      <c r="Y18" s="345"/>
      <c r="Z18" s="30"/>
      <c r="AA18" s="30"/>
      <c r="AB18" s="30"/>
      <c r="AC18" s="30"/>
      <c r="AF18" s="198">
        <v>158908716.65999997</v>
      </c>
      <c r="AI18" s="28" t="s">
        <v>392</v>
      </c>
      <c r="AJ18" s="198">
        <v>-1148566.9200000465</v>
      </c>
      <c r="AL18" s="198" t="s">
        <v>392</v>
      </c>
      <c r="AM18" s="113">
        <v>158908716.65999997</v>
      </c>
    </row>
    <row r="19" spans="1:39">
      <c r="A19" s="185" t="s">
        <v>202</v>
      </c>
      <c r="B19" s="30">
        <v>206192.06999999998</v>
      </c>
      <c r="C19" s="30"/>
      <c r="D19" s="30">
        <v>-2078.4</v>
      </c>
      <c r="E19" s="30"/>
      <c r="F19" s="30">
        <v>9521.1311264516116</v>
      </c>
      <c r="G19" s="30"/>
      <c r="H19" s="30">
        <v>236.37</v>
      </c>
      <c r="I19" s="30"/>
      <c r="J19" s="30">
        <v>75056.05</v>
      </c>
      <c r="K19" s="30"/>
      <c r="L19" s="127">
        <v>35815.637925161289</v>
      </c>
      <c r="M19" s="30"/>
      <c r="N19" s="30">
        <v>77296.040000000008</v>
      </c>
      <c r="O19" s="30"/>
      <c r="P19" s="30"/>
      <c r="Q19" s="30"/>
      <c r="R19" s="30">
        <v>5975</v>
      </c>
      <c r="S19" s="30">
        <v>-53417.359999999993</v>
      </c>
      <c r="T19" s="30"/>
      <c r="U19" s="30">
        <f t="shared" si="0"/>
        <v>-3026.0611055097816</v>
      </c>
      <c r="V19" s="30"/>
      <c r="W19" s="199">
        <f>AF45</f>
        <v>1513985.14</v>
      </c>
      <c r="X19" s="30">
        <f>SUM(B19:F19,J19:S19)</f>
        <v>354360.16905161284</v>
      </c>
      <c r="Y19" s="345">
        <f t="shared" si="1"/>
        <v>0.2340578911174867</v>
      </c>
      <c r="Z19" s="30">
        <f>AA19*Y19</f>
        <v>-924.7088944902373</v>
      </c>
      <c r="AA19" s="199">
        <f>AJ45</f>
        <v>-3950.7700000000186</v>
      </c>
      <c r="AB19" s="30">
        <f>U19+Z19</f>
        <v>-3950.7700000000186</v>
      </c>
      <c r="AC19" s="30">
        <f>AB19-AA19</f>
        <v>0</v>
      </c>
      <c r="AF19" s="198">
        <v>0</v>
      </c>
      <c r="AI19" s="28" t="s">
        <v>398</v>
      </c>
      <c r="AJ19" s="198">
        <v>0</v>
      </c>
      <c r="AL19" s="198" t="s">
        <v>398</v>
      </c>
      <c r="AM19" s="113">
        <v>0</v>
      </c>
    </row>
    <row r="20" spans="1:39">
      <c r="A20" s="83"/>
      <c r="B20" s="30"/>
      <c r="C20" s="30"/>
      <c r="D20" s="30"/>
      <c r="E20" s="30"/>
      <c r="F20" s="30"/>
      <c r="G20" s="30"/>
      <c r="H20" s="30"/>
      <c r="I20" s="30"/>
      <c r="J20" s="30"/>
      <c r="K20" s="30"/>
      <c r="L20" s="127"/>
      <c r="M20" s="30"/>
      <c r="N20" s="30"/>
      <c r="O20" s="30"/>
      <c r="P20" s="30"/>
      <c r="Q20" s="30"/>
      <c r="R20" s="30"/>
      <c r="S20" s="30"/>
      <c r="T20" s="30"/>
      <c r="U20" s="30"/>
      <c r="V20" s="30"/>
      <c r="W20" s="30"/>
      <c r="X20" s="30"/>
      <c r="Y20" s="345"/>
      <c r="Z20" s="30"/>
      <c r="AA20" s="30"/>
      <c r="AB20" s="30"/>
      <c r="AC20" s="30"/>
      <c r="AF20" s="198">
        <v>301072732.15999997</v>
      </c>
      <c r="AI20" s="28" t="s">
        <v>224</v>
      </c>
      <c r="AJ20" s="198">
        <v>-1858209.4500000274</v>
      </c>
      <c r="AL20" s="198" t="s">
        <v>224</v>
      </c>
      <c r="AM20" s="113">
        <v>301072732.15999997</v>
      </c>
    </row>
    <row r="21" spans="1:39">
      <c r="A21" s="83" t="s">
        <v>365</v>
      </c>
      <c r="B21" s="30">
        <v>82755.320000000007</v>
      </c>
      <c r="C21" s="30"/>
      <c r="D21" s="30">
        <v>-967.64</v>
      </c>
      <c r="E21" s="30"/>
      <c r="F21" s="30">
        <v>3534.6275858064514</v>
      </c>
      <c r="G21" s="30"/>
      <c r="H21" s="30">
        <v>112.96</v>
      </c>
      <c r="I21" s="30"/>
      <c r="J21" s="30">
        <v>40224.14</v>
      </c>
      <c r="K21" s="30"/>
      <c r="L21" s="127">
        <v>13977.348020645162</v>
      </c>
      <c r="M21" s="30"/>
      <c r="N21" s="30">
        <v>40433.909999999989</v>
      </c>
      <c r="O21" s="30"/>
      <c r="P21" s="30"/>
      <c r="Q21" s="30"/>
      <c r="R21" s="30">
        <v>11376</v>
      </c>
      <c r="S21" s="30">
        <v>-21266.69</v>
      </c>
      <c r="T21" s="30"/>
      <c r="U21" s="30">
        <f t="shared" si="0"/>
        <v>690.47182226908956</v>
      </c>
      <c r="V21" s="30"/>
      <c r="W21" s="199">
        <f>AF42</f>
        <v>743051.91999999993</v>
      </c>
      <c r="X21" s="30">
        <f>SUM(B21:F21,J21:S21)</f>
        <v>170067.0156064516</v>
      </c>
      <c r="Y21" s="345">
        <f t="shared" si="1"/>
        <v>0.22887635578204499</v>
      </c>
      <c r="Z21" s="30">
        <f>AA21*Y21</f>
        <v>204.93817773076839</v>
      </c>
      <c r="AA21" s="199">
        <f>AJ42</f>
        <v>895.40999999985797</v>
      </c>
      <c r="AB21" s="30">
        <f>U21+Z21</f>
        <v>895.40999999985797</v>
      </c>
      <c r="AC21" s="30">
        <f>AB21-AA21</f>
        <v>0</v>
      </c>
      <c r="AF21" s="198"/>
      <c r="AJ21" s="198"/>
      <c r="AL21" s="198"/>
      <c r="AM21" s="113"/>
    </row>
    <row r="22" spans="1:39">
      <c r="A22" s="83"/>
      <c r="B22" s="30"/>
      <c r="C22" s="30"/>
      <c r="D22" s="30"/>
      <c r="E22" s="30"/>
      <c r="F22" s="30"/>
      <c r="G22" s="30"/>
      <c r="H22" s="30"/>
      <c r="I22" s="30"/>
      <c r="J22" s="30"/>
      <c r="K22" s="30"/>
      <c r="L22" s="127"/>
      <c r="M22" s="30"/>
      <c r="N22" s="30"/>
      <c r="O22" s="30"/>
      <c r="P22" s="30"/>
      <c r="Q22" s="30"/>
      <c r="R22" s="30"/>
      <c r="S22" s="30"/>
      <c r="T22" s="30"/>
      <c r="U22" s="30"/>
      <c r="V22" s="30"/>
      <c r="W22" s="30"/>
      <c r="X22" s="30"/>
      <c r="Y22" s="345"/>
      <c r="Z22" s="30"/>
      <c r="AA22" s="30"/>
      <c r="AB22" s="30"/>
      <c r="AC22" s="30"/>
      <c r="AF22" s="198">
        <v>18479.269999999997</v>
      </c>
      <c r="AI22" s="28" t="s">
        <v>393</v>
      </c>
      <c r="AJ22" s="198">
        <v>-180.07000000000335</v>
      </c>
      <c r="AL22" s="198" t="s">
        <v>393</v>
      </c>
      <c r="AM22" s="113">
        <v>18479.269999999997</v>
      </c>
    </row>
    <row r="23" spans="1:39">
      <c r="A23" s="83" t="s">
        <v>367</v>
      </c>
      <c r="B23" s="30">
        <v>33196.54</v>
      </c>
      <c r="C23" s="30"/>
      <c r="D23" s="30">
        <v>-441.33999999999992</v>
      </c>
      <c r="E23" s="30"/>
      <c r="F23" s="30">
        <v>1537.6695483870965</v>
      </c>
      <c r="G23" s="30"/>
      <c r="H23" s="30">
        <v>49.19</v>
      </c>
      <c r="I23" s="30"/>
      <c r="J23" s="30">
        <v>10738.039999999999</v>
      </c>
      <c r="K23" s="30"/>
      <c r="L23" s="127">
        <v>6158.7688387096778</v>
      </c>
      <c r="M23" s="30"/>
      <c r="N23" s="30">
        <v>11465.939999999999</v>
      </c>
      <c r="O23" s="30"/>
      <c r="P23" s="30"/>
      <c r="Q23" s="30"/>
      <c r="R23" s="30">
        <v>1015</v>
      </c>
      <c r="S23" s="30">
        <v>-9400.6200000000008</v>
      </c>
      <c r="T23" s="30"/>
      <c r="U23" s="30">
        <f t="shared" si="0"/>
        <v>517.93318561794479</v>
      </c>
      <c r="V23" s="30"/>
      <c r="W23" s="199">
        <f>AF48</f>
        <v>232965.49999999997</v>
      </c>
      <c r="X23" s="30">
        <f>SUM(B23:F23,J23:S23)</f>
        <v>54269.998387096777</v>
      </c>
      <c r="Y23" s="345">
        <f t="shared" si="1"/>
        <v>0.23295294104533412</v>
      </c>
      <c r="Z23" s="30">
        <f>AA23*Y23</f>
        <v>157.29681438203662</v>
      </c>
      <c r="AA23" s="199">
        <f>AJ48</f>
        <v>675.22999999998137</v>
      </c>
      <c r="AB23" s="30">
        <f>U23+Z23</f>
        <v>675.22999999998137</v>
      </c>
      <c r="AC23" s="30">
        <f>AB23-AA23</f>
        <v>0</v>
      </c>
      <c r="AF23" s="198">
        <v>196413.28000000003</v>
      </c>
      <c r="AI23" s="28" t="s">
        <v>394</v>
      </c>
      <c r="AJ23" s="198">
        <v>-2094.3899999999849</v>
      </c>
      <c r="AL23" s="198" t="s">
        <v>394</v>
      </c>
      <c r="AM23" s="113">
        <v>196413.28000000003</v>
      </c>
    </row>
    <row r="24" spans="1:39">
      <c r="A24" s="83"/>
      <c r="B24" s="30"/>
      <c r="C24" s="30"/>
      <c r="D24" s="30"/>
      <c r="E24" s="30"/>
      <c r="F24" s="30"/>
      <c r="G24" s="30"/>
      <c r="H24" s="30"/>
      <c r="I24" s="30"/>
      <c r="J24" s="30"/>
      <c r="K24" s="30"/>
      <c r="L24" s="127"/>
      <c r="M24" s="30"/>
      <c r="N24" s="30"/>
      <c r="O24" s="30"/>
      <c r="P24" s="30"/>
      <c r="Q24" s="30"/>
      <c r="R24" s="30"/>
      <c r="S24" s="30"/>
      <c r="T24" s="30"/>
      <c r="U24" s="30"/>
      <c r="V24" s="30"/>
      <c r="W24" s="30"/>
      <c r="X24" s="30"/>
      <c r="Y24" s="345"/>
      <c r="Z24" s="30"/>
      <c r="AA24" s="30"/>
      <c r="AB24" s="30"/>
      <c r="AC24" s="30"/>
      <c r="AF24" s="198">
        <v>217085.2</v>
      </c>
      <c r="AI24" s="28" t="s">
        <v>395</v>
      </c>
      <c r="AJ24" s="198">
        <v>-1625.2399999999907</v>
      </c>
      <c r="AL24" s="198" t="s">
        <v>395</v>
      </c>
      <c r="AM24" s="113">
        <v>217085.2</v>
      </c>
    </row>
    <row r="25" spans="1:39">
      <c r="A25" s="83" t="s">
        <v>366</v>
      </c>
      <c r="B25" s="30">
        <v>15653843.91</v>
      </c>
      <c r="C25" s="30"/>
      <c r="D25" s="30">
        <v>-161790.5</v>
      </c>
      <c r="E25" s="30"/>
      <c r="F25" s="30">
        <v>654672.10458193556</v>
      </c>
      <c r="G25" s="30"/>
      <c r="H25" s="30">
        <v>18765.16</v>
      </c>
      <c r="I25" s="30"/>
      <c r="J25" s="30">
        <v>4956793.0999999996</v>
      </c>
      <c r="K25" s="30"/>
      <c r="L25" s="127">
        <v>2550438.3435535482</v>
      </c>
      <c r="M25" s="30"/>
      <c r="N25" s="30">
        <v>5077702.5199999996</v>
      </c>
      <c r="O25" s="30"/>
      <c r="P25" s="30"/>
      <c r="Q25" s="30"/>
      <c r="R25" s="30">
        <v>348522</v>
      </c>
      <c r="S25" s="30">
        <v>-3890519.3200000003</v>
      </c>
      <c r="T25" s="30"/>
      <c r="U25" s="30">
        <f t="shared" si="0"/>
        <v>-188371.15311543451</v>
      </c>
      <c r="V25" s="30"/>
      <c r="W25" s="199">
        <f>AF38</f>
        <v>103154993.83999999</v>
      </c>
      <c r="X25" s="30">
        <f t="shared" ref="X25" si="2">SUM(B25:F25,J25:S25)</f>
        <v>25189662.158135481</v>
      </c>
      <c r="Y25" s="345">
        <f t="shared" si="1"/>
        <v>0.24419236743115183</v>
      </c>
      <c r="Z25" s="30">
        <f>AA25*Y25</f>
        <v>-60860.456884581428</v>
      </c>
      <c r="AA25" s="199">
        <f>AJ38</f>
        <v>-249231.61000001593</v>
      </c>
      <c r="AB25" s="30">
        <f>U25+Z25</f>
        <v>-249231.61000001593</v>
      </c>
      <c r="AC25" s="30">
        <f t="shared" ref="AC25" si="3">AB25-AA25</f>
        <v>0</v>
      </c>
      <c r="AF25" s="198">
        <v>1612.69</v>
      </c>
      <c r="AI25" s="28" t="s">
        <v>396</v>
      </c>
      <c r="AJ25" s="198">
        <v>-3.3399999999999181</v>
      </c>
      <c r="AL25" s="198" t="s">
        <v>396</v>
      </c>
      <c r="AM25" s="113">
        <v>1612.69</v>
      </c>
    </row>
    <row r="26" spans="1:39">
      <c r="A26" s="83"/>
      <c r="B26" s="30"/>
      <c r="C26" s="30"/>
      <c r="D26" s="30"/>
      <c r="E26" s="30"/>
      <c r="F26" s="30"/>
      <c r="G26" s="30"/>
      <c r="H26" s="30"/>
      <c r="I26" s="30"/>
      <c r="J26" s="30"/>
      <c r="K26" s="30"/>
      <c r="L26" s="127"/>
      <c r="M26" s="30"/>
      <c r="N26" s="30"/>
      <c r="O26" s="30"/>
      <c r="P26" s="30"/>
      <c r="Q26" s="30"/>
      <c r="R26" s="30"/>
      <c r="S26" s="30"/>
      <c r="T26" s="30"/>
      <c r="U26" s="30"/>
      <c r="V26" s="30"/>
      <c r="W26" s="30"/>
      <c r="X26" s="30"/>
      <c r="Y26" s="345"/>
      <c r="Z26" s="30"/>
      <c r="AA26" s="30"/>
      <c r="AB26" s="30"/>
      <c r="AC26" s="30"/>
      <c r="AF26" s="198">
        <v>433590.44</v>
      </c>
      <c r="AI26" s="28" t="s">
        <v>225</v>
      </c>
      <c r="AJ26" s="198">
        <v>-3903.039999999979</v>
      </c>
      <c r="AL26" s="198" t="s">
        <v>225</v>
      </c>
      <c r="AM26" s="113">
        <v>433590.44</v>
      </c>
    </row>
    <row r="27" spans="1:39">
      <c r="A27" s="83" t="s">
        <v>369</v>
      </c>
      <c r="B27" s="30">
        <v>45953.7</v>
      </c>
      <c r="C27" s="30"/>
      <c r="D27" s="30">
        <v>-519.1099999999999</v>
      </c>
      <c r="E27" s="30"/>
      <c r="F27" s="30">
        <v>1757.0908167741934</v>
      </c>
      <c r="G27" s="30"/>
      <c r="H27" s="30">
        <v>62.889999999999993</v>
      </c>
      <c r="I27" s="30"/>
      <c r="J27" s="30">
        <v>12637.22</v>
      </c>
      <c r="K27" s="30"/>
      <c r="L27" s="127">
        <v>7167.5005574193547</v>
      </c>
      <c r="M27" s="30"/>
      <c r="N27" s="30">
        <v>12883.14</v>
      </c>
      <c r="O27" s="30"/>
      <c r="P27" s="30"/>
      <c r="Q27" s="30"/>
      <c r="R27" s="30">
        <v>806</v>
      </c>
      <c r="S27" s="30">
        <v>-11149.04</v>
      </c>
      <c r="T27" s="30"/>
      <c r="U27" s="30">
        <f t="shared" si="0"/>
        <v>-2089.8997590631411</v>
      </c>
      <c r="V27" s="30"/>
      <c r="W27" s="199">
        <f>AF52</f>
        <v>273128.92</v>
      </c>
      <c r="X27" s="30">
        <f t="shared" ref="X27" si="4">SUM(B27:F27,J27:S27)</f>
        <v>69536.501374193555</v>
      </c>
      <c r="Y27" s="345">
        <f t="shared" si="1"/>
        <v>0.2545922320279872</v>
      </c>
      <c r="Z27" s="30">
        <f>AA27*Y27</f>
        <v>-713.80024093687064</v>
      </c>
      <c r="AA27" s="199">
        <f>AJ52</f>
        <v>-2803.7000000000116</v>
      </c>
      <c r="AB27" s="30">
        <f>U27+Z27</f>
        <v>-2803.7000000000116</v>
      </c>
      <c r="AC27" s="30">
        <f>AB27-AA27</f>
        <v>0</v>
      </c>
      <c r="AF27" s="198"/>
      <c r="AJ27" s="198"/>
      <c r="AL27" s="198"/>
      <c r="AM27" s="113"/>
    </row>
    <row r="28" spans="1:39">
      <c r="A28" s="83"/>
      <c r="B28" s="30"/>
      <c r="C28" s="30"/>
      <c r="D28" s="30"/>
      <c r="E28" s="30"/>
      <c r="F28" s="30"/>
      <c r="G28" s="30"/>
      <c r="H28" s="30"/>
      <c r="I28" s="30"/>
      <c r="J28" s="30"/>
      <c r="K28" s="30"/>
      <c r="L28" s="127"/>
      <c r="M28" s="30"/>
      <c r="N28" s="30"/>
      <c r="O28" s="30"/>
      <c r="P28" s="30"/>
      <c r="Q28" s="30"/>
      <c r="R28" s="30"/>
      <c r="S28" s="30"/>
      <c r="T28" s="30"/>
      <c r="U28" s="30"/>
      <c r="V28" s="30"/>
      <c r="W28" s="30"/>
      <c r="X28" s="30"/>
      <c r="Y28" s="345"/>
      <c r="Z28" s="30"/>
      <c r="AA28" s="30"/>
      <c r="AB28" s="30"/>
      <c r="AC28" s="30"/>
      <c r="AF28" s="198">
        <v>16688.25</v>
      </c>
      <c r="AI28" s="28" t="s">
        <v>397</v>
      </c>
      <c r="AJ28" s="198">
        <v>70.799999999999272</v>
      </c>
      <c r="AL28" s="198" t="s">
        <v>397</v>
      </c>
      <c r="AM28" s="113">
        <v>16688.25</v>
      </c>
    </row>
    <row r="29" spans="1:39">
      <c r="A29" s="83" t="s">
        <v>370</v>
      </c>
      <c r="B29" s="30">
        <v>223919.77</v>
      </c>
      <c r="C29" s="30"/>
      <c r="D29" s="30">
        <v>-2415.2700000000004</v>
      </c>
      <c r="E29" s="30"/>
      <c r="F29" s="30">
        <v>9428.3266787096763</v>
      </c>
      <c r="G29" s="30"/>
      <c r="H29" s="30">
        <v>279.66000000000003</v>
      </c>
      <c r="I29" s="30"/>
      <c r="J29" s="30">
        <v>59331.409999999996</v>
      </c>
      <c r="K29" s="30"/>
      <c r="L29" s="127">
        <v>36839.913230967744</v>
      </c>
      <c r="M29" s="30"/>
      <c r="N29" s="30">
        <v>60220.76999999999</v>
      </c>
      <c r="O29" s="30"/>
      <c r="P29" s="30"/>
      <c r="Q29" s="30"/>
      <c r="R29" s="30">
        <v>1672</v>
      </c>
      <c r="S29" s="30">
        <v>-56011.420000000006</v>
      </c>
      <c r="T29" s="30"/>
      <c r="U29" s="30">
        <f t="shared" si="0"/>
        <v>-3222.8939970918891</v>
      </c>
      <c r="V29" s="30">
        <f>SUM(U19:U29)</f>
        <v>-195501.60296921228</v>
      </c>
      <c r="W29" s="199">
        <f>AF55</f>
        <v>1300590.9099999999</v>
      </c>
      <c r="X29" s="30">
        <f>SUM(B29:F29,J29:S29)</f>
        <v>332985.49990967748</v>
      </c>
      <c r="Y29" s="345">
        <f t="shared" si="1"/>
        <v>0.25602631646078283</v>
      </c>
      <c r="Z29" s="30">
        <f>AA29*Y29</f>
        <v>-1109.1060029081111</v>
      </c>
      <c r="AA29" s="199">
        <f>AJ55</f>
        <v>-4332</v>
      </c>
      <c r="AB29" s="30">
        <f>U29+Z29</f>
        <v>-4332</v>
      </c>
      <c r="AC29" s="30">
        <f>AB29-AA29</f>
        <v>0</v>
      </c>
      <c r="AF29" s="198">
        <v>16688.25</v>
      </c>
      <c r="AI29" s="28" t="s">
        <v>226</v>
      </c>
      <c r="AJ29" s="198">
        <v>70.799999999999272</v>
      </c>
      <c r="AL29" s="198" t="s">
        <v>226</v>
      </c>
      <c r="AM29" s="113">
        <v>16688.25</v>
      </c>
    </row>
    <row r="30" spans="1:39">
      <c r="A30" s="83"/>
      <c r="B30" s="30"/>
      <c r="C30" s="30"/>
      <c r="D30" s="30"/>
      <c r="E30" s="30"/>
      <c r="F30" s="30"/>
      <c r="G30" s="30"/>
      <c r="H30" s="30"/>
      <c r="I30" s="30"/>
      <c r="J30" s="30"/>
      <c r="K30" s="30"/>
      <c r="L30" s="127"/>
      <c r="M30" s="30"/>
      <c r="N30" s="30"/>
      <c r="O30" s="30"/>
      <c r="P30" s="30"/>
      <c r="Q30" s="30"/>
      <c r="R30" s="30"/>
      <c r="S30" s="30"/>
      <c r="T30" s="30"/>
      <c r="U30" s="30"/>
      <c r="V30" s="30"/>
      <c r="W30" s="30"/>
      <c r="X30" s="30"/>
      <c r="Y30" s="345"/>
      <c r="Z30" s="30"/>
      <c r="AA30" s="30"/>
      <c r="AB30" s="30"/>
      <c r="AC30" s="30"/>
      <c r="AF30" s="198"/>
      <c r="AJ30" s="198"/>
      <c r="AL30" s="198"/>
      <c r="AM30" s="113"/>
    </row>
    <row r="31" spans="1:39">
      <c r="A31" s="83" t="s">
        <v>368</v>
      </c>
      <c r="B31" s="30">
        <v>228481.62000000002</v>
      </c>
      <c r="C31" s="30"/>
      <c r="D31" s="30">
        <v>-2613.7999999999997</v>
      </c>
      <c r="E31" s="30"/>
      <c r="F31" s="30">
        <v>9118.5151522580636</v>
      </c>
      <c r="G31" s="30"/>
      <c r="H31" s="30">
        <v>130.41000000000003</v>
      </c>
      <c r="I31" s="30"/>
      <c r="J31" s="30">
        <v>59853.53</v>
      </c>
      <c r="K31" s="30"/>
      <c r="L31" s="127">
        <v>36210.813705806453</v>
      </c>
      <c r="M31" s="30"/>
      <c r="N31" s="30">
        <v>61121.619999999995</v>
      </c>
      <c r="O31" s="30"/>
      <c r="P31" s="30"/>
      <c r="Q31" s="30"/>
      <c r="R31" s="30">
        <v>890</v>
      </c>
      <c r="S31" s="30">
        <v>-54778.540000000008</v>
      </c>
      <c r="T31" s="30"/>
      <c r="U31" s="30">
        <f t="shared" si="0"/>
        <v>-10619.515621077491</v>
      </c>
      <c r="V31" s="30"/>
      <c r="W31" s="199">
        <f>AF59</f>
        <v>1314523.3199999998</v>
      </c>
      <c r="X31" s="30">
        <f>SUM(B31:F31,J31:S31)</f>
        <v>338283.75885806454</v>
      </c>
      <c r="Y31" s="345">
        <f t="shared" si="1"/>
        <v>0.2573432922118602</v>
      </c>
      <c r="Z31" s="30">
        <f>AA31*Y31</f>
        <v>-3679.8443789226117</v>
      </c>
      <c r="AA31" s="199">
        <f>AJ59</f>
        <v>-14299.360000000102</v>
      </c>
      <c r="AB31" s="30">
        <f>U31+Z31</f>
        <v>-14299.360000000102</v>
      </c>
      <c r="AC31" s="30">
        <f>AB31-AA31</f>
        <v>0</v>
      </c>
      <c r="AF31" s="198">
        <v>301523010.84999996</v>
      </c>
      <c r="AI31" s="28" t="s">
        <v>457</v>
      </c>
      <c r="AJ31" s="198">
        <v>-1862041.6900000274</v>
      </c>
      <c r="AL31" s="198" t="s">
        <v>457</v>
      </c>
      <c r="AM31" s="113">
        <v>301523010.84999996</v>
      </c>
    </row>
    <row r="32" spans="1:39">
      <c r="A32" s="83"/>
      <c r="B32" s="30"/>
      <c r="C32" s="30"/>
      <c r="D32" s="30"/>
      <c r="E32" s="30"/>
      <c r="F32" s="30"/>
      <c r="G32" s="30"/>
      <c r="H32" s="30"/>
      <c r="I32" s="30"/>
      <c r="J32" s="30"/>
      <c r="K32" s="30"/>
      <c r="L32" s="127"/>
      <c r="M32" s="30"/>
      <c r="N32" s="30"/>
      <c r="O32" s="30"/>
      <c r="P32" s="30"/>
      <c r="Q32" s="30"/>
      <c r="R32" s="30"/>
      <c r="S32" s="30"/>
      <c r="T32" s="30"/>
      <c r="U32" s="30"/>
      <c r="V32" s="30"/>
      <c r="W32" s="30"/>
      <c r="X32" s="30"/>
      <c r="Y32" s="345"/>
      <c r="Z32" s="30"/>
      <c r="AA32" s="30"/>
      <c r="AB32" s="30"/>
      <c r="AC32" s="30"/>
      <c r="AF32" s="198"/>
      <c r="AJ32" s="198"/>
      <c r="AL32" s="198"/>
      <c r="AM32" s="113"/>
    </row>
    <row r="33" spans="1:39">
      <c r="A33" s="83" t="s">
        <v>371</v>
      </c>
      <c r="B33" s="30">
        <v>10244.879999999999</v>
      </c>
      <c r="C33" s="30"/>
      <c r="D33" s="30">
        <v>-87.580000000000013</v>
      </c>
      <c r="E33" s="30"/>
      <c r="F33" s="30">
        <v>499.35019741935491</v>
      </c>
      <c r="G33" s="30"/>
      <c r="H33" s="30">
        <v>0</v>
      </c>
      <c r="I33" s="30"/>
      <c r="J33" s="30">
        <v>3284.9599999999996</v>
      </c>
      <c r="K33" s="30"/>
      <c r="L33" s="127">
        <v>1843.235821935484</v>
      </c>
      <c r="M33" s="30"/>
      <c r="N33" s="30">
        <v>3382.79</v>
      </c>
      <c r="O33" s="30"/>
      <c r="P33" s="30"/>
      <c r="Q33" s="30"/>
      <c r="R33" s="30">
        <v>37</v>
      </c>
      <c r="S33" s="30">
        <v>-2770.32</v>
      </c>
      <c r="T33" s="30"/>
      <c r="U33" s="30">
        <f t="shared" si="0"/>
        <v>-1412.7062612089535</v>
      </c>
      <c r="V33" s="30"/>
      <c r="W33" s="199">
        <f>AF62</f>
        <v>69060.72</v>
      </c>
      <c r="X33" s="30">
        <f>SUM(B33:F33,J33:S33)</f>
        <v>16434.316019354839</v>
      </c>
      <c r="Y33" s="345">
        <f t="shared" si="1"/>
        <v>0.23796908024351382</v>
      </c>
      <c r="Z33" s="30">
        <f>AA33*Y33</f>
        <v>-441.16373879104185</v>
      </c>
      <c r="AA33" s="199">
        <f>AJ62</f>
        <v>-1853.8699999999953</v>
      </c>
      <c r="AB33" s="30">
        <f>U33+Z33</f>
        <v>-1853.8699999999953</v>
      </c>
      <c r="AC33" s="30">
        <f>AB33-AA33</f>
        <v>0</v>
      </c>
      <c r="AF33" s="198">
        <v>29336021.210000001</v>
      </c>
      <c r="AI33" s="28" t="s">
        <v>419</v>
      </c>
      <c r="AJ33" s="198">
        <v>-55393.730000000447</v>
      </c>
      <c r="AL33" s="198" t="s">
        <v>419</v>
      </c>
      <c r="AM33" s="113">
        <v>29336021.210000001</v>
      </c>
    </row>
    <row r="34" spans="1:39">
      <c r="A34" s="83"/>
      <c r="B34" s="30"/>
      <c r="C34" s="30"/>
      <c r="D34" s="30"/>
      <c r="E34" s="30"/>
      <c r="F34" s="30"/>
      <c r="G34" s="30"/>
      <c r="H34" s="30"/>
      <c r="I34" s="30"/>
      <c r="J34" s="30"/>
      <c r="K34" s="30"/>
      <c r="L34" s="127"/>
      <c r="M34" s="30"/>
      <c r="N34" s="30"/>
      <c r="O34" s="30"/>
      <c r="P34" s="30"/>
      <c r="Q34" s="30"/>
      <c r="R34" s="30"/>
      <c r="S34" s="30"/>
      <c r="T34" s="30"/>
      <c r="U34" s="30"/>
      <c r="V34" s="30"/>
      <c r="W34" s="30"/>
      <c r="X34" s="30"/>
      <c r="Y34" s="345"/>
      <c r="Z34" s="30"/>
      <c r="AA34" s="30"/>
      <c r="AB34" s="30"/>
      <c r="AC34" s="30"/>
      <c r="AF34" s="198">
        <v>850.8</v>
      </c>
      <c r="AI34" s="28" t="s">
        <v>420</v>
      </c>
      <c r="AJ34" s="198">
        <v>-0.16000000000008185</v>
      </c>
      <c r="AL34" s="198" t="s">
        <v>420</v>
      </c>
      <c r="AM34" s="113">
        <v>850.8</v>
      </c>
    </row>
    <row r="35" spans="1:39">
      <c r="A35" s="83" t="s">
        <v>372</v>
      </c>
      <c r="B35" s="30">
        <v>7831711.1599999992</v>
      </c>
      <c r="C35" s="30"/>
      <c r="D35" s="30">
        <v>-81598.740000000005</v>
      </c>
      <c r="E35" s="30"/>
      <c r="F35" s="30">
        <v>344642.06380516122</v>
      </c>
      <c r="G35" s="30"/>
      <c r="H35" s="30">
        <v>8381.4399999999987</v>
      </c>
      <c r="I35" s="30"/>
      <c r="J35" s="30">
        <v>1941340.2</v>
      </c>
      <c r="K35" s="30"/>
      <c r="L35" s="127">
        <v>1092712.417536129</v>
      </c>
      <c r="M35" s="30"/>
      <c r="N35" s="30">
        <v>1994130.82</v>
      </c>
      <c r="O35" s="30"/>
      <c r="P35" s="30"/>
      <c r="Q35" s="30"/>
      <c r="R35" s="30">
        <v>4320</v>
      </c>
      <c r="S35" s="30">
        <v>-1987891.89</v>
      </c>
      <c r="T35" s="30"/>
      <c r="U35" s="30">
        <f t="shared" si="0"/>
        <v>10842.09461631066</v>
      </c>
      <c r="V35" s="30">
        <f>SUM(U35:U39)</f>
        <v>12512.869140739975</v>
      </c>
      <c r="W35" s="199">
        <f>AF68</f>
        <v>43965759.959999993</v>
      </c>
      <c r="X35" s="30">
        <f>SUM(B35:F35,J35:S35)</f>
        <v>11139366.031341288</v>
      </c>
      <c r="Y35" s="345">
        <f t="shared" si="1"/>
        <v>0.25336457373819704</v>
      </c>
      <c r="Z35" s="30">
        <f>AA35*Y35</f>
        <v>3679.1753836865655</v>
      </c>
      <c r="AA35" s="199">
        <f>AJ68</f>
        <v>14521.269999997225</v>
      </c>
      <c r="AB35" s="30">
        <f>U35+Z35</f>
        <v>14521.269999997225</v>
      </c>
      <c r="AC35" s="30">
        <f>AB35-AA35</f>
        <v>0</v>
      </c>
      <c r="AF35" s="198">
        <v>73786162.61999999</v>
      </c>
      <c r="AI35" s="28" t="s">
        <v>423</v>
      </c>
      <c r="AJ35" s="198">
        <v>-193170.1400000155</v>
      </c>
      <c r="AL35" s="198" t="s">
        <v>423</v>
      </c>
      <c r="AM35" s="113">
        <v>73786162.61999999</v>
      </c>
    </row>
    <row r="36" spans="1:39">
      <c r="A36" s="83"/>
      <c r="B36" s="30"/>
      <c r="C36" s="30"/>
      <c r="D36" s="30"/>
      <c r="E36" s="30"/>
      <c r="F36" s="30"/>
      <c r="G36" s="30"/>
      <c r="H36" s="30"/>
      <c r="I36" s="30"/>
      <c r="J36" s="30"/>
      <c r="K36" s="30"/>
      <c r="L36" s="127"/>
      <c r="M36" s="30"/>
      <c r="N36" s="30"/>
      <c r="O36" s="30"/>
      <c r="P36" s="30"/>
      <c r="Q36" s="30"/>
      <c r="R36" s="30"/>
      <c r="S36" s="30"/>
      <c r="T36" s="30"/>
      <c r="U36" s="30"/>
      <c r="V36" s="30"/>
      <c r="W36" s="30"/>
      <c r="X36" s="30"/>
      <c r="Y36" s="345"/>
      <c r="Z36" s="30"/>
      <c r="AA36" s="30"/>
      <c r="AB36" s="30"/>
      <c r="AC36" s="30"/>
      <c r="AF36" s="198">
        <v>0</v>
      </c>
      <c r="AI36" s="28" t="s">
        <v>424</v>
      </c>
      <c r="AJ36" s="198">
        <v>0</v>
      </c>
      <c r="AL36" s="198" t="s">
        <v>424</v>
      </c>
      <c r="AM36" s="113">
        <v>0</v>
      </c>
    </row>
    <row r="37" spans="1:39">
      <c r="A37" s="83" t="s">
        <v>376</v>
      </c>
      <c r="B37" s="30">
        <v>50209.88</v>
      </c>
      <c r="C37" s="30"/>
      <c r="D37" s="30">
        <v>-562.78000000000009</v>
      </c>
      <c r="E37" s="30"/>
      <c r="F37" s="30">
        <v>2267.393545806452</v>
      </c>
      <c r="G37" s="30"/>
      <c r="H37" s="30">
        <v>43.62</v>
      </c>
      <c r="I37" s="30"/>
      <c r="J37" s="30">
        <v>12588.4</v>
      </c>
      <c r="K37" s="30"/>
      <c r="L37" s="127">
        <v>7607.8929058064514</v>
      </c>
      <c r="M37" s="30"/>
      <c r="N37" s="30">
        <v>11839.430000000002</v>
      </c>
      <c r="O37" s="30"/>
      <c r="P37" s="30"/>
      <c r="Q37" s="30"/>
      <c r="R37" s="30">
        <v>84</v>
      </c>
      <c r="S37" s="30">
        <v>-11711.470000000001</v>
      </c>
      <c r="T37" s="30"/>
      <c r="U37" s="30">
        <f t="shared" si="0"/>
        <v>-530.81467372933082</v>
      </c>
      <c r="V37" s="30"/>
      <c r="W37" s="199">
        <f>AF71</f>
        <v>265952.04000000004</v>
      </c>
      <c r="X37" s="30">
        <f>SUM(B37:F37,J37:S37)</f>
        <v>72322.746451612911</v>
      </c>
      <c r="Y37" s="345">
        <f t="shared" si="1"/>
        <v>0.27193905507027849</v>
      </c>
      <c r="Z37" s="30">
        <f>AA37*Y37</f>
        <v>-198.26532627062724</v>
      </c>
      <c r="AA37" s="199">
        <f>AJ71</f>
        <v>-729.07999999995809</v>
      </c>
      <c r="AB37" s="30">
        <f>U37+Z37</f>
        <v>-729.07999999995809</v>
      </c>
      <c r="AC37" s="30">
        <f>AB37-AA37</f>
        <v>0</v>
      </c>
      <c r="AF37" s="198">
        <v>31959.21</v>
      </c>
      <c r="AI37" s="28" t="s">
        <v>426</v>
      </c>
      <c r="AJ37" s="198">
        <v>-667.58000000000175</v>
      </c>
      <c r="AL37" s="198" t="s">
        <v>426</v>
      </c>
      <c r="AM37" s="113">
        <v>31959.21</v>
      </c>
    </row>
    <row r="38" spans="1:39">
      <c r="A38" s="83"/>
      <c r="B38" s="30"/>
      <c r="C38" s="30"/>
      <c r="D38" s="30"/>
      <c r="E38" s="30"/>
      <c r="F38" s="30"/>
      <c r="G38" s="30"/>
      <c r="H38" s="30"/>
      <c r="I38" s="30"/>
      <c r="J38" s="30"/>
      <c r="K38" s="30"/>
      <c r="L38" s="127"/>
      <c r="M38" s="30"/>
      <c r="N38" s="30"/>
      <c r="O38" s="30"/>
      <c r="P38" s="30"/>
      <c r="Q38" s="30"/>
      <c r="R38" s="30"/>
      <c r="S38" s="30"/>
      <c r="T38" s="30"/>
      <c r="U38" s="30"/>
      <c r="V38" s="30"/>
      <c r="W38" s="30"/>
      <c r="X38" s="30"/>
      <c r="Y38" s="345"/>
      <c r="Z38" s="30"/>
      <c r="AA38" s="30"/>
      <c r="AB38" s="30"/>
      <c r="AC38" s="30"/>
      <c r="AF38" s="198">
        <v>103154993.83999999</v>
      </c>
      <c r="AI38" s="28" t="s">
        <v>366</v>
      </c>
      <c r="AJ38" s="198">
        <v>-249231.61000001593</v>
      </c>
      <c r="AL38" s="198" t="s">
        <v>366</v>
      </c>
      <c r="AM38" s="113">
        <v>103154993.83999999</v>
      </c>
    </row>
    <row r="39" spans="1:39">
      <c r="A39" s="83" t="s">
        <v>377</v>
      </c>
      <c r="B39" s="30">
        <v>130839.35</v>
      </c>
      <c r="C39" s="30"/>
      <c r="D39" s="30">
        <v>-1445.9299999999998</v>
      </c>
      <c r="E39" s="30"/>
      <c r="F39" s="30">
        <v>5803.873482580645</v>
      </c>
      <c r="G39" s="30"/>
      <c r="H39" s="30">
        <v>162.9</v>
      </c>
      <c r="I39" s="30"/>
      <c r="J39" s="30">
        <v>27616.070000000003</v>
      </c>
      <c r="K39" s="30"/>
      <c r="L39" s="127">
        <v>12442.292697419354</v>
      </c>
      <c r="M39" s="30"/>
      <c r="N39" s="30">
        <v>28120.19</v>
      </c>
      <c r="O39" s="30"/>
      <c r="P39" s="30"/>
      <c r="Q39" s="30"/>
      <c r="R39" s="30">
        <v>50</v>
      </c>
      <c r="S39" s="30">
        <v>-33832.720000000001</v>
      </c>
      <c r="T39" s="30"/>
      <c r="U39" s="30">
        <f t="shared" si="0"/>
        <v>2201.5891981586451</v>
      </c>
      <c r="V39" s="30"/>
      <c r="W39" s="199">
        <f>AF74</f>
        <v>663872.9</v>
      </c>
      <c r="X39" s="30">
        <f>SUM(B39:F39,J39:S39)</f>
        <v>169593.12618000002</v>
      </c>
      <c r="Y39" s="345">
        <f t="shared" si="1"/>
        <v>0.25546023369834803</v>
      </c>
      <c r="Z39" s="30">
        <f>AA39*Y39</f>
        <v>755.39080184133638</v>
      </c>
      <c r="AA39" s="199">
        <f>AJ74</f>
        <v>2956.9799999999814</v>
      </c>
      <c r="AB39" s="30">
        <f>U39+Z39</f>
        <v>2956.9799999999814</v>
      </c>
      <c r="AC39" s="30">
        <f>AB39-AA39</f>
        <v>0</v>
      </c>
      <c r="AF39" s="198"/>
      <c r="AJ39" s="198"/>
      <c r="AL39" s="198"/>
      <c r="AM39" s="113"/>
    </row>
    <row r="40" spans="1:39">
      <c r="A40" s="83"/>
      <c r="B40" s="30"/>
      <c r="C40" s="30"/>
      <c r="D40" s="30"/>
      <c r="E40" s="30"/>
      <c r="F40" s="30"/>
      <c r="G40" s="30"/>
      <c r="H40" s="30"/>
      <c r="I40" s="30"/>
      <c r="J40" s="30"/>
      <c r="K40" s="30"/>
      <c r="L40" s="127"/>
      <c r="M40" s="30"/>
      <c r="N40" s="30"/>
      <c r="O40" s="30"/>
      <c r="P40" s="30"/>
      <c r="Q40" s="30"/>
      <c r="R40" s="30"/>
      <c r="S40" s="30"/>
      <c r="T40" s="30"/>
      <c r="U40" s="30"/>
      <c r="V40" s="30"/>
      <c r="W40" s="30"/>
      <c r="X40" s="30"/>
      <c r="Y40" s="345"/>
      <c r="Z40" s="30"/>
      <c r="AA40" s="30"/>
      <c r="AB40" s="30"/>
      <c r="AC40" s="30"/>
      <c r="AF40" s="198">
        <v>212682.24999999997</v>
      </c>
      <c r="AI40" s="28" t="s">
        <v>418</v>
      </c>
      <c r="AJ40" s="198">
        <v>-140.5800000000163</v>
      </c>
      <c r="AL40" s="198" t="s">
        <v>418</v>
      </c>
      <c r="AM40" s="113">
        <v>212682.24999999997</v>
      </c>
    </row>
    <row r="41" spans="1:39">
      <c r="A41" s="83" t="s">
        <v>378</v>
      </c>
      <c r="B41" s="30">
        <v>53586.76</v>
      </c>
      <c r="C41" s="30"/>
      <c r="D41" s="30">
        <v>-311.25</v>
      </c>
      <c r="E41" s="30"/>
      <c r="F41" s="30">
        <v>3297.0140464516135</v>
      </c>
      <c r="G41" s="30"/>
      <c r="H41" s="30">
        <v>0</v>
      </c>
      <c r="I41" s="30"/>
      <c r="J41" s="30">
        <v>14581.479999999998</v>
      </c>
      <c r="K41" s="30"/>
      <c r="L41" s="127">
        <v>9267.7401187096766</v>
      </c>
      <c r="M41" s="30"/>
      <c r="N41" s="30">
        <v>13658.09</v>
      </c>
      <c r="O41" s="30"/>
      <c r="P41" s="30"/>
      <c r="Q41" s="30"/>
      <c r="R41" s="30">
        <v>24</v>
      </c>
      <c r="S41" s="30">
        <v>-15518.19</v>
      </c>
      <c r="T41" s="30"/>
      <c r="U41" s="30">
        <f t="shared" si="0"/>
        <v>1877.1232599461844</v>
      </c>
      <c r="V41" s="30">
        <f>U41+U43</f>
        <v>10084.241604420962</v>
      </c>
      <c r="W41" s="199">
        <f>AF77</f>
        <v>308368.02</v>
      </c>
      <c r="X41" s="30">
        <f>SUM(B41:F41,J41:S41)</f>
        <v>78585.644165161299</v>
      </c>
      <c r="Y41" s="345">
        <f t="shared" si="1"/>
        <v>0.25484369022819325</v>
      </c>
      <c r="Z41" s="30">
        <f>AA41*Y41</f>
        <v>641.97674005385056</v>
      </c>
      <c r="AA41" s="199">
        <f>AJ77</f>
        <v>2519.1000000000349</v>
      </c>
      <c r="AB41" s="30">
        <f>U41+Z41</f>
        <v>2519.1000000000349</v>
      </c>
      <c r="AC41" s="30">
        <f>AB41-AA41</f>
        <v>0</v>
      </c>
      <c r="AF41" s="198">
        <v>530369.66999999993</v>
      </c>
      <c r="AI41" s="28" t="s">
        <v>421</v>
      </c>
      <c r="AJ41" s="198">
        <v>1035.9899999998743</v>
      </c>
      <c r="AL41" s="198" t="s">
        <v>421</v>
      </c>
      <c r="AM41" s="113">
        <v>530369.66999999993</v>
      </c>
    </row>
    <row r="42" spans="1:39">
      <c r="A42" s="83"/>
      <c r="B42" s="30"/>
      <c r="C42" s="30"/>
      <c r="D42" s="30"/>
      <c r="E42" s="30"/>
      <c r="F42" s="30"/>
      <c r="G42" s="30"/>
      <c r="H42" s="30"/>
      <c r="I42" s="30"/>
      <c r="J42" s="30"/>
      <c r="K42" s="30"/>
      <c r="L42" s="127"/>
      <c r="M42" s="30"/>
      <c r="N42" s="30"/>
      <c r="O42" s="30"/>
      <c r="P42" s="30"/>
      <c r="Q42" s="30"/>
      <c r="R42" s="30"/>
      <c r="S42" s="30"/>
      <c r="T42" s="30"/>
      <c r="U42" s="30"/>
      <c r="V42" s="30"/>
      <c r="W42" s="30"/>
      <c r="X42" s="30"/>
      <c r="Y42" s="345"/>
      <c r="Z42" s="30"/>
      <c r="AA42" s="30"/>
      <c r="AB42" s="30"/>
      <c r="AC42" s="30"/>
      <c r="AF42" s="198">
        <v>743051.91999999993</v>
      </c>
      <c r="AI42" s="28" t="s">
        <v>365</v>
      </c>
      <c r="AJ42" s="198">
        <v>895.40999999985797</v>
      </c>
      <c r="AL42" s="198" t="s">
        <v>365</v>
      </c>
      <c r="AM42" s="113">
        <v>743051.91999999993</v>
      </c>
    </row>
    <row r="43" spans="1:39">
      <c r="A43" s="83" t="s">
        <v>373</v>
      </c>
      <c r="B43" s="30">
        <v>2150496.62</v>
      </c>
      <c r="C43" s="30"/>
      <c r="D43" s="30">
        <v>-24695.47</v>
      </c>
      <c r="E43" s="30"/>
      <c r="F43" s="30">
        <v>91062.11635612903</v>
      </c>
      <c r="G43" s="30"/>
      <c r="H43" s="30">
        <v>1046.24</v>
      </c>
      <c r="I43" s="30"/>
      <c r="J43" s="30">
        <v>529058.53</v>
      </c>
      <c r="K43" s="30"/>
      <c r="L43" s="127">
        <v>415026.61754451616</v>
      </c>
      <c r="M43" s="30"/>
      <c r="N43" s="30">
        <v>548647.49</v>
      </c>
      <c r="O43" s="30"/>
      <c r="P43" s="30"/>
      <c r="Q43" s="30"/>
      <c r="R43" s="30">
        <v>801</v>
      </c>
      <c r="S43" s="30">
        <v>-549353.56000000006</v>
      </c>
      <c r="T43" s="30"/>
      <c r="U43" s="30">
        <f t="shared" si="0"/>
        <v>8207.1183444747785</v>
      </c>
      <c r="V43" s="30"/>
      <c r="W43" s="199">
        <f>AF81</f>
        <v>12107413.49</v>
      </c>
      <c r="X43" s="30">
        <f>SUM(B43:F43,J43:S43)</f>
        <v>3161043.3439006447</v>
      </c>
      <c r="Y43" s="345">
        <f t="shared" si="1"/>
        <v>0.26108328971431244</v>
      </c>
      <c r="Z43" s="30">
        <f>AA43*Y43</f>
        <v>2899.8416555253002</v>
      </c>
      <c r="AA43" s="199">
        <f>AJ81</f>
        <v>11106.960000000079</v>
      </c>
      <c r="AB43" s="30">
        <f>U43+Z43</f>
        <v>11106.960000000079</v>
      </c>
      <c r="AC43" s="30">
        <f>AB43-AA43</f>
        <v>0</v>
      </c>
      <c r="AF43" s="198"/>
      <c r="AJ43" s="198"/>
      <c r="AL43" s="198"/>
      <c r="AM43" s="113"/>
    </row>
    <row r="44" spans="1:39">
      <c r="A44" s="83"/>
      <c r="B44" s="30"/>
      <c r="C44" s="30"/>
      <c r="D44" s="30"/>
      <c r="E44" s="30"/>
      <c r="F44" s="30"/>
      <c r="G44" s="30"/>
      <c r="H44" s="30"/>
      <c r="I44" s="30"/>
      <c r="J44" s="30"/>
      <c r="K44" s="30"/>
      <c r="L44" s="127"/>
      <c r="M44" s="30"/>
      <c r="N44" s="30"/>
      <c r="O44" s="30"/>
      <c r="P44" s="30"/>
      <c r="Q44" s="30"/>
      <c r="R44" s="30"/>
      <c r="S44" s="30"/>
      <c r="T44" s="30"/>
      <c r="U44" s="30"/>
      <c r="V44" s="30"/>
      <c r="W44" s="30"/>
      <c r="X44" s="30"/>
      <c r="Y44" s="345"/>
      <c r="Z44" s="30"/>
      <c r="AA44" s="30"/>
      <c r="AB44" s="30"/>
      <c r="AC44" s="30"/>
      <c r="AF44" s="198">
        <v>1513985.14</v>
      </c>
      <c r="AI44" s="28" t="s">
        <v>430</v>
      </c>
      <c r="AJ44" s="198">
        <v>-3950.7700000000186</v>
      </c>
      <c r="AL44" s="198" t="s">
        <v>430</v>
      </c>
      <c r="AM44" s="113">
        <v>1513985.14</v>
      </c>
    </row>
    <row r="45" spans="1:39">
      <c r="A45" s="83" t="s">
        <v>374</v>
      </c>
      <c r="B45" s="30">
        <v>336293.85</v>
      </c>
      <c r="C45" s="30"/>
      <c r="D45" s="30">
        <v>-3028.0200000000004</v>
      </c>
      <c r="E45" s="30"/>
      <c r="F45" s="30">
        <v>15730.434932903227</v>
      </c>
      <c r="G45" s="30"/>
      <c r="H45" s="30">
        <v>177.24</v>
      </c>
      <c r="I45" s="30"/>
      <c r="J45" s="30">
        <v>44280.760000000009</v>
      </c>
      <c r="K45" s="30"/>
      <c r="L45" s="127">
        <v>39762.718507741927</v>
      </c>
      <c r="M45" s="30"/>
      <c r="N45" s="30">
        <v>46300.05</v>
      </c>
      <c r="O45" s="30"/>
      <c r="P45" s="30"/>
      <c r="Q45" s="30"/>
      <c r="R45" s="30">
        <v>78</v>
      </c>
      <c r="S45" s="30">
        <v>-87201.49000000002</v>
      </c>
      <c r="T45" s="30"/>
      <c r="U45" s="30">
        <f t="shared" si="0"/>
        <v>-2019.6928055086423</v>
      </c>
      <c r="V45" s="30"/>
      <c r="W45" s="199">
        <f>AF84</f>
        <v>1331917.94</v>
      </c>
      <c r="X45" s="30">
        <f>SUM(B45:F45,J45:S45)</f>
        <v>392216.3034406451</v>
      </c>
      <c r="Y45" s="345">
        <f t="shared" si="1"/>
        <v>0.29447482585950085</v>
      </c>
      <c r="Z45" s="30">
        <f>AA45*Y45</f>
        <v>-842.98719449152532</v>
      </c>
      <c r="AA45" s="199">
        <f>AJ84</f>
        <v>-2862.6800000001676</v>
      </c>
      <c r="AB45" s="30">
        <f>U45+Z45</f>
        <v>-2862.6800000001676</v>
      </c>
      <c r="AC45" s="30">
        <f>AB45-AA45</f>
        <v>0</v>
      </c>
      <c r="AF45" s="198">
        <v>1513985.14</v>
      </c>
      <c r="AI45" s="28" t="s">
        <v>202</v>
      </c>
      <c r="AJ45" s="198">
        <v>-3950.7700000000186</v>
      </c>
      <c r="AL45" s="198" t="s">
        <v>202</v>
      </c>
      <c r="AM45" s="113">
        <v>1513985.14</v>
      </c>
    </row>
    <row r="46" spans="1:39">
      <c r="A46" s="83"/>
      <c r="B46" s="30"/>
      <c r="C46" s="30"/>
      <c r="D46" s="30"/>
      <c r="E46" s="30"/>
      <c r="F46" s="30"/>
      <c r="G46" s="30"/>
      <c r="H46" s="30"/>
      <c r="I46" s="30"/>
      <c r="J46" s="30"/>
      <c r="K46" s="30"/>
      <c r="L46" s="127"/>
      <c r="M46" s="30"/>
      <c r="N46" s="30"/>
      <c r="O46" s="30"/>
      <c r="P46" s="30"/>
      <c r="Q46" s="30"/>
      <c r="R46" s="30"/>
      <c r="S46" s="30"/>
      <c r="T46" s="30"/>
      <c r="U46" s="30"/>
      <c r="V46" s="30"/>
      <c r="W46" s="30"/>
      <c r="X46" s="30"/>
      <c r="Y46" s="345"/>
      <c r="Z46" s="30"/>
      <c r="AA46" s="30"/>
      <c r="AB46" s="30"/>
      <c r="AC46" s="30"/>
      <c r="AF46" s="198"/>
      <c r="AJ46" s="198"/>
      <c r="AL46" s="198"/>
      <c r="AM46" s="113"/>
    </row>
    <row r="47" spans="1:39">
      <c r="A47" s="83" t="s">
        <v>375</v>
      </c>
      <c r="B47" s="30">
        <v>0</v>
      </c>
      <c r="C47" s="30"/>
      <c r="D47" s="30">
        <v>0</v>
      </c>
      <c r="E47" s="30"/>
      <c r="F47" s="30">
        <v>0</v>
      </c>
      <c r="G47" s="30"/>
      <c r="H47" s="30">
        <v>0</v>
      </c>
      <c r="I47" s="30"/>
      <c r="J47" s="30">
        <v>0</v>
      </c>
      <c r="K47" s="30"/>
      <c r="L47" s="127">
        <v>0</v>
      </c>
      <c r="M47" s="30"/>
      <c r="N47" s="30">
        <v>0</v>
      </c>
      <c r="O47" s="30"/>
      <c r="P47" s="30"/>
      <c r="Q47" s="30"/>
      <c r="R47" s="30">
        <v>0</v>
      </c>
      <c r="S47" s="30">
        <v>0</v>
      </c>
      <c r="T47" s="30"/>
      <c r="U47" s="30">
        <f t="shared" si="0"/>
        <v>0</v>
      </c>
      <c r="V47" s="30"/>
      <c r="W47" s="199">
        <f>AF87</f>
        <v>0</v>
      </c>
      <c r="X47" s="30">
        <f>SUM(B47:F47,J47:S47)</f>
        <v>0</v>
      </c>
      <c r="Y47" s="345">
        <v>0</v>
      </c>
      <c r="Z47" s="30">
        <f>AA47*Y47</f>
        <v>0</v>
      </c>
      <c r="AA47" s="199">
        <f>AJ87</f>
        <v>0</v>
      </c>
      <c r="AB47" s="30">
        <f>U47+Z47</f>
        <v>0</v>
      </c>
      <c r="AC47" s="30">
        <f>AB47-AA47</f>
        <v>0</v>
      </c>
      <c r="AF47" s="198">
        <v>232965.49999999997</v>
      </c>
      <c r="AI47" s="28" t="s">
        <v>422</v>
      </c>
      <c r="AJ47" s="198">
        <v>675.22999999998137</v>
      </c>
      <c r="AL47" s="198" t="s">
        <v>422</v>
      </c>
      <c r="AM47" s="113">
        <v>232965.49999999997</v>
      </c>
    </row>
    <row r="48" spans="1:39">
      <c r="A48" s="83"/>
      <c r="B48" s="30"/>
      <c r="C48" s="30"/>
      <c r="D48" s="30"/>
      <c r="E48" s="30"/>
      <c r="F48" s="30"/>
      <c r="G48" s="30"/>
      <c r="H48" s="30"/>
      <c r="I48" s="30"/>
      <c r="J48" s="30"/>
      <c r="K48" s="30"/>
      <c r="L48" s="127"/>
      <c r="M48" s="30"/>
      <c r="N48" s="30"/>
      <c r="O48" s="30"/>
      <c r="P48" s="30"/>
      <c r="Q48" s="30"/>
      <c r="R48" s="30"/>
      <c r="S48" s="30"/>
      <c r="T48" s="30"/>
      <c r="U48" s="30"/>
      <c r="V48" s="30"/>
      <c r="W48" s="30"/>
      <c r="X48" s="30"/>
      <c r="Y48" s="345"/>
      <c r="Z48" s="30"/>
      <c r="AA48" s="30"/>
      <c r="AB48" s="30"/>
      <c r="AC48" s="30"/>
      <c r="AF48" s="198">
        <v>232965.49999999997</v>
      </c>
      <c r="AI48" s="28" t="s">
        <v>367</v>
      </c>
      <c r="AJ48" s="198">
        <v>675.22999999998137</v>
      </c>
      <c r="AL48" s="198" t="s">
        <v>367</v>
      </c>
      <c r="AM48" s="113">
        <v>232965.49999999997</v>
      </c>
    </row>
    <row r="49" spans="1:39">
      <c r="A49" s="83" t="s">
        <v>379</v>
      </c>
      <c r="B49" s="30">
        <v>2225501.1799999997</v>
      </c>
      <c r="C49" s="30"/>
      <c r="D49" s="30">
        <v>-24147.030000000002</v>
      </c>
      <c r="E49" s="30"/>
      <c r="F49" s="30">
        <v>97054.12482838711</v>
      </c>
      <c r="G49" s="30"/>
      <c r="H49" s="30">
        <v>2808.89</v>
      </c>
      <c r="I49" s="30"/>
      <c r="J49" s="30">
        <v>631702.44999999995</v>
      </c>
      <c r="K49" s="30"/>
      <c r="L49" s="127">
        <v>437493.29519225808</v>
      </c>
      <c r="M49" s="30"/>
      <c r="N49" s="30">
        <v>654278.19000000006</v>
      </c>
      <c r="O49" s="30"/>
      <c r="P49" s="30"/>
      <c r="Q49" s="30"/>
      <c r="R49" s="30">
        <v>1641</v>
      </c>
      <c r="S49" s="30">
        <v>-570854.86</v>
      </c>
      <c r="T49" s="30"/>
      <c r="U49" s="30">
        <f t="shared" si="0"/>
        <v>-33813.247958055326</v>
      </c>
      <c r="V49" s="30"/>
      <c r="W49" s="199">
        <f>AF92</f>
        <v>13764690.599999998</v>
      </c>
      <c r="X49" s="30">
        <f>SUM(B49:F49,J49:S49)</f>
        <v>3452668.3500206447</v>
      </c>
      <c r="Y49" s="345">
        <f t="shared" si="1"/>
        <v>0.25083515862104777</v>
      </c>
      <c r="Z49" s="30">
        <f>AA49*Y49</f>
        <v>-11321.342041946386</v>
      </c>
      <c r="AA49" s="199">
        <f>AJ92</f>
        <v>-45134.590000001714</v>
      </c>
      <c r="AB49" s="30">
        <f>U49+Z49</f>
        <v>-45134.590000001714</v>
      </c>
      <c r="AC49" s="30">
        <f>AB49-AA49</f>
        <v>0</v>
      </c>
      <c r="AF49" s="198"/>
      <c r="AJ49" s="198"/>
      <c r="AL49" s="198"/>
      <c r="AM49" s="113"/>
    </row>
    <row r="50" spans="1:39">
      <c r="A50" s="83"/>
      <c r="B50" s="30"/>
      <c r="C50" s="30"/>
      <c r="D50" s="30"/>
      <c r="E50" s="30"/>
      <c r="F50" s="30"/>
      <c r="G50" s="30"/>
      <c r="H50" s="30"/>
      <c r="I50" s="30"/>
      <c r="J50" s="30"/>
      <c r="K50" s="30"/>
      <c r="L50" s="127"/>
      <c r="M50" s="30"/>
      <c r="N50" s="30"/>
      <c r="O50" s="30"/>
      <c r="P50" s="30"/>
      <c r="Q50" s="30"/>
      <c r="R50" s="30"/>
      <c r="S50" s="30"/>
      <c r="T50" s="30"/>
      <c r="U50" s="30"/>
      <c r="V50" s="30"/>
      <c r="W50" s="30"/>
      <c r="X50" s="30"/>
      <c r="Y50" s="345"/>
      <c r="Z50" s="30"/>
      <c r="AA50" s="30"/>
      <c r="AB50" s="30"/>
      <c r="AC50" s="30"/>
      <c r="AF50" s="198">
        <v>130906.29000000001</v>
      </c>
      <c r="AI50" s="28" t="s">
        <v>428</v>
      </c>
      <c r="AJ50" s="198">
        <v>-2250.2799999999988</v>
      </c>
      <c r="AL50" s="198" t="s">
        <v>428</v>
      </c>
      <c r="AM50" s="113">
        <v>130906.29000000001</v>
      </c>
    </row>
    <row r="51" spans="1:39">
      <c r="A51" s="83" t="s">
        <v>380</v>
      </c>
      <c r="B51" s="30">
        <v>47753.919999999998</v>
      </c>
      <c r="C51" s="30"/>
      <c r="D51" s="30">
        <v>-566.03</v>
      </c>
      <c r="E51" s="30"/>
      <c r="F51" s="30">
        <v>1736.8933858064515</v>
      </c>
      <c r="G51" s="30"/>
      <c r="H51" s="30">
        <v>68.8</v>
      </c>
      <c r="I51" s="30"/>
      <c r="J51" s="30">
        <v>10170.959999999999</v>
      </c>
      <c r="K51" s="30"/>
      <c r="L51" s="127">
        <v>8275.0933909677424</v>
      </c>
      <c r="M51" s="30"/>
      <c r="N51" s="30">
        <v>10471.74</v>
      </c>
      <c r="O51" s="30"/>
      <c r="P51" s="30"/>
      <c r="Q51" s="30"/>
      <c r="R51" s="30">
        <v>12</v>
      </c>
      <c r="S51" s="30">
        <v>-11303.48</v>
      </c>
      <c r="T51" s="30"/>
      <c r="U51" s="30">
        <f t="shared" si="0"/>
        <v>-1851.5914432779618</v>
      </c>
      <c r="V51" s="30"/>
      <c r="W51" s="199">
        <f>AF95</f>
        <v>241193.15999999997</v>
      </c>
      <c r="X51" s="30">
        <f>SUM(B51:F51,J51:S51)</f>
        <v>66551.096776774197</v>
      </c>
      <c r="Y51" s="345">
        <f t="shared" si="1"/>
        <v>0.27592447802737941</v>
      </c>
      <c r="Z51" s="30">
        <f>AA51*Y51</f>
        <v>-705.58855672206016</v>
      </c>
      <c r="AA51" s="199">
        <f>AJ95</f>
        <v>-2557.1800000000221</v>
      </c>
      <c r="AB51" s="30">
        <f>U51+Z51</f>
        <v>-2557.1800000000221</v>
      </c>
      <c r="AC51" s="30">
        <f>AB51-AA51</f>
        <v>0</v>
      </c>
      <c r="AF51" s="198">
        <v>142222.62999999998</v>
      </c>
      <c r="AI51" s="28" t="s">
        <v>429</v>
      </c>
      <c r="AJ51" s="198">
        <v>-553.42000000001281</v>
      </c>
      <c r="AL51" s="198" t="s">
        <v>429</v>
      </c>
      <c r="AM51" s="113">
        <v>142222.62999999998</v>
      </c>
    </row>
    <row r="52" spans="1:39">
      <c r="A52" s="83"/>
      <c r="B52" s="30"/>
      <c r="C52" s="30"/>
      <c r="D52" s="30"/>
      <c r="E52" s="30"/>
      <c r="F52" s="30"/>
      <c r="G52" s="30"/>
      <c r="H52" s="30"/>
      <c r="I52" s="30"/>
      <c r="J52" s="30"/>
      <c r="K52" s="30"/>
      <c r="L52" s="127"/>
      <c r="M52" s="30"/>
      <c r="N52" s="30"/>
      <c r="O52" s="30"/>
      <c r="P52" s="30"/>
      <c r="Q52" s="30"/>
      <c r="R52" s="30"/>
      <c r="S52" s="30"/>
      <c r="T52" s="30"/>
      <c r="U52" s="30"/>
      <c r="V52" s="30"/>
      <c r="W52" s="30"/>
      <c r="X52" s="30"/>
      <c r="Y52" s="345"/>
      <c r="Z52" s="30"/>
      <c r="AA52" s="30"/>
      <c r="AB52" s="30"/>
      <c r="AC52" s="30"/>
      <c r="AF52" s="198">
        <v>273128.92</v>
      </c>
      <c r="AI52" s="28" t="s">
        <v>369</v>
      </c>
      <c r="AJ52" s="198">
        <v>-2803.7000000000116</v>
      </c>
      <c r="AL52" s="198" t="s">
        <v>369</v>
      </c>
      <c r="AM52" s="113">
        <v>273128.92</v>
      </c>
    </row>
    <row r="53" spans="1:39">
      <c r="A53" s="83" t="s">
        <v>384</v>
      </c>
      <c r="B53" s="30">
        <v>417283.1</v>
      </c>
      <c r="C53" s="30"/>
      <c r="D53" s="30">
        <v>-4715.2299999999996</v>
      </c>
      <c r="E53" s="30"/>
      <c r="F53" s="30">
        <v>8485.0540500645166</v>
      </c>
      <c r="G53" s="30"/>
      <c r="H53" s="30">
        <v>530.71</v>
      </c>
      <c r="I53" s="30"/>
      <c r="J53" s="30">
        <v>72146.950000000012</v>
      </c>
      <c r="K53" s="30"/>
      <c r="L53" s="127">
        <v>53213.723556774188</v>
      </c>
      <c r="M53" s="30"/>
      <c r="N53" s="30">
        <v>74387.759999999995</v>
      </c>
      <c r="O53" s="30"/>
      <c r="P53" s="30"/>
      <c r="Q53" s="30"/>
      <c r="R53" s="30">
        <v>48</v>
      </c>
      <c r="S53" s="30">
        <v>-105354.62</v>
      </c>
      <c r="T53" s="30"/>
      <c r="U53" s="30">
        <f t="shared" si="0"/>
        <v>3961.3500000000931</v>
      </c>
      <c r="V53" s="30"/>
      <c r="W53" s="199">
        <f>AF100</f>
        <v>1886414.28</v>
      </c>
      <c r="X53" s="30">
        <f>SUM(B53:F53,J53:S53)</f>
        <v>515494.73760683869</v>
      </c>
      <c r="Y53" s="345">
        <v>0</v>
      </c>
      <c r="Z53" s="30">
        <f>AA53*Y53</f>
        <v>0</v>
      </c>
      <c r="AA53" s="199">
        <f>AJ100</f>
        <v>3961.3500000000931</v>
      </c>
      <c r="AB53" s="30">
        <f>U53+Z53</f>
        <v>3961.3500000000931</v>
      </c>
      <c r="AC53" s="30">
        <f>AB53-AA53</f>
        <v>0</v>
      </c>
      <c r="AF53" s="198"/>
      <c r="AJ53" s="198"/>
      <c r="AL53" s="198"/>
      <c r="AM53" s="113"/>
    </row>
    <row r="54" spans="1:39">
      <c r="A54" s="83"/>
      <c r="B54" s="30"/>
      <c r="C54" s="30"/>
      <c r="D54" s="30"/>
      <c r="E54" s="30"/>
      <c r="F54" s="30"/>
      <c r="G54" s="30"/>
      <c r="H54" s="30"/>
      <c r="I54" s="30"/>
      <c r="J54" s="30"/>
      <c r="K54" s="30"/>
      <c r="L54" s="127"/>
      <c r="M54" s="30"/>
      <c r="N54" s="30"/>
      <c r="O54" s="30"/>
      <c r="P54" s="30"/>
      <c r="Q54" s="30"/>
      <c r="R54" s="30"/>
      <c r="S54" s="30"/>
      <c r="T54" s="30"/>
      <c r="U54" s="30"/>
      <c r="V54" s="30"/>
      <c r="W54" s="30"/>
      <c r="X54" s="30"/>
      <c r="Y54" s="345"/>
      <c r="Z54" s="30"/>
      <c r="AA54" s="30"/>
      <c r="AB54" s="30"/>
      <c r="AC54" s="30"/>
      <c r="AF54" s="198">
        <v>1300590.9099999999</v>
      </c>
      <c r="AI54" s="28" t="s">
        <v>431</v>
      </c>
      <c r="AJ54" s="198">
        <v>-4332</v>
      </c>
      <c r="AL54" s="198" t="s">
        <v>431</v>
      </c>
      <c r="AM54" s="113">
        <v>1300590.9099999999</v>
      </c>
    </row>
    <row r="55" spans="1:39">
      <c r="A55" s="83" t="s">
        <v>381</v>
      </c>
      <c r="B55" s="30">
        <v>7921976.209999999</v>
      </c>
      <c r="C55" s="30"/>
      <c r="D55" s="30">
        <v>-82990.39</v>
      </c>
      <c r="E55" s="30"/>
      <c r="F55" s="30">
        <v>172949.28745599996</v>
      </c>
      <c r="G55" s="30"/>
      <c r="H55" s="30">
        <v>3325.84</v>
      </c>
      <c r="I55" s="30"/>
      <c r="J55" s="30">
        <v>1455387.07</v>
      </c>
      <c r="K55" s="30"/>
      <c r="L55" s="127">
        <v>1237356.2830058064</v>
      </c>
      <c r="M55" s="30"/>
      <c r="N55" s="30">
        <v>1506759.8199999998</v>
      </c>
      <c r="O55" s="30"/>
      <c r="P55" s="30"/>
      <c r="Q55" s="30"/>
      <c r="R55" s="30">
        <v>472</v>
      </c>
      <c r="S55" s="30">
        <v>-2049618.4999999998</v>
      </c>
      <c r="T55" s="30"/>
      <c r="U55" s="30">
        <f t="shared" si="0"/>
        <v>67368.009999997448</v>
      </c>
      <c r="V55" s="30"/>
      <c r="W55" s="199">
        <f>AF105</f>
        <v>37351985.539999999</v>
      </c>
      <c r="X55" s="30">
        <f t="shared" ref="X55:X61" si="5">SUM(B55:F55,J55:S55)</f>
        <v>10162291.780461805</v>
      </c>
      <c r="Y55" s="345">
        <v>0</v>
      </c>
      <c r="Z55" s="30">
        <f>AA55*Y55</f>
        <v>0</v>
      </c>
      <c r="AA55" s="199">
        <f>AJ105</f>
        <v>67368.009999997448</v>
      </c>
      <c r="AB55" s="30">
        <f t="shared" ref="AB55:AB61" si="6">U55+Z55</f>
        <v>67368.009999997448</v>
      </c>
      <c r="AC55" s="30">
        <f t="shared" ref="AC55:AC61" si="7">AB55-AA55</f>
        <v>0</v>
      </c>
      <c r="AF55" s="198">
        <v>1300590.9099999999</v>
      </c>
      <c r="AI55" s="28" t="s">
        <v>370</v>
      </c>
      <c r="AJ55" s="198">
        <v>-4332</v>
      </c>
      <c r="AL55" s="198" t="s">
        <v>370</v>
      </c>
      <c r="AM55" s="113">
        <v>1300590.9099999999</v>
      </c>
    </row>
    <row r="56" spans="1:39">
      <c r="A56" s="83"/>
      <c r="B56" s="30"/>
      <c r="C56" s="30"/>
      <c r="D56" s="30"/>
      <c r="E56" s="30"/>
      <c r="F56" s="30"/>
      <c r="G56" s="30"/>
      <c r="H56" s="30"/>
      <c r="I56" s="30"/>
      <c r="J56" s="30"/>
      <c r="K56" s="30"/>
      <c r="L56" s="127"/>
      <c r="M56" s="30"/>
      <c r="N56" s="30"/>
      <c r="O56" s="30"/>
      <c r="P56" s="30"/>
      <c r="Q56" s="30"/>
      <c r="R56" s="30"/>
      <c r="S56" s="30"/>
      <c r="T56" s="30"/>
      <c r="U56" s="30"/>
      <c r="V56" s="30"/>
      <c r="W56" s="30"/>
      <c r="X56" s="30"/>
      <c r="Y56" s="345"/>
      <c r="Z56" s="30"/>
      <c r="AA56" s="30"/>
      <c r="AB56" s="30"/>
      <c r="AC56" s="30"/>
      <c r="AF56" s="198"/>
      <c r="AJ56" s="198"/>
      <c r="AL56" s="198"/>
      <c r="AM56" s="113"/>
    </row>
    <row r="57" spans="1:39">
      <c r="A57" s="83" t="s">
        <v>382</v>
      </c>
      <c r="B57" s="30">
        <v>45549882.919999994</v>
      </c>
      <c r="C57" s="30"/>
      <c r="D57" s="30">
        <v>-448380.83000000007</v>
      </c>
      <c r="E57" s="30"/>
      <c r="F57" s="30">
        <v>974063.31677677436</v>
      </c>
      <c r="G57" s="30"/>
      <c r="H57" s="30">
        <v>7383.61</v>
      </c>
      <c r="I57" s="30"/>
      <c r="J57" s="30">
        <v>3325642.3099999996</v>
      </c>
      <c r="K57" s="30"/>
      <c r="L57" s="127">
        <v>4822777.8975935476</v>
      </c>
      <c r="M57" s="30"/>
      <c r="N57" s="30">
        <v>3421371.04</v>
      </c>
      <c r="O57" s="30"/>
      <c r="P57" s="30"/>
      <c r="Q57" s="30"/>
      <c r="R57" s="30">
        <v>253</v>
      </c>
      <c r="S57" s="30">
        <v>-10809588.389999999</v>
      </c>
      <c r="T57" s="30"/>
      <c r="U57" s="30">
        <f t="shared" si="0"/>
        <v>74350.299999990501</v>
      </c>
      <c r="V57" s="30"/>
      <c r="W57" s="199">
        <f>AF111</f>
        <v>138704589.59</v>
      </c>
      <c r="X57" s="30">
        <f t="shared" si="5"/>
        <v>46836021.264370322</v>
      </c>
      <c r="Y57" s="345">
        <v>0</v>
      </c>
      <c r="Z57" s="30">
        <f>AA57*Y57</f>
        <v>0</v>
      </c>
      <c r="AA57" s="199">
        <f>AJ111</f>
        <v>74350.299999990501</v>
      </c>
      <c r="AB57" s="30">
        <f t="shared" si="6"/>
        <v>74350.299999990501</v>
      </c>
      <c r="AC57" s="30">
        <f t="shared" si="7"/>
        <v>0</v>
      </c>
      <c r="AF57" s="198">
        <v>552848.41999999993</v>
      </c>
      <c r="AI57" s="28" t="s">
        <v>425</v>
      </c>
      <c r="AJ57" s="198">
        <v>-3598.1700000000419</v>
      </c>
      <c r="AL57" s="198" t="s">
        <v>425</v>
      </c>
      <c r="AM57" s="113">
        <v>552848.41999999993</v>
      </c>
    </row>
    <row r="58" spans="1:39">
      <c r="A58" s="457"/>
      <c r="B58" s="30"/>
      <c r="C58" s="30"/>
      <c r="D58" s="30"/>
      <c r="E58" s="30"/>
      <c r="F58" s="30"/>
      <c r="G58" s="30"/>
      <c r="H58" s="30"/>
      <c r="I58" s="30"/>
      <c r="J58" s="30"/>
      <c r="K58" s="30"/>
      <c r="L58" s="127"/>
      <c r="M58" s="30"/>
      <c r="N58" s="30"/>
      <c r="O58" s="30"/>
      <c r="P58" s="30"/>
      <c r="Q58" s="30"/>
      <c r="R58" s="30"/>
      <c r="S58" s="30"/>
      <c r="T58" s="30"/>
      <c r="U58" s="30"/>
      <c r="V58" s="30"/>
      <c r="W58" s="30"/>
      <c r="X58" s="30"/>
      <c r="Y58" s="345"/>
      <c r="Z58" s="30"/>
      <c r="AA58" s="30"/>
      <c r="AB58" s="30"/>
      <c r="AC58" s="30"/>
      <c r="AF58" s="198">
        <v>761674.89999999991</v>
      </c>
      <c r="AI58" s="28" t="s">
        <v>427</v>
      </c>
      <c r="AJ58" s="198">
        <v>-10701.190000000061</v>
      </c>
      <c r="AL58" s="198" t="s">
        <v>427</v>
      </c>
      <c r="AM58" s="113">
        <v>761674.89999999991</v>
      </c>
    </row>
    <row r="59" spans="1:39">
      <c r="A59" s="83" t="s">
        <v>383</v>
      </c>
      <c r="B59" s="30">
        <v>6222077.3299999991</v>
      </c>
      <c r="C59" s="30"/>
      <c r="D59" s="30">
        <v>-70321.97</v>
      </c>
      <c r="E59" s="30"/>
      <c r="F59" s="30">
        <v>134818.05781367741</v>
      </c>
      <c r="G59" s="30"/>
      <c r="H59" s="30">
        <v>0</v>
      </c>
      <c r="I59" s="30"/>
      <c r="J59" s="30">
        <v>548612.85</v>
      </c>
      <c r="K59" s="30"/>
      <c r="L59" s="127">
        <v>719508.31060064514</v>
      </c>
      <c r="M59" s="30"/>
      <c r="N59" s="30">
        <v>586619.08000000007</v>
      </c>
      <c r="O59" s="30"/>
      <c r="P59" s="30"/>
      <c r="Q59" s="30"/>
      <c r="R59" s="30">
        <v>36</v>
      </c>
      <c r="S59" s="30">
        <v>-1676851.7499999998</v>
      </c>
      <c r="T59" s="30"/>
      <c r="U59" s="30">
        <f t="shared" si="0"/>
        <v>343078.96999999974</v>
      </c>
      <c r="V59" s="30"/>
      <c r="W59" s="199">
        <f>AF116</f>
        <v>21083470.159999996</v>
      </c>
      <c r="X59" s="30">
        <f t="shared" si="5"/>
        <v>6464497.908414321</v>
      </c>
      <c r="Y59" s="345">
        <v>0</v>
      </c>
      <c r="Z59" s="30">
        <f>AA59*Y59</f>
        <v>0</v>
      </c>
      <c r="AA59" s="199">
        <f>AJ116</f>
        <v>343078.96999999974</v>
      </c>
      <c r="AB59" s="30">
        <f t="shared" si="6"/>
        <v>343078.96999999974</v>
      </c>
      <c r="AC59" s="30">
        <f t="shared" si="7"/>
        <v>0</v>
      </c>
      <c r="AF59" s="198">
        <v>1314523.3199999998</v>
      </c>
      <c r="AI59" s="28" t="s">
        <v>368</v>
      </c>
      <c r="AJ59" s="198">
        <v>-14299.360000000102</v>
      </c>
      <c r="AL59" s="198" t="s">
        <v>368</v>
      </c>
      <c r="AM59" s="113">
        <v>1314523.3199999998</v>
      </c>
    </row>
    <row r="60" spans="1:39">
      <c r="B60" s="30"/>
      <c r="C60" s="30"/>
      <c r="D60" s="30"/>
      <c r="E60" s="30"/>
      <c r="F60" s="30"/>
      <c r="G60" s="30"/>
      <c r="H60" s="30"/>
      <c r="I60" s="30"/>
      <c r="J60" s="30"/>
      <c r="K60" s="30"/>
      <c r="L60" s="127"/>
      <c r="M60" s="30"/>
      <c r="N60" s="30"/>
      <c r="O60" s="30"/>
      <c r="P60" s="30"/>
      <c r="Q60" s="30"/>
      <c r="R60" s="30"/>
      <c r="S60" s="30"/>
      <c r="T60" s="30"/>
      <c r="U60" s="30"/>
      <c r="V60" s="30"/>
      <c r="W60" s="30"/>
      <c r="X60" s="30"/>
      <c r="Y60" s="345"/>
      <c r="Z60" s="30"/>
      <c r="AA60" s="30"/>
      <c r="AB60" s="30"/>
      <c r="AC60" s="30"/>
      <c r="AF60" s="198"/>
      <c r="AJ60" s="198"/>
      <c r="AL60" s="198"/>
      <c r="AM60" s="113"/>
    </row>
    <row r="61" spans="1:39">
      <c r="A61" s="83" t="s">
        <v>36</v>
      </c>
      <c r="B61" s="30">
        <v>230284.12</v>
      </c>
      <c r="C61" s="30"/>
      <c r="D61" s="30">
        <v>-2880.9700000000003</v>
      </c>
      <c r="E61" s="30"/>
      <c r="F61" s="30">
        <v>9035.4126541935475</v>
      </c>
      <c r="G61" s="30"/>
      <c r="H61" s="30">
        <v>0</v>
      </c>
      <c r="I61" s="30"/>
      <c r="J61" s="30">
        <v>100774.33</v>
      </c>
      <c r="K61" s="30"/>
      <c r="L61" s="127">
        <v>6151.831341612904</v>
      </c>
      <c r="M61" s="30"/>
      <c r="N61" s="30">
        <v>103953.86000000002</v>
      </c>
      <c r="O61" s="30"/>
      <c r="P61" s="30"/>
      <c r="Q61" s="30"/>
      <c r="R61" s="30">
        <v>0</v>
      </c>
      <c r="S61" s="30">
        <v>-56626.54</v>
      </c>
      <c r="T61" s="30"/>
      <c r="U61" s="30">
        <f t="shared" si="0"/>
        <v>15.253212046278069</v>
      </c>
      <c r="V61" s="30"/>
      <c r="W61" s="199">
        <f>AF154</f>
        <v>1931844.2000000002</v>
      </c>
      <c r="X61" s="30">
        <f t="shared" si="5"/>
        <v>390692.04399580654</v>
      </c>
      <c r="Y61" s="345">
        <f t="shared" si="1"/>
        <v>0.20223786369304858</v>
      </c>
      <c r="Z61" s="30">
        <f>AA61*Y61</f>
        <v>3.8667879538336907</v>
      </c>
      <c r="AA61" s="199">
        <f>AJ154</f>
        <v>19.120000000111759</v>
      </c>
      <c r="AB61" s="30">
        <f t="shared" si="6"/>
        <v>19.120000000111759</v>
      </c>
      <c r="AC61" s="30">
        <f t="shared" si="7"/>
        <v>0</v>
      </c>
      <c r="AF61" s="198">
        <v>69060.72</v>
      </c>
      <c r="AI61" s="28" t="s">
        <v>432</v>
      </c>
      <c r="AJ61" s="198">
        <v>-1853.8699999999953</v>
      </c>
      <c r="AL61" s="198" t="s">
        <v>432</v>
      </c>
      <c r="AM61" s="113">
        <v>69060.72</v>
      </c>
    </row>
    <row r="62" spans="1:39">
      <c r="B62" s="30"/>
      <c r="C62" s="30"/>
      <c r="D62" s="30"/>
      <c r="E62" s="30"/>
      <c r="F62" s="30"/>
      <c r="G62" s="30"/>
      <c r="H62" s="30"/>
      <c r="I62" s="30"/>
      <c r="J62" s="30"/>
      <c r="K62" s="30"/>
      <c r="L62" s="127"/>
      <c r="M62" s="30"/>
      <c r="N62" s="30"/>
      <c r="O62" s="30"/>
      <c r="P62" s="30"/>
      <c r="Q62" s="30"/>
      <c r="R62" s="30"/>
      <c r="S62" s="30"/>
      <c r="T62" s="30"/>
      <c r="U62" s="30"/>
      <c r="V62" s="30"/>
      <c r="W62" s="30"/>
      <c r="X62" s="30"/>
      <c r="Y62" s="345"/>
      <c r="Z62" s="30"/>
      <c r="AA62" s="30"/>
      <c r="AB62" s="30"/>
      <c r="AC62" s="30"/>
      <c r="AF62" s="198">
        <v>69060.72</v>
      </c>
      <c r="AI62" s="28" t="s">
        <v>371</v>
      </c>
      <c r="AJ62" s="198">
        <v>-1853.8699999999953</v>
      </c>
      <c r="AL62" s="198" t="s">
        <v>371</v>
      </c>
      <c r="AM62" s="113">
        <v>69060.72</v>
      </c>
    </row>
    <row r="63" spans="1:39">
      <c r="A63" s="28" t="s">
        <v>34</v>
      </c>
      <c r="B63" s="30">
        <v>46197.140000000007</v>
      </c>
      <c r="C63" s="30"/>
      <c r="D63" s="30">
        <v>-487.86</v>
      </c>
      <c r="E63" s="30"/>
      <c r="F63" s="30">
        <v>2057.5925122580647</v>
      </c>
      <c r="G63" s="30"/>
      <c r="H63" s="30">
        <v>56.81</v>
      </c>
      <c r="I63" s="30"/>
      <c r="J63" s="30">
        <v>10894.41</v>
      </c>
      <c r="K63" s="30"/>
      <c r="L63" s="127">
        <v>5415.5879577419346</v>
      </c>
      <c r="M63" s="30"/>
      <c r="N63" s="30">
        <v>11194.36</v>
      </c>
      <c r="O63" s="30"/>
      <c r="P63" s="30"/>
      <c r="Q63" s="30"/>
      <c r="R63" s="30">
        <v>103</v>
      </c>
      <c r="S63" s="30">
        <v>-11853.769999999999</v>
      </c>
      <c r="T63" s="30"/>
      <c r="U63" s="30">
        <f t="shared" si="0"/>
        <v>-446.09694302626292</v>
      </c>
      <c r="V63" s="42"/>
      <c r="W63" s="344">
        <f>AF158</f>
        <v>251660.08000000002</v>
      </c>
      <c r="X63" s="42">
        <f>SUM(B63:F63,J63:S63)</f>
        <v>63520.460470000013</v>
      </c>
      <c r="Y63" s="345">
        <f t="shared" si="1"/>
        <v>0.25240578668654962</v>
      </c>
      <c r="Z63" s="30">
        <f>AA63*Y63</f>
        <v>-150.61305697372896</v>
      </c>
      <c r="AA63" s="344">
        <f>AJ158</f>
        <v>-596.70999999999185</v>
      </c>
      <c r="AB63" s="30">
        <f>U63+Z63</f>
        <v>-596.70999999999185</v>
      </c>
      <c r="AC63" s="30">
        <f>AB63-AA63</f>
        <v>0</v>
      </c>
      <c r="AF63" s="198"/>
      <c r="AJ63" s="198"/>
      <c r="AL63" s="198"/>
      <c r="AM63" s="113"/>
    </row>
    <row r="64" spans="1:39">
      <c r="B64" s="30"/>
      <c r="C64" s="30"/>
      <c r="D64" s="30"/>
      <c r="E64" s="30"/>
      <c r="F64" s="30"/>
      <c r="G64" s="30"/>
      <c r="H64" s="30"/>
      <c r="I64" s="30"/>
      <c r="J64" s="30"/>
      <c r="K64" s="30"/>
      <c r="L64" s="127"/>
      <c r="M64" s="30"/>
      <c r="N64" s="30"/>
      <c r="O64" s="30"/>
      <c r="P64" s="30"/>
      <c r="Q64" s="30"/>
      <c r="R64" s="30"/>
      <c r="S64" s="30"/>
      <c r="T64" s="30"/>
      <c r="U64" s="89"/>
      <c r="V64" s="30"/>
      <c r="W64" s="30"/>
      <c r="X64" s="30"/>
      <c r="Y64" s="30"/>
      <c r="Z64" s="30"/>
      <c r="AA64" s="30"/>
      <c r="AB64" s="30"/>
      <c r="AC64" s="30"/>
      <c r="AF64" s="198">
        <v>108602300.26999998</v>
      </c>
      <c r="AI64" s="28" t="s">
        <v>458</v>
      </c>
      <c r="AJ64" s="198">
        <v>-274900.67000001622</v>
      </c>
      <c r="AL64" s="198" t="s">
        <v>458</v>
      </c>
      <c r="AM64" s="113">
        <v>108602300.26999998</v>
      </c>
    </row>
    <row r="65" spans="1:39">
      <c r="B65" s="30"/>
      <c r="C65" s="30"/>
      <c r="D65" s="30"/>
      <c r="E65" s="30"/>
      <c r="F65" s="30"/>
      <c r="G65" s="30"/>
      <c r="H65" s="30"/>
      <c r="I65" s="30"/>
      <c r="J65" s="30"/>
      <c r="K65" s="30"/>
      <c r="L65" s="127"/>
      <c r="M65" s="30"/>
      <c r="N65" s="30"/>
      <c r="O65" s="30"/>
      <c r="P65" s="30"/>
      <c r="Q65" s="30"/>
      <c r="R65" s="30"/>
      <c r="S65" s="30"/>
      <c r="T65" s="30"/>
      <c r="U65" s="89"/>
      <c r="V65" s="30"/>
      <c r="W65" s="30"/>
      <c r="X65" s="30"/>
      <c r="Y65" s="30"/>
      <c r="Z65" s="30"/>
      <c r="AA65" s="30"/>
      <c r="AB65" s="30"/>
      <c r="AC65" s="30"/>
      <c r="AF65" s="198"/>
      <c r="AJ65" s="198"/>
      <c r="AL65" s="198"/>
      <c r="AM65" s="113"/>
    </row>
    <row r="66" spans="1:39">
      <c r="A66" s="28" t="s">
        <v>17</v>
      </c>
      <c r="B66" s="30">
        <f>SUM(B11:B63)</f>
        <v>142562411.99999997</v>
      </c>
      <c r="C66" s="30"/>
      <c r="D66" s="30">
        <f>SUM(D11:D63)</f>
        <v>-1515012.1800000002</v>
      </c>
      <c r="E66" s="30"/>
      <c r="F66" s="30">
        <f>SUM(F11:F63)</f>
        <v>4510053.4196332898</v>
      </c>
      <c r="G66" s="30"/>
      <c r="H66" s="30">
        <f>SUM(H11:H63)</f>
        <v>357244.91999999993</v>
      </c>
      <c r="I66" s="30"/>
      <c r="J66" s="30">
        <f>SUM(J11:J63)</f>
        <v>28559705.829999998</v>
      </c>
      <c r="K66" s="30"/>
      <c r="L66" s="127">
        <f>SUM(L11:L63)</f>
        <v>21287104.965336777</v>
      </c>
      <c r="M66" s="30"/>
      <c r="N66" s="30">
        <f>SUM(N11:N63)</f>
        <v>29010487.399999999</v>
      </c>
      <c r="O66" s="30"/>
      <c r="P66" s="30">
        <f>SUM(P11:P63)</f>
        <v>475519.2</v>
      </c>
      <c r="Q66" s="30"/>
      <c r="R66" s="30">
        <f>SUM(R11:R63)</f>
        <v>378215</v>
      </c>
      <c r="S66" s="30">
        <f>SUM(S11:S63)</f>
        <v>-38853304.18</v>
      </c>
      <c r="T66" s="30"/>
      <c r="U66" s="30">
        <f>SUM(U11:U63)</f>
        <v>-1125501.544409567</v>
      </c>
      <c r="V66" s="30"/>
      <c r="W66" s="30">
        <f t="shared" ref="W66:AB66" si="8">SUM(W11:W63)</f>
        <v>694002526.22000003</v>
      </c>
      <c r="X66" s="30">
        <f t="shared" si="8"/>
        <v>186415181.45497006</v>
      </c>
      <c r="Y66" s="30"/>
      <c r="Z66" s="30">
        <f t="shared" si="8"/>
        <v>-534002.05559049232</v>
      </c>
      <c r="AA66" s="30">
        <f t="shared" si="8"/>
        <v>-1659503.6000000606</v>
      </c>
      <c r="AB66" s="30">
        <f t="shared" si="8"/>
        <v>-1659503.6000000606</v>
      </c>
      <c r="AC66" s="30"/>
      <c r="AF66" s="198">
        <v>42969756.029999994</v>
      </c>
      <c r="AI66" s="28" t="s">
        <v>433</v>
      </c>
      <c r="AJ66" s="198">
        <v>15485.869999997318</v>
      </c>
      <c r="AL66" s="198" t="s">
        <v>433</v>
      </c>
      <c r="AM66" s="113">
        <v>42969756.029999994</v>
      </c>
    </row>
    <row r="67" spans="1:39">
      <c r="B67" s="89"/>
      <c r="C67" s="89"/>
      <c r="D67" s="89"/>
      <c r="E67" s="89"/>
      <c r="F67" s="89"/>
      <c r="G67" s="89"/>
      <c r="H67" s="89"/>
      <c r="I67" s="89"/>
      <c r="J67" s="89"/>
      <c r="K67" s="89"/>
      <c r="L67" s="109"/>
      <c r="M67" s="89"/>
      <c r="N67" s="89"/>
      <c r="O67" s="89"/>
      <c r="P67" s="89"/>
      <c r="Q67" s="89"/>
      <c r="R67" s="89"/>
      <c r="S67" s="89"/>
      <c r="T67" s="89"/>
      <c r="U67" s="89"/>
      <c r="V67" s="89"/>
      <c r="W67" s="89"/>
      <c r="X67" s="89"/>
      <c r="Y67" s="89"/>
      <c r="Z67" s="89"/>
      <c r="AA67" s="89"/>
      <c r="AB67" s="89"/>
      <c r="AC67" s="89"/>
      <c r="AF67" s="198">
        <v>996003.92999999993</v>
      </c>
      <c r="AI67" s="28" t="s">
        <v>434</v>
      </c>
      <c r="AJ67" s="198">
        <v>-964.60000000009313</v>
      </c>
      <c r="AL67" s="198" t="s">
        <v>434</v>
      </c>
      <c r="AM67" s="113">
        <v>996003.92999999993</v>
      </c>
    </row>
    <row r="68" spans="1:39">
      <c r="L68" s="127"/>
      <c r="AA68" s="30">
        <f>AA66-AJ161</f>
        <v>0</v>
      </c>
      <c r="AF68" s="198">
        <v>43965759.959999993</v>
      </c>
      <c r="AI68" s="28" t="s">
        <v>372</v>
      </c>
      <c r="AJ68" s="198">
        <v>14521.269999997225</v>
      </c>
      <c r="AL68" s="198" t="s">
        <v>372</v>
      </c>
      <c r="AM68" s="113">
        <v>43965759.959999993</v>
      </c>
    </row>
    <row r="69" spans="1:39">
      <c r="B69" s="89"/>
      <c r="C69" s="89"/>
      <c r="D69" s="89"/>
      <c r="E69" s="89"/>
      <c r="F69" s="89"/>
      <c r="G69" s="89"/>
      <c r="H69" s="89"/>
      <c r="I69" s="89"/>
      <c r="J69" s="89"/>
      <c r="K69" s="89"/>
      <c r="L69" s="109"/>
      <c r="M69" s="89"/>
      <c r="N69" s="89"/>
      <c r="O69" s="89"/>
      <c r="P69" s="89"/>
      <c r="Q69" s="89"/>
      <c r="R69" s="89"/>
      <c r="S69" s="89"/>
      <c r="T69" s="89"/>
      <c r="U69" s="89"/>
      <c r="V69" s="89"/>
      <c r="W69" s="89"/>
      <c r="X69" s="89"/>
      <c r="Y69" s="89"/>
      <c r="Z69" s="89"/>
      <c r="AA69" s="89"/>
      <c r="AB69" s="89"/>
      <c r="AC69" s="89"/>
      <c r="AF69" s="198"/>
      <c r="AJ69" s="198"/>
      <c r="AL69" s="198"/>
      <c r="AM69" s="113"/>
    </row>
    <row r="70" spans="1:39">
      <c r="AF70" s="198">
        <v>265952.04000000004</v>
      </c>
      <c r="AI70" s="28" t="s">
        <v>439</v>
      </c>
      <c r="AJ70" s="198">
        <v>-729.07999999995809</v>
      </c>
      <c r="AL70" s="198" t="s">
        <v>439</v>
      </c>
      <c r="AM70" s="113">
        <v>265952.04000000004</v>
      </c>
    </row>
    <row r="71" spans="1:39">
      <c r="AF71" s="198">
        <v>265952.04000000004</v>
      </c>
      <c r="AI71" s="28" t="s">
        <v>376</v>
      </c>
      <c r="AJ71" s="198">
        <v>-729.07999999995809</v>
      </c>
      <c r="AL71" s="198" t="s">
        <v>376</v>
      </c>
      <c r="AM71" s="113">
        <v>265952.04000000004</v>
      </c>
    </row>
    <row r="72" spans="1:39">
      <c r="AF72" s="198"/>
      <c r="AJ72" s="198"/>
      <c r="AL72" s="198"/>
      <c r="AM72" s="113"/>
    </row>
    <row r="73" spans="1:39">
      <c r="AF73" s="198">
        <v>663872.9</v>
      </c>
      <c r="AI73" s="28" t="s">
        <v>440</v>
      </c>
      <c r="AJ73" s="198">
        <v>2956.9799999999814</v>
      </c>
      <c r="AL73" s="198" t="s">
        <v>440</v>
      </c>
      <c r="AM73" s="113">
        <v>663872.9</v>
      </c>
    </row>
    <row r="74" spans="1:39">
      <c r="AF74" s="198">
        <v>663872.9</v>
      </c>
      <c r="AI74" s="28" t="s">
        <v>377</v>
      </c>
      <c r="AJ74" s="198">
        <v>2956.9799999999814</v>
      </c>
      <c r="AL74" s="198" t="s">
        <v>377</v>
      </c>
      <c r="AM74" s="113">
        <v>663872.9</v>
      </c>
    </row>
    <row r="75" spans="1:39">
      <c r="AF75" s="198"/>
      <c r="AJ75" s="198"/>
      <c r="AL75" s="198"/>
      <c r="AM75" s="113"/>
    </row>
    <row r="76" spans="1:39">
      <c r="AF76" s="198">
        <v>308368.02</v>
      </c>
      <c r="AI76" s="28" t="s">
        <v>441</v>
      </c>
      <c r="AJ76" s="198">
        <v>2519.1000000000349</v>
      </c>
      <c r="AL76" s="198" t="s">
        <v>441</v>
      </c>
      <c r="AM76" s="113">
        <v>308368.02</v>
      </c>
    </row>
    <row r="77" spans="1:39">
      <c r="AF77" s="198">
        <v>308368.02</v>
      </c>
      <c r="AI77" s="28" t="s">
        <v>378</v>
      </c>
      <c r="AJ77" s="198">
        <v>2519.1000000000349</v>
      </c>
      <c r="AL77" s="198" t="s">
        <v>378</v>
      </c>
      <c r="AM77" s="113">
        <v>308368.02</v>
      </c>
    </row>
    <row r="78" spans="1:39">
      <c r="AF78" s="198"/>
      <c r="AJ78" s="198"/>
      <c r="AL78" s="198"/>
      <c r="AM78" s="113"/>
    </row>
    <row r="79" spans="1:39">
      <c r="AF79" s="198">
        <v>12017003.880000001</v>
      </c>
      <c r="AI79" s="28" t="s">
        <v>435</v>
      </c>
      <c r="AJ79" s="198">
        <v>10899.830000000075</v>
      </c>
      <c r="AL79" s="198" t="s">
        <v>435</v>
      </c>
      <c r="AM79" s="113">
        <v>12017003.880000001</v>
      </c>
    </row>
    <row r="80" spans="1:39">
      <c r="AF80" s="198">
        <v>90409.61</v>
      </c>
      <c r="AI80" s="28" t="s">
        <v>436</v>
      </c>
      <c r="AJ80" s="198">
        <v>207.13000000000466</v>
      </c>
      <c r="AL80" s="198" t="s">
        <v>436</v>
      </c>
      <c r="AM80" s="113">
        <v>90409.61</v>
      </c>
    </row>
    <row r="81" spans="32:39">
      <c r="AF81" s="198">
        <v>12107413.49</v>
      </c>
      <c r="AI81" s="28" t="s">
        <v>373</v>
      </c>
      <c r="AJ81" s="198">
        <v>11106.960000000079</v>
      </c>
      <c r="AL81" s="198" t="s">
        <v>373</v>
      </c>
      <c r="AM81" s="113">
        <v>12107413.49</v>
      </c>
    </row>
    <row r="82" spans="32:39">
      <c r="AF82" s="198"/>
      <c r="AJ82" s="198"/>
      <c r="AL82" s="198"/>
      <c r="AM82" s="113"/>
    </row>
    <row r="83" spans="32:39">
      <c r="AF83" s="198">
        <v>1331917.94</v>
      </c>
      <c r="AI83" s="28" t="s">
        <v>437</v>
      </c>
      <c r="AJ83" s="198">
        <v>-2862.6800000001676</v>
      </c>
      <c r="AL83" s="198" t="s">
        <v>437</v>
      </c>
      <c r="AM83" s="113">
        <v>1331917.94</v>
      </c>
    </row>
    <row r="84" spans="32:39">
      <c r="AF84" s="198">
        <v>1331917.94</v>
      </c>
      <c r="AI84" s="28" t="s">
        <v>374</v>
      </c>
      <c r="AJ84" s="198">
        <v>-2862.6800000001676</v>
      </c>
      <c r="AL84" s="198" t="s">
        <v>374</v>
      </c>
      <c r="AM84" s="113">
        <v>1331917.94</v>
      </c>
    </row>
    <row r="85" spans="32:39">
      <c r="AF85" s="198"/>
      <c r="AJ85" s="198"/>
      <c r="AL85" s="198"/>
      <c r="AM85" s="113"/>
    </row>
    <row r="86" spans="32:39">
      <c r="AF86" s="198">
        <v>0</v>
      </c>
      <c r="AI86" s="28" t="s">
        <v>438</v>
      </c>
      <c r="AJ86" s="198">
        <v>0</v>
      </c>
      <c r="AL86" s="198" t="s">
        <v>438</v>
      </c>
      <c r="AM86" s="113">
        <v>0</v>
      </c>
    </row>
    <row r="87" spans="32:39">
      <c r="AF87" s="198">
        <v>0</v>
      </c>
      <c r="AI87" s="28" t="s">
        <v>375</v>
      </c>
      <c r="AJ87" s="198">
        <v>0</v>
      </c>
      <c r="AL87" s="198" t="s">
        <v>375</v>
      </c>
      <c r="AM87" s="113">
        <v>0</v>
      </c>
    </row>
    <row r="88" spans="32:39">
      <c r="AF88" s="198"/>
      <c r="AJ88" s="198"/>
      <c r="AL88" s="198"/>
      <c r="AM88" s="113"/>
    </row>
    <row r="89" spans="32:39">
      <c r="AF89" s="198">
        <v>58643284.349999994</v>
      </c>
      <c r="AI89" s="28" t="s">
        <v>459</v>
      </c>
      <c r="AJ89" s="198">
        <v>27512.549999997194</v>
      </c>
      <c r="AL89" s="198" t="s">
        <v>459</v>
      </c>
      <c r="AM89" s="113">
        <v>58643284.349999994</v>
      </c>
    </row>
    <row r="90" spans="32:39">
      <c r="AF90" s="198"/>
      <c r="AJ90" s="198"/>
      <c r="AL90" s="198"/>
      <c r="AM90" s="113"/>
    </row>
    <row r="91" spans="32:39">
      <c r="AF91" s="198">
        <v>13764690.599999998</v>
      </c>
      <c r="AI91" s="28" t="s">
        <v>442</v>
      </c>
      <c r="AJ91" s="198">
        <v>-45134.590000001714</v>
      </c>
      <c r="AL91" s="198" t="s">
        <v>442</v>
      </c>
      <c r="AM91" s="113">
        <v>13764690.599999998</v>
      </c>
    </row>
    <row r="92" spans="32:39">
      <c r="AF92" s="198">
        <v>13764690.599999998</v>
      </c>
      <c r="AI92" s="28" t="s">
        <v>379</v>
      </c>
      <c r="AJ92" s="198">
        <v>-45134.590000001714</v>
      </c>
      <c r="AL92" s="198" t="s">
        <v>379</v>
      </c>
      <c r="AM92" s="113">
        <v>13764690.599999998</v>
      </c>
    </row>
    <row r="93" spans="32:39">
      <c r="AF93" s="198"/>
      <c r="AJ93" s="198"/>
      <c r="AL93" s="198"/>
      <c r="AM93" s="113"/>
    </row>
    <row r="94" spans="32:39">
      <c r="AF94" s="198">
        <v>241193.15999999997</v>
      </c>
      <c r="AI94" s="28" t="s">
        <v>443</v>
      </c>
      <c r="AJ94" s="198">
        <v>-2557.1800000000221</v>
      </c>
      <c r="AL94" s="198" t="s">
        <v>443</v>
      </c>
      <c r="AM94" s="113">
        <v>241193.15999999997</v>
      </c>
    </row>
    <row r="95" spans="32:39">
      <c r="AF95" s="198">
        <v>241193.15999999997</v>
      </c>
      <c r="AI95" s="28" t="s">
        <v>380</v>
      </c>
      <c r="AJ95" s="198">
        <v>-2557.1800000000221</v>
      </c>
      <c r="AL95" s="198" t="s">
        <v>380</v>
      </c>
      <c r="AM95" s="113">
        <v>241193.15999999997</v>
      </c>
    </row>
    <row r="96" spans="32:39">
      <c r="AF96" s="198"/>
      <c r="AJ96" s="198"/>
      <c r="AL96" s="198"/>
      <c r="AM96" s="113"/>
    </row>
    <row r="97" spans="32:39">
      <c r="AF97" s="198">
        <v>14005883.759999998</v>
      </c>
      <c r="AI97" s="28" t="s">
        <v>460</v>
      </c>
      <c r="AJ97" s="198">
        <v>-47691.770000001736</v>
      </c>
      <c r="AL97" s="198" t="s">
        <v>460</v>
      </c>
      <c r="AM97" s="113">
        <v>14005883.759999998</v>
      </c>
    </row>
    <row r="98" spans="32:39">
      <c r="AF98" s="198"/>
      <c r="AJ98" s="198"/>
      <c r="AL98" s="198"/>
      <c r="AM98" s="113"/>
    </row>
    <row r="99" spans="32:39">
      <c r="AF99" s="198">
        <v>1886414.28</v>
      </c>
      <c r="AI99" s="28" t="s">
        <v>448</v>
      </c>
      <c r="AJ99" s="198">
        <v>3961.3500000000931</v>
      </c>
      <c r="AL99" s="198" t="s">
        <v>448</v>
      </c>
      <c r="AM99" s="113">
        <v>1886414.28</v>
      </c>
    </row>
    <row r="100" spans="32:39">
      <c r="AF100" s="198">
        <v>1886414.28</v>
      </c>
      <c r="AI100" s="28" t="s">
        <v>384</v>
      </c>
      <c r="AJ100" s="198">
        <v>3961.3500000000931</v>
      </c>
      <c r="AL100" s="198" t="s">
        <v>384</v>
      </c>
      <c r="AM100" s="113">
        <v>1886414.28</v>
      </c>
    </row>
    <row r="101" spans="32:39">
      <c r="AF101" s="198"/>
      <c r="AJ101" s="198"/>
      <c r="AL101" s="198"/>
      <c r="AM101" s="113"/>
    </row>
    <row r="102" spans="32:39">
      <c r="AF102" s="198">
        <v>3869557.11</v>
      </c>
      <c r="AI102" s="28" t="s">
        <v>444</v>
      </c>
      <c r="AJ102" s="198">
        <v>-29187.930000000168</v>
      </c>
      <c r="AL102" s="198" t="s">
        <v>444</v>
      </c>
      <c r="AM102" s="113">
        <v>3869557.11</v>
      </c>
    </row>
    <row r="103" spans="32:39">
      <c r="AF103" s="198">
        <v>32134071.349999998</v>
      </c>
      <c r="AI103" s="28" t="s">
        <v>449</v>
      </c>
      <c r="AJ103" s="198">
        <v>96555.939999997616</v>
      </c>
      <c r="AL103" s="198" t="s">
        <v>449</v>
      </c>
      <c r="AM103" s="113">
        <v>32134071.349999998</v>
      </c>
    </row>
    <row r="104" spans="32:39">
      <c r="AF104" s="198">
        <v>1348357.08</v>
      </c>
      <c r="AI104" s="28" t="s">
        <v>452</v>
      </c>
      <c r="AJ104" s="198">
        <v>0</v>
      </c>
      <c r="AL104" s="198" t="s">
        <v>452</v>
      </c>
      <c r="AM104" s="113">
        <v>1348357.08</v>
      </c>
    </row>
    <row r="105" spans="32:39">
      <c r="AF105" s="198">
        <v>37351985.539999999</v>
      </c>
      <c r="AI105" s="28" t="s">
        <v>381</v>
      </c>
      <c r="AJ105" s="198">
        <v>67368.009999997448</v>
      </c>
      <c r="AL105" s="198" t="s">
        <v>381</v>
      </c>
      <c r="AM105" s="113">
        <v>37351985.539999999</v>
      </c>
    </row>
    <row r="106" spans="32:39">
      <c r="AF106" s="198"/>
      <c r="AJ106" s="198"/>
      <c r="AL106" s="198"/>
      <c r="AM106" s="113"/>
    </row>
    <row r="107" spans="32:39">
      <c r="AF107" s="198">
        <v>6736684</v>
      </c>
      <c r="AI107" s="28" t="s">
        <v>445</v>
      </c>
      <c r="AJ107" s="198">
        <v>0</v>
      </c>
      <c r="AL107" s="198" t="s">
        <v>445</v>
      </c>
      <c r="AM107" s="113">
        <v>6736684</v>
      </c>
    </row>
    <row r="108" spans="32:39">
      <c r="AF108" s="198">
        <v>4494116.87</v>
      </c>
      <c r="AI108" s="28" t="s">
        <v>447</v>
      </c>
      <c r="AJ108" s="198">
        <v>38054.700000000186</v>
      </c>
      <c r="AL108" s="198" t="s">
        <v>447</v>
      </c>
      <c r="AM108" s="113">
        <v>4494116.87</v>
      </c>
    </row>
    <row r="109" spans="32:39">
      <c r="AF109" s="198">
        <v>29504409.749999996</v>
      </c>
      <c r="AI109" s="28" t="s">
        <v>450</v>
      </c>
      <c r="AJ109" s="198">
        <v>39469.999999996275</v>
      </c>
      <c r="AL109" s="198" t="s">
        <v>450</v>
      </c>
      <c r="AM109" s="113">
        <v>29504409.749999996</v>
      </c>
    </row>
    <row r="110" spans="32:39">
      <c r="AF110" s="198">
        <v>97969378.969999999</v>
      </c>
      <c r="AI110" s="28" t="s">
        <v>453</v>
      </c>
      <c r="AJ110" s="198">
        <v>-3174.4000000059605</v>
      </c>
      <c r="AL110" s="198" t="s">
        <v>453</v>
      </c>
      <c r="AM110" s="113">
        <v>97969378.969999999</v>
      </c>
    </row>
    <row r="111" spans="32:39">
      <c r="AF111" s="198">
        <v>138704589.59</v>
      </c>
      <c r="AI111" s="28" t="s">
        <v>382</v>
      </c>
      <c r="AJ111" s="198">
        <v>74350.299999990501</v>
      </c>
      <c r="AL111" s="198" t="s">
        <v>382</v>
      </c>
      <c r="AM111" s="113">
        <v>138704589.59</v>
      </c>
    </row>
    <row r="112" spans="32:39">
      <c r="AF112" s="198"/>
      <c r="AJ112" s="198"/>
      <c r="AL112" s="198"/>
      <c r="AM112" s="113"/>
    </row>
    <row r="113" spans="32:39">
      <c r="AF113" s="198">
        <v>1738361.0100000002</v>
      </c>
      <c r="AI113" s="28" t="s">
        <v>446</v>
      </c>
      <c r="AJ113" s="198">
        <v>1357.2000000001863</v>
      </c>
      <c r="AL113" s="198" t="s">
        <v>446</v>
      </c>
      <c r="AM113" s="113">
        <v>1738361.0100000002</v>
      </c>
    </row>
    <row r="114" spans="32:39">
      <c r="AF114" s="198">
        <v>1219717.3</v>
      </c>
      <c r="AI114" s="28" t="s">
        <v>451</v>
      </c>
      <c r="AJ114" s="198">
        <v>0</v>
      </c>
      <c r="AL114" s="198" t="s">
        <v>451</v>
      </c>
      <c r="AM114" s="113">
        <v>1219717.3</v>
      </c>
    </row>
    <row r="115" spans="32:39">
      <c r="AF115" s="198">
        <v>18125391.849999998</v>
      </c>
      <c r="AI115" s="28" t="s">
        <v>454</v>
      </c>
      <c r="AJ115" s="198">
        <v>341721.76999999955</v>
      </c>
      <c r="AL115" s="198" t="s">
        <v>454</v>
      </c>
      <c r="AM115" s="113">
        <v>18125391.849999998</v>
      </c>
    </row>
    <row r="116" spans="32:39">
      <c r="AF116" s="198">
        <v>21083470.159999996</v>
      </c>
      <c r="AI116" s="28" t="s">
        <v>383</v>
      </c>
      <c r="AJ116" s="198">
        <v>343078.96999999974</v>
      </c>
      <c r="AL116" s="198" t="s">
        <v>383</v>
      </c>
      <c r="AM116" s="113">
        <v>21083470.159999996</v>
      </c>
    </row>
    <row r="117" spans="32:39">
      <c r="AF117" s="198"/>
      <c r="AJ117" s="198"/>
      <c r="AL117" s="198"/>
      <c r="AM117" s="113"/>
    </row>
    <row r="118" spans="32:39">
      <c r="AF118" s="198">
        <v>199026459.56999999</v>
      </c>
      <c r="AI118" s="28" t="s">
        <v>461</v>
      </c>
      <c r="AJ118" s="198">
        <v>488758.62999998778</v>
      </c>
      <c r="AL118" s="198" t="s">
        <v>461</v>
      </c>
      <c r="AM118" s="113">
        <v>199026459.56999999</v>
      </c>
    </row>
    <row r="119" spans="32:39">
      <c r="AF119" s="198"/>
      <c r="AJ119" s="198"/>
      <c r="AL119" s="198"/>
      <c r="AM119" s="113"/>
    </row>
    <row r="120" spans="32:39">
      <c r="AF120" s="198">
        <v>103052.65000000001</v>
      </c>
      <c r="AI120" s="28" t="s">
        <v>399</v>
      </c>
      <c r="AJ120" s="198">
        <v>-184.91999999999825</v>
      </c>
      <c r="AL120" s="198" t="s">
        <v>399</v>
      </c>
      <c r="AM120" s="113">
        <v>103052.65000000001</v>
      </c>
    </row>
    <row r="121" spans="32:39">
      <c r="AF121" s="198">
        <v>2580685.59</v>
      </c>
      <c r="AI121" s="28" t="s">
        <v>400</v>
      </c>
      <c r="AJ121" s="198">
        <v>-7408.1300000003539</v>
      </c>
      <c r="AL121" s="198" t="s">
        <v>400</v>
      </c>
      <c r="AM121" s="113">
        <v>2580685.59</v>
      </c>
    </row>
    <row r="122" spans="32:39">
      <c r="AF122" s="198">
        <v>26568.15</v>
      </c>
      <c r="AI122" s="28" t="s">
        <v>401</v>
      </c>
      <c r="AJ122" s="198">
        <v>30.120000000002619</v>
      </c>
      <c r="AL122" s="198" t="s">
        <v>401</v>
      </c>
      <c r="AM122" s="113">
        <v>26568.15</v>
      </c>
    </row>
    <row r="123" spans="32:39">
      <c r="AF123" s="198">
        <v>354348.1100000001</v>
      </c>
      <c r="AI123" s="28" t="s">
        <v>402</v>
      </c>
      <c r="AJ123" s="198">
        <v>173.7400000001071</v>
      </c>
      <c r="AL123" s="198" t="s">
        <v>402</v>
      </c>
      <c r="AM123" s="113">
        <v>354348.1100000001</v>
      </c>
    </row>
    <row r="124" spans="32:39">
      <c r="AF124" s="198">
        <v>97450.289999999979</v>
      </c>
      <c r="AI124" s="28" t="s">
        <v>403</v>
      </c>
      <c r="AJ124" s="198">
        <v>367.88999999998487</v>
      </c>
      <c r="AL124" s="198" t="s">
        <v>403</v>
      </c>
      <c r="AM124" s="113">
        <v>97450.289999999979</v>
      </c>
    </row>
    <row r="125" spans="32:39">
      <c r="AF125" s="198">
        <v>1130.8900000000001</v>
      </c>
      <c r="AI125" s="28" t="s">
        <v>404</v>
      </c>
      <c r="AJ125" s="198">
        <v>2.7300000000000182</v>
      </c>
      <c r="AL125" s="198" t="s">
        <v>404</v>
      </c>
      <c r="AM125" s="113">
        <v>1130.8900000000001</v>
      </c>
    </row>
    <row r="126" spans="32:39">
      <c r="AF126" s="198">
        <v>926.04</v>
      </c>
      <c r="AI126" s="28" t="s">
        <v>405</v>
      </c>
      <c r="AJ126" s="198">
        <v>4.3099999999999454</v>
      </c>
      <c r="AL126" s="198" t="s">
        <v>405</v>
      </c>
      <c r="AM126" s="113">
        <v>926.04</v>
      </c>
    </row>
    <row r="127" spans="32:39">
      <c r="AF127" s="198">
        <v>418990.23</v>
      </c>
      <c r="AI127" s="28" t="s">
        <v>406</v>
      </c>
      <c r="AJ127" s="198">
        <v>868.84999999997672</v>
      </c>
      <c r="AL127" s="198" t="s">
        <v>406</v>
      </c>
      <c r="AM127" s="113">
        <v>418990.23</v>
      </c>
    </row>
    <row r="128" spans="32:39">
      <c r="AF128" s="198">
        <v>1537194.9300000002</v>
      </c>
      <c r="AI128" s="28" t="s">
        <v>407</v>
      </c>
      <c r="AJ128" s="198">
        <v>-575.57999999984168</v>
      </c>
      <c r="AL128" s="198" t="s">
        <v>407</v>
      </c>
      <c r="AM128" s="113">
        <v>1537194.9300000002</v>
      </c>
    </row>
    <row r="129" spans="32:39">
      <c r="AF129" s="198">
        <v>54576.42</v>
      </c>
      <c r="AI129" s="28" t="s">
        <v>408</v>
      </c>
      <c r="AJ129" s="198">
        <v>108.72000000000116</v>
      </c>
      <c r="AL129" s="198" t="s">
        <v>408</v>
      </c>
      <c r="AM129" s="113">
        <v>54576.42</v>
      </c>
    </row>
    <row r="130" spans="32:39">
      <c r="AF130" s="198">
        <v>181047.22000000003</v>
      </c>
      <c r="AI130" s="28" t="s">
        <v>409</v>
      </c>
      <c r="AJ130" s="198">
        <v>-1160.9999999999709</v>
      </c>
      <c r="AL130" s="198" t="s">
        <v>409</v>
      </c>
      <c r="AM130" s="113">
        <v>181047.22000000003</v>
      </c>
    </row>
    <row r="131" spans="32:39">
      <c r="AF131" s="198">
        <v>3099902.4000000004</v>
      </c>
      <c r="AI131" s="28" t="s">
        <v>410</v>
      </c>
      <c r="AJ131" s="198">
        <v>-15483.219999999739</v>
      </c>
      <c r="AL131" s="198" t="s">
        <v>410</v>
      </c>
      <c r="AM131" s="113">
        <v>3099902.4000000004</v>
      </c>
    </row>
    <row r="132" spans="32:39">
      <c r="AF132" s="198">
        <v>364837.74</v>
      </c>
      <c r="AI132" s="28" t="s">
        <v>411</v>
      </c>
      <c r="AJ132" s="198">
        <v>-184.85999999998603</v>
      </c>
      <c r="AL132" s="198" t="s">
        <v>411</v>
      </c>
      <c r="AM132" s="113">
        <v>364837.74</v>
      </c>
    </row>
    <row r="133" spans="32:39">
      <c r="AF133" s="198">
        <v>945.38</v>
      </c>
      <c r="AI133" s="28" t="s">
        <v>412</v>
      </c>
      <c r="AJ133" s="198">
        <v>1.1200000000000045</v>
      </c>
      <c r="AL133" s="198" t="s">
        <v>412</v>
      </c>
      <c r="AM133" s="113">
        <v>945.38</v>
      </c>
    </row>
    <row r="134" spans="32:39">
      <c r="AF134" s="198">
        <v>26766.570000000003</v>
      </c>
      <c r="AI134" s="28" t="s">
        <v>413</v>
      </c>
      <c r="AJ134" s="198">
        <v>86.190000000002328</v>
      </c>
      <c r="AL134" s="198" t="s">
        <v>413</v>
      </c>
      <c r="AM134" s="113">
        <v>26766.570000000003</v>
      </c>
    </row>
    <row r="135" spans="32:39">
      <c r="AF135" s="198">
        <v>2035.4199999999998</v>
      </c>
      <c r="AI135" s="28" t="s">
        <v>414</v>
      </c>
      <c r="AJ135" s="198">
        <v>17.139999999999873</v>
      </c>
      <c r="AL135" s="198" t="s">
        <v>414</v>
      </c>
      <c r="AM135" s="113">
        <v>2035.4199999999998</v>
      </c>
    </row>
    <row r="136" spans="32:39">
      <c r="AF136" s="198">
        <v>2759.08</v>
      </c>
      <c r="AI136" s="28" t="s">
        <v>415</v>
      </c>
      <c r="AJ136" s="198">
        <v>84.840000000000146</v>
      </c>
      <c r="AL136" s="198" t="s">
        <v>415</v>
      </c>
      <c r="AM136" s="113">
        <v>2759.08</v>
      </c>
    </row>
    <row r="137" spans="32:39">
      <c r="AF137" s="198">
        <v>80041.98</v>
      </c>
      <c r="AI137" s="28" t="s">
        <v>416</v>
      </c>
      <c r="AJ137" s="198">
        <v>-198.6200000000099</v>
      </c>
      <c r="AL137" s="198" t="s">
        <v>416</v>
      </c>
      <c r="AM137" s="113">
        <v>80041.98</v>
      </c>
    </row>
    <row r="138" spans="32:39">
      <c r="AF138" s="198">
        <v>5505.78</v>
      </c>
      <c r="AI138" s="28" t="s">
        <v>417</v>
      </c>
      <c r="AJ138" s="198">
        <v>22.009999999999309</v>
      </c>
      <c r="AL138" s="198" t="s">
        <v>417</v>
      </c>
      <c r="AM138" s="113">
        <v>5505.78</v>
      </c>
    </row>
    <row r="139" spans="32:39">
      <c r="AF139" s="198">
        <v>1034191.33</v>
      </c>
      <c r="AI139" s="28">
        <v>150</v>
      </c>
      <c r="AJ139" s="198">
        <v>28819.989999999991</v>
      </c>
      <c r="AL139" s="198">
        <v>150</v>
      </c>
      <c r="AM139" s="113">
        <v>1034191.33</v>
      </c>
    </row>
    <row r="140" spans="32:39">
      <c r="AF140" s="198">
        <v>39.269999999999996</v>
      </c>
      <c r="AI140" s="28">
        <v>151</v>
      </c>
      <c r="AJ140" s="198">
        <v>5.2299999999999969</v>
      </c>
      <c r="AL140" s="198">
        <v>151</v>
      </c>
      <c r="AM140" s="113">
        <v>39.269999999999996</v>
      </c>
    </row>
    <row r="141" spans="32:39">
      <c r="AF141" s="198">
        <v>217.26999999999998</v>
      </c>
      <c r="AI141" s="28">
        <v>152</v>
      </c>
      <c r="AJ141" s="198">
        <v>21.419999999999987</v>
      </c>
      <c r="AL141" s="198">
        <v>152</v>
      </c>
      <c r="AM141" s="113">
        <v>217.26999999999998</v>
      </c>
    </row>
    <row r="142" spans="32:39">
      <c r="AF142" s="198">
        <v>87.32</v>
      </c>
      <c r="AI142" s="28">
        <v>153</v>
      </c>
      <c r="AJ142" s="198">
        <v>57.11999999999999</v>
      </c>
      <c r="AL142" s="198">
        <v>153</v>
      </c>
      <c r="AM142" s="113">
        <v>87.32</v>
      </c>
    </row>
    <row r="143" spans="32:39">
      <c r="AF143" s="198">
        <v>1863.23</v>
      </c>
      <c r="AI143" s="28">
        <v>160</v>
      </c>
      <c r="AJ143" s="198">
        <v>71.170000000000073</v>
      </c>
      <c r="AL143" s="198">
        <v>160</v>
      </c>
      <c r="AM143" s="113">
        <v>1863.23</v>
      </c>
    </row>
    <row r="144" spans="32:39">
      <c r="AF144" s="198">
        <v>0</v>
      </c>
      <c r="AI144" s="28">
        <v>162</v>
      </c>
      <c r="AJ144" s="198">
        <v>0</v>
      </c>
      <c r="AL144" s="198">
        <v>162</v>
      </c>
      <c r="AM144" s="113">
        <v>0</v>
      </c>
    </row>
    <row r="145" spans="32:39">
      <c r="AF145" s="198">
        <v>25906.589999999997</v>
      </c>
      <c r="AI145" s="28">
        <v>165</v>
      </c>
      <c r="AJ145" s="198">
        <v>2832.7999999999956</v>
      </c>
      <c r="AL145" s="198">
        <v>165</v>
      </c>
      <c r="AM145" s="113">
        <v>25906.589999999997</v>
      </c>
    </row>
    <row r="146" spans="32:39">
      <c r="AF146" s="198">
        <v>17092.990000000002</v>
      </c>
      <c r="AI146" s="28">
        <v>166</v>
      </c>
      <c r="AJ146" s="198">
        <v>1057.880000000001</v>
      </c>
      <c r="AL146" s="198">
        <v>166</v>
      </c>
      <c r="AM146" s="113">
        <v>17092.990000000002</v>
      </c>
    </row>
    <row r="147" spans="32:39">
      <c r="AF147" s="198">
        <v>0</v>
      </c>
      <c r="AI147" s="28">
        <v>175</v>
      </c>
      <c r="AJ147" s="198">
        <v>0</v>
      </c>
      <c r="AL147" s="198">
        <v>175</v>
      </c>
      <c r="AM147" s="113">
        <v>0</v>
      </c>
    </row>
    <row r="148" spans="32:39">
      <c r="AF148" s="198">
        <v>-79.73</v>
      </c>
      <c r="AI148" s="28">
        <v>201</v>
      </c>
      <c r="AJ148" s="198">
        <v>0</v>
      </c>
      <c r="AL148" s="198">
        <v>201</v>
      </c>
      <c r="AM148" s="113">
        <v>-79.73</v>
      </c>
    </row>
    <row r="149" spans="32:39">
      <c r="AF149" s="198"/>
      <c r="AJ149" s="198">
        <v>0</v>
      </c>
      <c r="AL149" s="198"/>
      <c r="AM149" s="113"/>
    </row>
    <row r="150" spans="32:39">
      <c r="AF150" s="198"/>
      <c r="AJ150" s="198">
        <v>0</v>
      </c>
      <c r="AL150" s="198"/>
      <c r="AM150" s="113"/>
    </row>
    <row r="151" spans="32:39">
      <c r="AF151" s="198">
        <v>10018083.140000002</v>
      </c>
      <c r="AI151" s="28" t="s">
        <v>35</v>
      </c>
      <c r="AJ151" s="198">
        <v>9436.9400000001588</v>
      </c>
      <c r="AL151" s="198" t="s">
        <v>35</v>
      </c>
      <c r="AM151" s="113">
        <v>10018083.140000002</v>
      </c>
    </row>
    <row r="152" spans="32:39">
      <c r="AF152" s="198"/>
      <c r="AJ152" s="198"/>
      <c r="AL152" s="198"/>
      <c r="AM152" s="113"/>
    </row>
    <row r="153" spans="32:39">
      <c r="AF153" s="198">
        <v>1931844.2000000002</v>
      </c>
      <c r="AI153" s="28" t="s">
        <v>455</v>
      </c>
      <c r="AJ153" s="198">
        <v>19.120000000111759</v>
      </c>
      <c r="AL153" s="198" t="s">
        <v>455</v>
      </c>
      <c r="AM153" s="113">
        <v>1931844.2000000002</v>
      </c>
    </row>
    <row r="154" spans="32:39">
      <c r="AF154" s="198">
        <v>1931844.2000000002</v>
      </c>
      <c r="AI154" s="28" t="s">
        <v>36</v>
      </c>
      <c r="AJ154" s="198">
        <v>19.120000000111759</v>
      </c>
      <c r="AL154" s="198" t="s">
        <v>36</v>
      </c>
      <c r="AM154" s="113">
        <v>1931844.2000000002</v>
      </c>
    </row>
    <row r="155" spans="32:39">
      <c r="AF155" s="198"/>
      <c r="AJ155" s="198"/>
      <c r="AL155" s="198"/>
      <c r="AM155" s="113"/>
    </row>
    <row r="156" spans="32:39">
      <c r="AF156" s="198"/>
      <c r="AJ156" s="198"/>
      <c r="AL156" s="198"/>
      <c r="AM156" s="113"/>
    </row>
    <row r="157" spans="32:39">
      <c r="AF157" s="198">
        <v>251660.08000000002</v>
      </c>
      <c r="AI157" s="28" t="s">
        <v>456</v>
      </c>
      <c r="AJ157" s="198">
        <v>-596.70999999999185</v>
      </c>
      <c r="AL157" s="198" t="s">
        <v>456</v>
      </c>
      <c r="AM157" s="113">
        <v>251660.08000000002</v>
      </c>
    </row>
    <row r="158" spans="32:39">
      <c r="AF158" s="198">
        <v>251660.08000000002</v>
      </c>
      <c r="AI158" s="28" t="s">
        <v>34</v>
      </c>
      <c r="AJ158" s="198">
        <v>-596.70999999999185</v>
      </c>
      <c r="AL158" s="198" t="s">
        <v>34</v>
      </c>
      <c r="AM158" s="113">
        <v>251660.08000000002</v>
      </c>
    </row>
    <row r="159" spans="32:39">
      <c r="AF159" s="198"/>
      <c r="AJ159" s="198"/>
      <c r="AL159" s="198"/>
      <c r="AM159" s="113"/>
    </row>
    <row r="160" spans="32:39">
      <c r="AF160" s="198"/>
      <c r="AJ160" s="198"/>
      <c r="AL160" s="198"/>
      <c r="AM160" s="113"/>
    </row>
    <row r="161" spans="32:39">
      <c r="AF161" s="198">
        <v>694002526.22000003</v>
      </c>
      <c r="AI161" s="28" t="s">
        <v>462</v>
      </c>
      <c r="AJ161" s="198">
        <v>-1659503.6000000604</v>
      </c>
      <c r="AL161" s="198" t="s">
        <v>462</v>
      </c>
      <c r="AM161" s="113">
        <v>694002526.22000003</v>
      </c>
    </row>
  </sheetData>
  <phoneticPr fontId="0" type="noConversion"/>
  <pageMargins left="0.75" right="0.75" top="1" bottom="1" header="0.5" footer="0.5"/>
  <pageSetup scale="2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G191"/>
  <sheetViews>
    <sheetView workbookViewId="0">
      <pane xSplit="1" ySplit="3" topLeftCell="B4" activePane="bottomRight" state="frozen"/>
      <selection pane="topRight" activeCell="B1" sqref="B1"/>
      <selection pane="bottomLeft" activeCell="A4" sqref="A4"/>
      <selection pane="bottomRight" activeCell="H76" sqref="H76"/>
    </sheetView>
  </sheetViews>
  <sheetFormatPr defaultColWidth="10.28515625" defaultRowHeight="12.75"/>
  <cols>
    <col min="1" max="1" width="64.42578125" style="264" customWidth="1"/>
    <col min="2" max="2" width="20.140625" style="266" bestFit="1" customWidth="1"/>
    <col min="3" max="3" width="14.28515625" style="269" customWidth="1"/>
    <col min="4" max="4" width="11.28515625" style="266" bestFit="1" customWidth="1"/>
    <col min="5" max="5" width="15.5703125" style="266" bestFit="1" customWidth="1"/>
    <col min="6" max="6" width="12" style="266" bestFit="1" customWidth="1"/>
    <col min="7" max="7" width="25.5703125" style="267" bestFit="1" customWidth="1"/>
    <col min="8" max="16384" width="10.28515625" style="264"/>
  </cols>
  <sheetData>
    <row r="3" spans="1:7">
      <c r="A3" s="260"/>
      <c r="B3" s="261" t="s">
        <v>533</v>
      </c>
      <c r="C3" s="262" t="s">
        <v>69</v>
      </c>
      <c r="D3" s="261" t="s">
        <v>534</v>
      </c>
      <c r="E3" s="261" t="s">
        <v>535</v>
      </c>
      <c r="F3" s="261" t="s">
        <v>536</v>
      </c>
      <c r="G3" s="263"/>
    </row>
    <row r="4" spans="1:7">
      <c r="A4" s="306" t="s">
        <v>537</v>
      </c>
      <c r="B4" s="405">
        <v>20</v>
      </c>
      <c r="C4" s="406">
        <v>0.12947</v>
      </c>
      <c r="D4" s="405"/>
      <c r="E4" s="405"/>
      <c r="F4" s="405"/>
      <c r="G4" s="358"/>
    </row>
    <row r="5" spans="1:7">
      <c r="A5" s="265" t="s">
        <v>567</v>
      </c>
      <c r="B5" s="405"/>
      <c r="C5" s="406">
        <v>0.12947</v>
      </c>
      <c r="D5" s="405"/>
      <c r="E5" s="405"/>
      <c r="F5" s="405"/>
      <c r="G5" s="358"/>
    </row>
    <row r="6" spans="1:7">
      <c r="A6" s="265" t="s">
        <v>470</v>
      </c>
      <c r="B6" s="405"/>
      <c r="C6" s="406">
        <v>8.6029999999999995E-2</v>
      </c>
      <c r="D6" s="405"/>
      <c r="E6" s="405"/>
      <c r="F6" s="405"/>
      <c r="G6" s="358"/>
    </row>
    <row r="7" spans="1:7">
      <c r="A7" s="307" t="s">
        <v>155</v>
      </c>
      <c r="B7" s="405"/>
      <c r="C7" s="406"/>
      <c r="D7" s="405"/>
      <c r="E7" s="405"/>
      <c r="F7" s="405"/>
      <c r="G7" s="358"/>
    </row>
    <row r="8" spans="1:7">
      <c r="A8" s="265" t="s">
        <v>538</v>
      </c>
      <c r="B8" s="405"/>
      <c r="C8" s="406">
        <v>0.18645999999999999</v>
      </c>
      <c r="D8" s="405"/>
      <c r="E8" s="405"/>
      <c r="F8" s="405"/>
      <c r="G8" s="358"/>
    </row>
    <row r="9" spans="1:7">
      <c r="A9" s="265" t="s">
        <v>539</v>
      </c>
      <c r="B9" s="405"/>
      <c r="C9" s="406">
        <v>8.6029999999999995E-2</v>
      </c>
      <c r="D9" s="405"/>
      <c r="E9" s="405"/>
      <c r="F9" s="405"/>
      <c r="G9" s="358"/>
    </row>
    <row r="10" spans="1:7">
      <c r="A10" s="265" t="s">
        <v>540</v>
      </c>
      <c r="B10" s="405">
        <v>4.3</v>
      </c>
      <c r="C10" s="406"/>
      <c r="D10" s="405"/>
      <c r="E10" s="405"/>
      <c r="F10" s="405"/>
      <c r="G10" s="358"/>
    </row>
    <row r="11" spans="1:7">
      <c r="A11" s="306" t="s">
        <v>489</v>
      </c>
      <c r="B11" s="405">
        <v>23</v>
      </c>
      <c r="C11" s="406"/>
      <c r="D11" s="405"/>
      <c r="E11" s="405"/>
      <c r="F11" s="405"/>
      <c r="G11" s="358"/>
    </row>
    <row r="12" spans="1:7">
      <c r="A12" s="265" t="s">
        <v>538</v>
      </c>
      <c r="B12" s="405"/>
      <c r="C12" s="406">
        <v>0.18645999999999999</v>
      </c>
      <c r="D12" s="405"/>
      <c r="E12" s="405"/>
      <c r="F12" s="405"/>
      <c r="G12" s="358"/>
    </row>
    <row r="13" spans="1:7">
      <c r="A13" s="265" t="s">
        <v>539</v>
      </c>
      <c r="B13" s="405"/>
      <c r="C13" s="406">
        <v>8.6029999999999995E-2</v>
      </c>
      <c r="D13" s="405"/>
      <c r="E13" s="405"/>
      <c r="F13" s="405"/>
      <c r="G13" s="358"/>
    </row>
    <row r="15" spans="1:7" ht="15.75">
      <c r="A15" s="306" t="s">
        <v>541</v>
      </c>
      <c r="B15" s="408">
        <v>28</v>
      </c>
      <c r="C15" s="406"/>
      <c r="D15" s="405"/>
      <c r="E15" s="404"/>
      <c r="F15" s="404"/>
    </row>
    <row r="16" spans="1:7" ht="15.75">
      <c r="A16" s="265" t="s">
        <v>542</v>
      </c>
      <c r="B16" s="405"/>
      <c r="C16" s="406">
        <v>0.19545000000000001</v>
      </c>
      <c r="D16" s="405"/>
      <c r="E16" s="404"/>
      <c r="F16" s="404"/>
    </row>
    <row r="17" spans="1:5" ht="15.75">
      <c r="A17" s="265" t="s">
        <v>543</v>
      </c>
      <c r="B17" s="405"/>
      <c r="C17" s="406">
        <v>0.13783999999999999</v>
      </c>
      <c r="D17" s="405"/>
      <c r="E17" s="404"/>
    </row>
    <row r="18" spans="1:5" ht="15.75">
      <c r="A18" s="265" t="s">
        <v>79</v>
      </c>
      <c r="B18" s="405"/>
      <c r="C18" s="406">
        <v>0.12349</v>
      </c>
      <c r="D18" s="405"/>
      <c r="E18" s="404"/>
    </row>
    <row r="20" spans="1:5" ht="15.75">
      <c r="A20" s="306" t="s">
        <v>544</v>
      </c>
      <c r="B20" s="405">
        <v>28</v>
      </c>
      <c r="C20" s="406"/>
      <c r="D20" s="405">
        <v>8.82</v>
      </c>
      <c r="E20" s="404"/>
    </row>
    <row r="21" spans="1:5" ht="15.75">
      <c r="A21" s="268" t="s">
        <v>545</v>
      </c>
      <c r="B21" s="405"/>
      <c r="C21" s="406">
        <v>0.12292</v>
      </c>
      <c r="D21" s="405"/>
      <c r="E21" s="404"/>
    </row>
    <row r="22" spans="1:5" ht="15.75">
      <c r="A22" s="268" t="s">
        <v>546</v>
      </c>
      <c r="B22" s="405"/>
      <c r="C22" s="406">
        <v>0.10813</v>
      </c>
      <c r="D22" s="405"/>
      <c r="E22" s="404"/>
    </row>
    <row r="23" spans="1:5" ht="15.75">
      <c r="A23" s="306" t="s">
        <v>547</v>
      </c>
      <c r="B23" s="405">
        <v>28</v>
      </c>
      <c r="C23" s="406">
        <v>0.13336000000000001</v>
      </c>
      <c r="D23" s="405"/>
      <c r="E23" s="404"/>
    </row>
    <row r="24" spans="1:5" ht="15.75">
      <c r="A24" s="306" t="s">
        <v>568</v>
      </c>
      <c r="B24" s="405">
        <v>28</v>
      </c>
      <c r="C24" s="406">
        <v>0.18567</v>
      </c>
      <c r="D24" s="405"/>
      <c r="E24" s="404"/>
    </row>
    <row r="25" spans="1:5" ht="15.75">
      <c r="A25" s="265" t="s">
        <v>538</v>
      </c>
      <c r="B25" s="412"/>
      <c r="C25" s="406">
        <v>8.5580000000000003E-2</v>
      </c>
      <c r="D25" s="405"/>
      <c r="E25" s="404"/>
    </row>
    <row r="26" spans="1:5" ht="15.75">
      <c r="A26" s="265" t="s">
        <v>539</v>
      </c>
      <c r="B26" s="412"/>
      <c r="C26" s="406"/>
      <c r="D26" s="405"/>
      <c r="E26" s="404"/>
    </row>
    <row r="27" spans="1:5" ht="15.75">
      <c r="A27" s="306" t="s">
        <v>548</v>
      </c>
      <c r="B27" s="405">
        <v>15</v>
      </c>
      <c r="C27" s="413"/>
      <c r="D27" s="405"/>
      <c r="E27" s="404"/>
    </row>
    <row r="28" spans="1:5" ht="15.75">
      <c r="A28" s="268" t="s">
        <v>545</v>
      </c>
      <c r="B28" s="405"/>
      <c r="C28" s="406">
        <v>0.12292</v>
      </c>
      <c r="D28" s="405"/>
      <c r="E28" s="404"/>
    </row>
    <row r="29" spans="1:5" ht="15.75">
      <c r="A29" s="268" t="s">
        <v>546</v>
      </c>
      <c r="B29" s="405"/>
      <c r="C29" s="406">
        <v>0.10813</v>
      </c>
      <c r="D29" s="405"/>
      <c r="E29" s="404"/>
    </row>
    <row r="30" spans="1:5" ht="15.75">
      <c r="A30" s="306" t="s">
        <v>41</v>
      </c>
      <c r="B30" s="405">
        <v>28</v>
      </c>
      <c r="C30" s="406"/>
      <c r="D30" s="405"/>
      <c r="E30" s="404"/>
    </row>
    <row r="31" spans="1:5" ht="15.75">
      <c r="A31" s="265" t="s">
        <v>538</v>
      </c>
      <c r="B31" s="405"/>
      <c r="C31" s="406">
        <v>0.18567</v>
      </c>
      <c r="D31" s="405"/>
      <c r="E31" s="404"/>
    </row>
    <row r="32" spans="1:5">
      <c r="A32" s="265" t="s">
        <v>539</v>
      </c>
      <c r="B32" s="405"/>
      <c r="C32" s="406">
        <v>8.5580000000000003E-2</v>
      </c>
      <c r="D32" s="405"/>
      <c r="E32" s="405"/>
    </row>
    <row r="33" spans="1:5">
      <c r="A33" s="306" t="s">
        <v>549</v>
      </c>
      <c r="B33" s="405">
        <v>120</v>
      </c>
      <c r="C33" s="406"/>
      <c r="D33" s="405">
        <v>8.0299999999999994</v>
      </c>
      <c r="E33" s="405"/>
    </row>
    <row r="34" spans="1:5">
      <c r="A34" s="268" t="s">
        <v>545</v>
      </c>
      <c r="B34" s="405"/>
      <c r="C34" s="406">
        <v>0.1079</v>
      </c>
      <c r="D34" s="405"/>
      <c r="E34" s="405"/>
    </row>
    <row r="35" spans="1:5">
      <c r="A35" s="268" t="s">
        <v>546</v>
      </c>
      <c r="B35" s="405"/>
      <c r="C35" s="406">
        <v>9.5329999999999998E-2</v>
      </c>
      <c r="D35" s="405"/>
      <c r="E35" s="405"/>
    </row>
    <row r="36" spans="1:5">
      <c r="A36" s="306" t="s">
        <v>569</v>
      </c>
      <c r="B36" s="405">
        <v>460</v>
      </c>
      <c r="C36" s="406"/>
      <c r="D36" s="405">
        <v>6.38</v>
      </c>
      <c r="E36" s="405"/>
    </row>
    <row r="37" spans="1:5">
      <c r="A37" s="268" t="s">
        <v>545</v>
      </c>
      <c r="B37" s="405"/>
      <c r="C37" s="406">
        <v>9.7629999999999995E-2</v>
      </c>
      <c r="D37" s="405"/>
      <c r="E37" s="405"/>
    </row>
    <row r="38" spans="1:5">
      <c r="A38" s="268" t="s">
        <v>546</v>
      </c>
      <c r="B38" s="405"/>
      <c r="C38" s="406">
        <v>8.6290000000000006E-2</v>
      </c>
      <c r="D38" s="405"/>
      <c r="E38" s="405"/>
    </row>
    <row r="40" spans="1:5">
      <c r="A40" s="306" t="s">
        <v>78</v>
      </c>
      <c r="B40" s="405">
        <v>97</v>
      </c>
      <c r="C40" s="406">
        <v>8.796000000000001E-2</v>
      </c>
      <c r="D40" s="405">
        <v>10.39</v>
      </c>
      <c r="E40" s="405">
        <v>3.46</v>
      </c>
    </row>
    <row r="41" spans="1:5">
      <c r="A41" s="306" t="s">
        <v>570</v>
      </c>
      <c r="B41" s="405">
        <v>97</v>
      </c>
      <c r="C41" s="406"/>
      <c r="D41" s="405"/>
      <c r="E41" s="405"/>
    </row>
    <row r="42" spans="1:5">
      <c r="A42" s="265" t="s">
        <v>538</v>
      </c>
      <c r="B42" s="405"/>
      <c r="C42" s="406">
        <v>0.14934</v>
      </c>
      <c r="D42" s="405"/>
      <c r="E42" s="405"/>
    </row>
    <row r="43" spans="1:5">
      <c r="A43" s="265" t="s">
        <v>539</v>
      </c>
      <c r="B43" s="405"/>
      <c r="C43" s="406">
        <v>8.695E-2</v>
      </c>
      <c r="D43" s="405"/>
      <c r="E43" s="405"/>
    </row>
    <row r="44" spans="1:5">
      <c r="A44" s="308" t="s">
        <v>42</v>
      </c>
      <c r="B44" s="405">
        <v>145</v>
      </c>
      <c r="C44" s="406">
        <v>7.8670000000000004E-2</v>
      </c>
      <c r="D44" s="405">
        <v>8.9499999999999993</v>
      </c>
      <c r="E44" s="405">
        <v>3.46</v>
      </c>
    </row>
    <row r="45" spans="1:5">
      <c r="A45" s="306" t="s">
        <v>43</v>
      </c>
      <c r="B45" s="405">
        <v>750</v>
      </c>
      <c r="C45" s="406">
        <v>5.9750000000000004E-2</v>
      </c>
      <c r="D45" s="405">
        <v>5.39</v>
      </c>
      <c r="E45" s="405">
        <v>3.46</v>
      </c>
    </row>
    <row r="46" spans="1:5">
      <c r="A46" s="306" t="s">
        <v>197</v>
      </c>
      <c r="B46" s="405">
        <v>750</v>
      </c>
      <c r="C46" s="406">
        <v>5.8739999999999994E-2</v>
      </c>
      <c r="D46" s="405">
        <v>5.2499999999999991</v>
      </c>
      <c r="E46" s="405">
        <v>3.46</v>
      </c>
    </row>
    <row r="47" spans="1:5">
      <c r="A47" s="306" t="s">
        <v>550</v>
      </c>
      <c r="B47" s="405">
        <v>97</v>
      </c>
      <c r="C47" s="406"/>
      <c r="D47" s="409">
        <v>9.1300000000000008</v>
      </c>
      <c r="E47" s="409">
        <v>3.46</v>
      </c>
    </row>
    <row r="48" spans="1:5">
      <c r="A48" s="265" t="s">
        <v>538</v>
      </c>
      <c r="B48" s="405"/>
      <c r="C48" s="406">
        <v>0.11792999999999999</v>
      </c>
      <c r="D48" s="405"/>
      <c r="E48" s="405"/>
    </row>
    <row r="49" spans="1:5">
      <c r="A49" s="265" t="s">
        <v>539</v>
      </c>
      <c r="B49" s="405"/>
      <c r="C49" s="406">
        <v>6.1940000000000002E-2</v>
      </c>
      <c r="D49" s="405"/>
      <c r="E49" s="405"/>
    </row>
    <row r="50" spans="1:5">
      <c r="A50" s="306" t="s">
        <v>551</v>
      </c>
      <c r="B50" s="405">
        <v>145</v>
      </c>
      <c r="C50" s="406"/>
      <c r="D50" s="405">
        <v>7.76</v>
      </c>
      <c r="E50" s="409">
        <v>3.46</v>
      </c>
    </row>
    <row r="51" spans="1:5">
      <c r="A51" s="265" t="s">
        <v>538</v>
      </c>
      <c r="B51" s="405"/>
      <c r="C51" s="406">
        <v>0.11237999999999999</v>
      </c>
      <c r="D51" s="405"/>
      <c r="E51" s="405"/>
    </row>
    <row r="52" spans="1:5">
      <c r="A52" s="265" t="s">
        <v>539</v>
      </c>
      <c r="B52" s="405"/>
      <c r="C52" s="406">
        <v>6.021E-2</v>
      </c>
      <c r="D52" s="405"/>
      <c r="E52" s="405"/>
    </row>
    <row r="53" spans="1:5">
      <c r="A53" s="306" t="s">
        <v>552</v>
      </c>
      <c r="B53" s="405">
        <v>750</v>
      </c>
      <c r="C53" s="406"/>
      <c r="D53" s="405">
        <v>4.4000000000000004</v>
      </c>
      <c r="E53" s="409">
        <v>3.46</v>
      </c>
    </row>
    <row r="54" spans="1:5">
      <c r="A54" s="265" t="s">
        <v>538</v>
      </c>
      <c r="B54" s="405"/>
      <c r="C54" s="406">
        <v>0.11075</v>
      </c>
      <c r="D54" s="405"/>
      <c r="E54" s="405"/>
    </row>
    <row r="55" spans="1:5">
      <c r="A55" s="265" t="s">
        <v>539</v>
      </c>
      <c r="B55" s="405"/>
      <c r="C55" s="406">
        <v>5.9700000000000003E-2</v>
      </c>
      <c r="D55" s="405"/>
      <c r="E55" s="405"/>
    </row>
    <row r="56" spans="1:5">
      <c r="A56" s="306" t="s">
        <v>553</v>
      </c>
      <c r="B56" s="405">
        <v>750</v>
      </c>
      <c r="C56" s="406"/>
      <c r="D56" s="405">
        <v>4.33</v>
      </c>
      <c r="E56" s="409">
        <v>3.46</v>
      </c>
    </row>
    <row r="57" spans="1:5">
      <c r="A57" s="265" t="s">
        <v>538</v>
      </c>
      <c r="B57" s="405"/>
      <c r="C57" s="406">
        <v>0.10938000000000001</v>
      </c>
      <c r="D57" s="405"/>
      <c r="E57" s="405"/>
    </row>
    <row r="58" spans="1:5">
      <c r="A58" s="265" t="s">
        <v>539</v>
      </c>
      <c r="B58" s="405"/>
      <c r="C58" s="406">
        <v>5.9270000000000003E-2</v>
      </c>
      <c r="D58" s="405"/>
      <c r="E58" s="405"/>
    </row>
    <row r="60" spans="1:5">
      <c r="A60" s="306" t="s">
        <v>554</v>
      </c>
      <c r="B60" s="405">
        <v>97</v>
      </c>
      <c r="C60" s="411">
        <v>8.796000000000001E-2</v>
      </c>
      <c r="D60" s="405">
        <v>10.39</v>
      </c>
      <c r="E60" s="405">
        <v>3.46</v>
      </c>
    </row>
    <row r="61" spans="1:5">
      <c r="A61" s="306" t="s">
        <v>555</v>
      </c>
      <c r="B61" s="405">
        <v>145</v>
      </c>
      <c r="C61" s="411">
        <v>7.8670000000000004E-2</v>
      </c>
      <c r="D61" s="405">
        <v>8.9499999999999993</v>
      </c>
      <c r="E61" s="405">
        <v>3.46</v>
      </c>
    </row>
    <row r="63" spans="1:5">
      <c r="A63" s="306" t="s">
        <v>285</v>
      </c>
      <c r="B63" s="405">
        <v>276</v>
      </c>
      <c r="C63" s="406">
        <v>3.2140000000000002E-2</v>
      </c>
      <c r="D63" s="405"/>
      <c r="E63" s="405">
        <v>0.69</v>
      </c>
    </row>
    <row r="64" spans="1:5">
      <c r="A64" s="265" t="s">
        <v>538</v>
      </c>
      <c r="B64" s="405"/>
      <c r="C64" s="406"/>
      <c r="D64" s="405">
        <v>27.32</v>
      </c>
      <c r="E64" s="405"/>
    </row>
    <row r="65" spans="1:6" ht="15.75">
      <c r="A65" s="265" t="s">
        <v>539</v>
      </c>
      <c r="B65" s="405"/>
      <c r="C65" s="406"/>
      <c r="D65" s="405">
        <v>1.84</v>
      </c>
      <c r="E65" s="405"/>
      <c r="F65" s="404"/>
    </row>
    <row r="66" spans="1:6" ht="15.75">
      <c r="A66" s="265" t="s">
        <v>556</v>
      </c>
      <c r="B66" s="405"/>
      <c r="C66" s="406"/>
      <c r="D66" s="405">
        <v>26.009999999999998</v>
      </c>
      <c r="E66" s="405"/>
      <c r="F66" s="404"/>
    </row>
    <row r="67" spans="1:6" ht="15.75">
      <c r="A67" s="306" t="s">
        <v>286</v>
      </c>
      <c r="B67" s="405">
        <v>276</v>
      </c>
      <c r="C67" s="406">
        <v>3.0630000000000001E-2</v>
      </c>
      <c r="D67" s="405"/>
      <c r="E67" s="405">
        <v>0.69</v>
      </c>
      <c r="F67" s="404"/>
    </row>
    <row r="68" spans="1:6" ht="15.75">
      <c r="A68" s="265" t="s">
        <v>538</v>
      </c>
      <c r="B68" s="405"/>
      <c r="C68" s="406"/>
      <c r="D68" s="405">
        <v>25.310000000000002</v>
      </c>
      <c r="E68" s="405"/>
      <c r="F68" s="404"/>
    </row>
    <row r="69" spans="1:6" ht="15.75">
      <c r="A69" s="265" t="s">
        <v>539</v>
      </c>
      <c r="B69" s="405"/>
      <c r="C69" s="406"/>
      <c r="D69" s="405">
        <v>1.78</v>
      </c>
      <c r="E69" s="405"/>
      <c r="F69" s="404"/>
    </row>
    <row r="70" spans="1:6" ht="15.75">
      <c r="A70" s="265" t="s">
        <v>556</v>
      </c>
      <c r="B70" s="405"/>
      <c r="C70" s="406"/>
      <c r="D70" s="405">
        <v>24.05</v>
      </c>
      <c r="E70" s="405"/>
      <c r="F70" s="404"/>
    </row>
    <row r="71" spans="1:6" ht="15.75">
      <c r="A71" s="306" t="s">
        <v>287</v>
      </c>
      <c r="B71" s="405">
        <v>794</v>
      </c>
      <c r="C71" s="406">
        <v>3.0179999999999998E-2</v>
      </c>
      <c r="D71" s="405"/>
      <c r="E71" s="405">
        <v>0.69</v>
      </c>
      <c r="F71" s="404"/>
    </row>
    <row r="72" spans="1:6" ht="15.75">
      <c r="A72" s="265" t="s">
        <v>538</v>
      </c>
      <c r="B72" s="405"/>
      <c r="C72" s="406"/>
      <c r="D72" s="405">
        <v>17.89</v>
      </c>
      <c r="E72" s="405"/>
      <c r="F72" s="404"/>
    </row>
    <row r="73" spans="1:6">
      <c r="A73" s="265" t="s">
        <v>539</v>
      </c>
      <c r="B73" s="405"/>
      <c r="C73" s="406"/>
      <c r="D73" s="405">
        <v>1.75</v>
      </c>
      <c r="E73" s="405"/>
      <c r="F73" s="405"/>
    </row>
    <row r="74" spans="1:6">
      <c r="A74" s="265" t="s">
        <v>556</v>
      </c>
      <c r="B74" s="405"/>
      <c r="C74" s="406"/>
      <c r="D74" s="405">
        <v>16.64</v>
      </c>
      <c r="E74" s="405"/>
      <c r="F74" s="405"/>
    </row>
    <row r="75" spans="1:6">
      <c r="A75" s="306" t="s">
        <v>288</v>
      </c>
      <c r="B75" s="405">
        <v>1353</v>
      </c>
      <c r="C75" s="406">
        <v>2.981E-2</v>
      </c>
      <c r="D75" s="405"/>
      <c r="E75" s="405">
        <v>0.69</v>
      </c>
      <c r="F75" s="405"/>
    </row>
    <row r="76" spans="1:6">
      <c r="A76" s="265" t="s">
        <v>538</v>
      </c>
      <c r="B76" s="405"/>
      <c r="C76" s="406"/>
      <c r="D76" s="405">
        <v>17.52</v>
      </c>
      <c r="E76" s="405"/>
      <c r="F76" s="405"/>
    </row>
    <row r="77" spans="1:6">
      <c r="A77" s="265" t="s">
        <v>539</v>
      </c>
      <c r="B77" s="405"/>
      <c r="C77" s="406"/>
      <c r="D77" s="405">
        <v>1.73</v>
      </c>
      <c r="E77" s="405"/>
      <c r="F77" s="405"/>
    </row>
    <row r="78" spans="1:6">
      <c r="A78" s="265" t="s">
        <v>556</v>
      </c>
      <c r="B78" s="405"/>
      <c r="C78" s="406"/>
      <c r="D78" s="405">
        <v>16.29</v>
      </c>
      <c r="E78" s="405"/>
      <c r="F78" s="405"/>
    </row>
    <row r="79" spans="1:6">
      <c r="A79" s="265"/>
      <c r="B79" s="405"/>
      <c r="C79" s="406"/>
      <c r="D79" s="405"/>
      <c r="E79" s="405"/>
      <c r="F79" s="405"/>
    </row>
    <row r="80" spans="1:6">
      <c r="A80" s="306" t="s">
        <v>34</v>
      </c>
      <c r="B80" s="408">
        <v>28</v>
      </c>
      <c r="C80" s="406">
        <v>0.10506</v>
      </c>
      <c r="D80" s="405">
        <v>9.5500000000000007</v>
      </c>
      <c r="E80" s="405"/>
      <c r="F80" s="405"/>
    </row>
    <row r="82" spans="1:6">
      <c r="A82" s="270" t="s">
        <v>82</v>
      </c>
      <c r="B82" s="405"/>
      <c r="C82" s="406"/>
      <c r="D82" s="405"/>
      <c r="E82" s="405"/>
      <c r="F82" s="405"/>
    </row>
    <row r="83" spans="1:6">
      <c r="A83" s="271" t="s">
        <v>30</v>
      </c>
      <c r="B83" s="405"/>
      <c r="C83" s="406"/>
      <c r="D83" s="405"/>
      <c r="E83" s="405"/>
      <c r="F83" s="405"/>
    </row>
    <row r="84" spans="1:6">
      <c r="A84" s="265" t="s">
        <v>26</v>
      </c>
      <c r="B84" s="405"/>
      <c r="C84" s="406"/>
      <c r="D84" s="405"/>
      <c r="E84" s="405"/>
      <c r="F84" s="405"/>
    </row>
    <row r="85" spans="1:6">
      <c r="A85" s="265" t="s">
        <v>46</v>
      </c>
      <c r="B85" s="405"/>
      <c r="C85" s="406"/>
      <c r="D85" s="405"/>
      <c r="E85" s="405"/>
      <c r="F85" s="405">
        <v>10.53</v>
      </c>
    </row>
    <row r="86" spans="1:6">
      <c r="A86" s="265" t="s">
        <v>47</v>
      </c>
      <c r="B86" s="405"/>
      <c r="C86" s="406"/>
      <c r="D86" s="405"/>
      <c r="E86" s="405"/>
      <c r="F86" s="405">
        <v>12.01</v>
      </c>
    </row>
    <row r="87" spans="1:6">
      <c r="A87" s="265" t="s">
        <v>48</v>
      </c>
      <c r="B87" s="405"/>
      <c r="C87" s="406"/>
      <c r="D87" s="405"/>
      <c r="E87" s="405"/>
      <c r="F87" s="405">
        <v>14.55</v>
      </c>
    </row>
    <row r="88" spans="1:6">
      <c r="A88" s="265" t="s">
        <v>492</v>
      </c>
      <c r="B88" s="405"/>
      <c r="C88" s="406"/>
      <c r="D88" s="405"/>
      <c r="E88" s="405"/>
      <c r="F88" s="405">
        <v>20.74</v>
      </c>
    </row>
    <row r="89" spans="1:6">
      <c r="A89" s="265" t="s">
        <v>49</v>
      </c>
      <c r="B89" s="405"/>
      <c r="C89" s="406"/>
      <c r="D89" s="405"/>
      <c r="E89" s="405"/>
      <c r="F89" s="405">
        <v>22.99</v>
      </c>
    </row>
    <row r="91" spans="1:6">
      <c r="A91" s="265" t="s">
        <v>27</v>
      </c>
      <c r="B91" s="405"/>
      <c r="C91" s="406"/>
      <c r="D91" s="405"/>
      <c r="E91" s="405"/>
      <c r="F91" s="405"/>
    </row>
    <row r="92" spans="1:6">
      <c r="A92" s="265" t="s">
        <v>50</v>
      </c>
      <c r="B92" s="405"/>
      <c r="C92" s="406"/>
      <c r="D92" s="405"/>
      <c r="E92" s="405"/>
      <c r="F92" s="405">
        <v>13.43</v>
      </c>
    </row>
    <row r="93" spans="1:6">
      <c r="A93" s="265" t="s">
        <v>51</v>
      </c>
      <c r="B93" s="405"/>
      <c r="C93" s="406"/>
      <c r="D93" s="405"/>
      <c r="E93" s="405"/>
      <c r="F93" s="405">
        <v>23.11</v>
      </c>
    </row>
    <row r="95" spans="1:6">
      <c r="A95" s="271" t="s">
        <v>31</v>
      </c>
      <c r="B95" s="405"/>
      <c r="C95" s="406"/>
      <c r="D95" s="405"/>
      <c r="E95" s="405"/>
      <c r="F95" s="405"/>
    </row>
    <row r="96" spans="1:6">
      <c r="A96" s="265" t="s">
        <v>557</v>
      </c>
      <c r="B96" s="405"/>
      <c r="C96" s="406"/>
      <c r="D96" s="405"/>
      <c r="E96" s="405"/>
      <c r="F96" s="405"/>
    </row>
    <row r="97" spans="1:6">
      <c r="A97" s="265" t="s">
        <v>52</v>
      </c>
      <c r="B97" s="405"/>
      <c r="C97" s="406"/>
      <c r="D97" s="405"/>
      <c r="E97" s="405"/>
      <c r="F97" s="405">
        <v>19.09</v>
      </c>
    </row>
    <row r="98" spans="1:6">
      <c r="A98" s="265" t="s">
        <v>53</v>
      </c>
      <c r="B98" s="405"/>
      <c r="C98" s="406"/>
      <c r="D98" s="405"/>
      <c r="E98" s="405"/>
      <c r="F98" s="405">
        <v>30.03</v>
      </c>
    </row>
    <row r="100" spans="1:6">
      <c r="A100" s="265" t="s">
        <v>558</v>
      </c>
      <c r="B100" s="405"/>
      <c r="C100" s="406"/>
      <c r="D100" s="405"/>
      <c r="E100" s="405"/>
      <c r="F100" s="405"/>
    </row>
    <row r="101" spans="1:6">
      <c r="A101" s="265" t="s">
        <v>54</v>
      </c>
      <c r="B101" s="405"/>
      <c r="C101" s="406"/>
      <c r="D101" s="405"/>
      <c r="E101" s="405"/>
      <c r="F101" s="405">
        <v>15.4</v>
      </c>
    </row>
    <row r="103" spans="1:6">
      <c r="A103" s="265" t="s">
        <v>559</v>
      </c>
      <c r="B103" s="405"/>
      <c r="C103" s="406"/>
      <c r="D103" s="405"/>
      <c r="E103" s="405"/>
      <c r="F103" s="405"/>
    </row>
    <row r="104" spans="1:6">
      <c r="A104" s="265" t="s">
        <v>560</v>
      </c>
      <c r="B104" s="405"/>
      <c r="C104" s="406"/>
      <c r="D104" s="405"/>
      <c r="E104" s="405"/>
      <c r="F104" s="405">
        <v>0</v>
      </c>
    </row>
    <row r="105" spans="1:6">
      <c r="A105" s="265" t="s">
        <v>205</v>
      </c>
      <c r="B105" s="405"/>
      <c r="C105" s="406"/>
      <c r="D105" s="405"/>
      <c r="E105" s="405"/>
      <c r="F105" s="405">
        <v>34.96</v>
      </c>
    </row>
    <row r="106" spans="1:6">
      <c r="A106" s="265" t="s">
        <v>493</v>
      </c>
      <c r="B106" s="405"/>
      <c r="C106" s="406"/>
      <c r="D106" s="405"/>
      <c r="E106" s="405"/>
      <c r="F106" s="405">
        <v>45.88</v>
      </c>
    </row>
    <row r="108" spans="1:6">
      <c r="A108" s="271" t="s">
        <v>32</v>
      </c>
      <c r="B108" s="405"/>
      <c r="C108" s="406"/>
      <c r="D108" s="405"/>
      <c r="E108" s="405"/>
      <c r="F108" s="405"/>
    </row>
    <row r="109" spans="1:6">
      <c r="A109" s="265" t="s">
        <v>561</v>
      </c>
      <c r="B109" s="405"/>
      <c r="C109" s="406"/>
      <c r="D109" s="405"/>
      <c r="E109" s="405"/>
      <c r="F109" s="405"/>
    </row>
    <row r="110" spans="1:6">
      <c r="A110" s="265" t="s">
        <v>55</v>
      </c>
      <c r="B110" s="405"/>
      <c r="C110" s="406"/>
      <c r="D110" s="405"/>
      <c r="E110" s="405"/>
      <c r="F110" s="405">
        <v>16.72</v>
      </c>
    </row>
    <row r="111" spans="1:6">
      <c r="A111" s="265" t="s">
        <v>56</v>
      </c>
      <c r="B111" s="405"/>
      <c r="C111" s="406"/>
      <c r="D111" s="405"/>
      <c r="E111" s="405"/>
      <c r="F111" s="405">
        <v>24.41</v>
      </c>
    </row>
    <row r="113" spans="1:6">
      <c r="A113" s="265" t="s">
        <v>562</v>
      </c>
      <c r="B113" s="405"/>
      <c r="C113" s="406"/>
      <c r="D113" s="405"/>
      <c r="E113" s="405"/>
      <c r="F113" s="405"/>
    </row>
    <row r="114" spans="1:6">
      <c r="A114" s="265" t="s">
        <v>57</v>
      </c>
      <c r="B114" s="405"/>
      <c r="C114" s="406"/>
      <c r="D114" s="405"/>
      <c r="E114" s="405"/>
      <c r="F114" s="405">
        <v>20.29</v>
      </c>
    </row>
    <row r="115" spans="1:6">
      <c r="A115" s="265" t="s">
        <v>58</v>
      </c>
      <c r="B115" s="405"/>
      <c r="C115" s="406"/>
      <c r="D115" s="405"/>
      <c r="E115" s="405"/>
      <c r="F115" s="405">
        <v>25.55</v>
      </c>
    </row>
    <row r="116" spans="1:6">
      <c r="A116" s="265" t="s">
        <v>59</v>
      </c>
      <c r="B116" s="405"/>
      <c r="C116" s="406"/>
      <c r="D116" s="405"/>
      <c r="E116" s="405"/>
      <c r="F116" s="405">
        <v>46.51</v>
      </c>
    </row>
    <row r="118" spans="1:6">
      <c r="A118" s="265" t="s">
        <v>563</v>
      </c>
      <c r="B118" s="405"/>
      <c r="C118" s="406"/>
      <c r="D118" s="405"/>
      <c r="E118" s="405"/>
      <c r="F118" s="405"/>
    </row>
    <row r="119" spans="1:6">
      <c r="A119" s="265" t="s">
        <v>564</v>
      </c>
      <c r="B119" s="405"/>
      <c r="C119" s="406"/>
      <c r="D119" s="405"/>
      <c r="E119" s="405"/>
      <c r="F119" s="405">
        <v>26.46</v>
      </c>
    </row>
    <row r="120" spans="1:6">
      <c r="A120" s="265" t="s">
        <v>565</v>
      </c>
      <c r="B120" s="405"/>
      <c r="C120" s="406"/>
      <c r="D120" s="405"/>
      <c r="E120" s="405"/>
      <c r="F120" s="405">
        <v>32.29</v>
      </c>
    </row>
    <row r="122" spans="1:6">
      <c r="A122" s="265" t="s">
        <v>11</v>
      </c>
      <c r="B122" s="405"/>
      <c r="C122" s="406"/>
      <c r="D122" s="405"/>
      <c r="E122" s="405"/>
      <c r="F122" s="405"/>
    </row>
    <row r="124" spans="1:6">
      <c r="A124" s="265" t="s">
        <v>33</v>
      </c>
      <c r="B124" s="405"/>
      <c r="C124" s="406"/>
      <c r="D124" s="405"/>
      <c r="E124" s="405"/>
      <c r="F124" s="405"/>
    </row>
    <row r="125" spans="1:6">
      <c r="A125" s="265" t="s">
        <v>60</v>
      </c>
      <c r="B125" s="405"/>
      <c r="C125" s="406"/>
      <c r="D125" s="405"/>
      <c r="E125" s="405"/>
      <c r="F125" s="405">
        <v>4.2</v>
      </c>
    </row>
    <row r="126" spans="1:6">
      <c r="A126" s="265" t="s">
        <v>61</v>
      </c>
      <c r="B126" s="405"/>
      <c r="C126" s="406"/>
      <c r="D126" s="405"/>
      <c r="E126" s="405"/>
      <c r="F126" s="405">
        <v>2.33</v>
      </c>
    </row>
    <row r="127" spans="1:6">
      <c r="A127" s="265" t="s">
        <v>62</v>
      </c>
      <c r="B127" s="405"/>
      <c r="C127" s="406"/>
      <c r="D127" s="405"/>
      <c r="E127" s="405"/>
      <c r="F127" s="405">
        <v>7.87</v>
      </c>
    </row>
    <row r="130" spans="1:6">
      <c r="A130" s="272" t="s">
        <v>94</v>
      </c>
      <c r="B130" s="405"/>
      <c r="C130" s="406"/>
      <c r="D130" s="405"/>
      <c r="E130" s="405"/>
      <c r="F130" s="405"/>
    </row>
    <row r="131" spans="1:6">
      <c r="A131" s="265" t="s">
        <v>29</v>
      </c>
      <c r="B131" s="405"/>
      <c r="C131" s="406"/>
      <c r="D131" s="405"/>
      <c r="E131" s="405"/>
      <c r="F131" s="405"/>
    </row>
    <row r="132" spans="1:6">
      <c r="A132" s="265" t="s">
        <v>26</v>
      </c>
      <c r="B132" s="405"/>
      <c r="C132" s="406"/>
      <c r="D132" s="405"/>
      <c r="E132" s="405"/>
      <c r="F132" s="405"/>
    </row>
    <row r="133" spans="1:6">
      <c r="A133" s="265" t="s">
        <v>64</v>
      </c>
      <c r="B133" s="405"/>
      <c r="C133" s="406"/>
      <c r="D133" s="405"/>
      <c r="E133" s="405"/>
      <c r="F133" s="405">
        <v>8.49</v>
      </c>
    </row>
    <row r="134" spans="1:6">
      <c r="A134" s="265" t="s">
        <v>65</v>
      </c>
      <c r="B134" s="405"/>
      <c r="C134" s="406"/>
      <c r="D134" s="405"/>
      <c r="E134" s="405"/>
      <c r="F134" s="405">
        <v>9.32</v>
      </c>
    </row>
    <row r="135" spans="1:6">
      <c r="A135" s="265" t="s">
        <v>66</v>
      </c>
      <c r="B135" s="405"/>
      <c r="C135" s="406"/>
      <c r="D135" s="405"/>
      <c r="E135" s="405"/>
      <c r="F135" s="405">
        <v>11.04</v>
      </c>
    </row>
    <row r="136" spans="1:6">
      <c r="A136" s="265" t="s">
        <v>67</v>
      </c>
      <c r="B136" s="405"/>
      <c r="C136" s="406"/>
      <c r="D136" s="405"/>
      <c r="E136" s="405"/>
      <c r="F136" s="405">
        <v>14.5</v>
      </c>
    </row>
    <row r="138" spans="1:6">
      <c r="A138" s="265" t="s">
        <v>133</v>
      </c>
      <c r="B138" s="405"/>
      <c r="C138" s="406"/>
      <c r="D138" s="405"/>
      <c r="E138" s="405"/>
      <c r="F138" s="405"/>
    </row>
    <row r="139" spans="1:6">
      <c r="A139" s="265" t="s">
        <v>26</v>
      </c>
      <c r="B139" s="405"/>
      <c r="C139" s="406"/>
      <c r="D139" s="405"/>
      <c r="E139" s="405"/>
      <c r="F139" s="405"/>
    </row>
    <row r="140" spans="1:6">
      <c r="A140" s="265" t="s">
        <v>64</v>
      </c>
      <c r="B140" s="405"/>
      <c r="C140" s="406"/>
      <c r="D140" s="405"/>
      <c r="E140" s="405"/>
      <c r="F140" s="405">
        <v>13.27</v>
      </c>
    </row>
    <row r="141" spans="1:6">
      <c r="A141" s="265" t="s">
        <v>65</v>
      </c>
      <c r="B141" s="405"/>
      <c r="C141" s="406"/>
      <c r="D141" s="405"/>
      <c r="E141" s="405"/>
      <c r="F141" s="405">
        <v>14.22</v>
      </c>
    </row>
    <row r="142" spans="1:6">
      <c r="A142" s="265" t="s">
        <v>66</v>
      </c>
      <c r="B142" s="405"/>
      <c r="C142" s="406"/>
      <c r="D142" s="405"/>
      <c r="E142" s="405"/>
      <c r="F142" s="405">
        <v>15.94</v>
      </c>
    </row>
    <row r="143" spans="1:6">
      <c r="A143" s="265" t="s">
        <v>67</v>
      </c>
      <c r="B143" s="405"/>
      <c r="C143" s="406"/>
      <c r="D143" s="405"/>
      <c r="E143" s="405"/>
      <c r="F143" s="405">
        <v>20.46</v>
      </c>
    </row>
    <row r="145" spans="1:6">
      <c r="A145" s="265" t="s">
        <v>68</v>
      </c>
      <c r="B145" s="405"/>
      <c r="C145" s="406"/>
      <c r="D145" s="405"/>
      <c r="E145" s="405"/>
      <c r="F145" s="405"/>
    </row>
    <row r="146" spans="1:6">
      <c r="A146" s="265" t="s">
        <v>26</v>
      </c>
      <c r="B146" s="405"/>
      <c r="C146" s="406"/>
      <c r="D146" s="405"/>
      <c r="E146" s="405"/>
      <c r="F146" s="405"/>
    </row>
    <row r="147" spans="1:6">
      <c r="A147" s="268" t="s">
        <v>64</v>
      </c>
      <c r="B147" s="405"/>
      <c r="C147" s="406"/>
      <c r="D147" s="405"/>
      <c r="E147" s="405"/>
      <c r="F147" s="405">
        <v>27.65</v>
      </c>
    </row>
    <row r="148" spans="1:6">
      <c r="A148" s="268" t="s">
        <v>65</v>
      </c>
      <c r="B148" s="405"/>
      <c r="C148" s="406"/>
      <c r="D148" s="405"/>
      <c r="E148" s="405"/>
      <c r="F148" s="405">
        <v>28.66</v>
      </c>
    </row>
    <row r="149" spans="1:6">
      <c r="A149" s="268" t="s">
        <v>66</v>
      </c>
      <c r="B149" s="405"/>
      <c r="C149" s="406"/>
      <c r="D149" s="405"/>
      <c r="E149" s="405"/>
      <c r="F149" s="405">
        <v>30.38</v>
      </c>
    </row>
    <row r="150" spans="1:6">
      <c r="A150" s="268" t="s">
        <v>67</v>
      </c>
      <c r="B150" s="405"/>
      <c r="C150" s="406"/>
      <c r="D150" s="405"/>
      <c r="E150" s="405"/>
      <c r="F150" s="405">
        <v>33.840000000000003</v>
      </c>
    </row>
    <row r="154" spans="1:6" ht="18.75">
      <c r="A154" s="309" t="s">
        <v>840</v>
      </c>
      <c r="B154" s="404"/>
      <c r="C154" s="404"/>
      <c r="D154" s="404"/>
      <c r="E154" s="404"/>
      <c r="F154" s="404"/>
    </row>
    <row r="156" spans="1:6" ht="15.75">
      <c r="A156" s="310" t="s">
        <v>580</v>
      </c>
      <c r="B156" s="404"/>
      <c r="C156" s="404"/>
      <c r="D156" s="404"/>
      <c r="E156" s="404"/>
      <c r="F156" s="404"/>
    </row>
    <row r="157" spans="1:6" ht="15.75">
      <c r="A157" s="311">
        <v>150151152153</v>
      </c>
      <c r="B157" s="404"/>
      <c r="C157" s="404"/>
      <c r="D157" s="404"/>
      <c r="E157" s="404"/>
      <c r="F157" s="407">
        <v>7.7</v>
      </c>
    </row>
    <row r="158" spans="1:6" ht="15.75">
      <c r="A158" s="311">
        <v>160</v>
      </c>
      <c r="B158" s="404"/>
      <c r="C158" s="404"/>
      <c r="D158" s="404"/>
      <c r="E158" s="404"/>
      <c r="F158" s="407">
        <v>22.15</v>
      </c>
    </row>
    <row r="159" spans="1:6" ht="15.75">
      <c r="A159" s="311">
        <v>165</v>
      </c>
      <c r="B159" s="404"/>
      <c r="C159" s="404"/>
      <c r="D159" s="404"/>
      <c r="E159" s="404"/>
      <c r="F159" s="407">
        <v>28.77</v>
      </c>
    </row>
    <row r="160" spans="1:6" ht="15.75">
      <c r="A160" s="311">
        <v>166</v>
      </c>
      <c r="B160" s="404"/>
      <c r="C160" s="404"/>
      <c r="D160" s="404"/>
      <c r="E160" s="404"/>
      <c r="F160" s="407">
        <v>35.340000000000003</v>
      </c>
    </row>
    <row r="161" spans="1:6" ht="15.75">
      <c r="A161" s="311"/>
      <c r="B161" s="404"/>
      <c r="C161" s="404"/>
      <c r="D161" s="404"/>
      <c r="E161" s="404"/>
      <c r="F161" s="404"/>
    </row>
    <row r="162" spans="1:6" ht="15.75">
      <c r="A162" s="311" t="s">
        <v>841</v>
      </c>
      <c r="B162" s="404"/>
      <c r="C162" s="404"/>
      <c r="D162" s="404"/>
      <c r="E162" s="404"/>
      <c r="F162" s="404"/>
    </row>
    <row r="163" spans="1:6" ht="15.75">
      <c r="A163" s="311" t="s">
        <v>615</v>
      </c>
      <c r="B163" s="404"/>
      <c r="C163" s="404"/>
      <c r="D163" s="404"/>
      <c r="E163" s="404"/>
      <c r="F163" s="407">
        <v>9.7100000000000009</v>
      </c>
    </row>
    <row r="164" spans="1:6" ht="15.75">
      <c r="A164" s="311" t="s">
        <v>616</v>
      </c>
      <c r="B164" s="404"/>
      <c r="C164" s="404"/>
      <c r="D164" s="404"/>
      <c r="E164" s="404"/>
      <c r="F164" s="407">
        <v>12.48</v>
      </c>
    </row>
    <row r="165" spans="1:6" ht="15.75">
      <c r="A165" s="311" t="s">
        <v>617</v>
      </c>
      <c r="B165" s="404"/>
      <c r="C165" s="404"/>
      <c r="D165" s="404"/>
      <c r="E165" s="404"/>
      <c r="F165" s="407">
        <v>14.87</v>
      </c>
    </row>
    <row r="166" spans="1:6" ht="15.75">
      <c r="A166" s="311" t="s">
        <v>618</v>
      </c>
      <c r="B166" s="404"/>
      <c r="C166" s="404"/>
      <c r="D166" s="404"/>
      <c r="E166" s="404"/>
      <c r="F166" s="407">
        <v>10.09</v>
      </c>
    </row>
    <row r="167" spans="1:6" ht="15.75">
      <c r="A167" s="311"/>
      <c r="B167" s="404"/>
      <c r="C167" s="404"/>
      <c r="D167" s="404"/>
      <c r="E167" s="404"/>
      <c r="F167" s="404"/>
    </row>
    <row r="168" spans="1:6" ht="15.75">
      <c r="A168" s="311" t="s">
        <v>615</v>
      </c>
      <c r="B168" s="404"/>
      <c r="C168" s="404"/>
      <c r="D168" s="404"/>
      <c r="E168" s="404"/>
      <c r="F168" s="407">
        <v>16.010000000000002</v>
      </c>
    </row>
    <row r="169" spans="1:6" ht="15.75">
      <c r="A169" s="311" t="s">
        <v>616</v>
      </c>
      <c r="B169" s="404"/>
      <c r="C169" s="404"/>
      <c r="D169" s="404"/>
      <c r="E169" s="404"/>
      <c r="F169" s="407">
        <v>29.86</v>
      </c>
    </row>
    <row r="170" spans="1:6" ht="15.75">
      <c r="A170" s="264" t="s">
        <v>617</v>
      </c>
      <c r="B170" s="404"/>
      <c r="C170" s="404"/>
      <c r="D170" s="404"/>
      <c r="E170" s="404"/>
      <c r="F170" s="407">
        <v>31.34</v>
      </c>
    </row>
    <row r="171" spans="1:6" ht="15.75">
      <c r="A171" s="311" t="s">
        <v>581</v>
      </c>
      <c r="B171" s="404"/>
      <c r="C171" s="404"/>
      <c r="D171" s="404"/>
      <c r="E171" s="404"/>
      <c r="F171" s="404"/>
    </row>
    <row r="172" spans="1:6" ht="15.75">
      <c r="A172" s="264" t="s">
        <v>582</v>
      </c>
      <c r="B172" s="404"/>
      <c r="C172" s="410">
        <v>0.11842999999999999</v>
      </c>
      <c r="D172" s="410"/>
      <c r="E172" s="404"/>
      <c r="F172" s="404"/>
    </row>
    <row r="173" spans="1:6" ht="15.75">
      <c r="A173" s="264" t="s">
        <v>583</v>
      </c>
      <c r="B173" s="404"/>
      <c r="C173" s="410">
        <v>8.6029999999999995E-2</v>
      </c>
      <c r="D173" s="410"/>
      <c r="E173" s="404"/>
      <c r="F173" s="404"/>
    </row>
    <row r="174" spans="1:6" ht="15.75">
      <c r="A174" s="264" t="s">
        <v>584</v>
      </c>
      <c r="B174" s="404"/>
      <c r="C174" s="404"/>
      <c r="D174" s="407">
        <v>6.77</v>
      </c>
      <c r="E174" s="410"/>
      <c r="F174" s="404"/>
    </row>
    <row r="175" spans="1:6" ht="15.75">
      <c r="A175" s="264" t="s">
        <v>12</v>
      </c>
      <c r="B175" s="407">
        <v>23</v>
      </c>
      <c r="C175" s="404"/>
      <c r="D175" s="404"/>
      <c r="E175" s="404"/>
      <c r="F175" s="404"/>
    </row>
    <row r="177" spans="1:4" ht="15.75">
      <c r="A177" s="264" t="s">
        <v>585</v>
      </c>
      <c r="B177" s="404"/>
      <c r="C177" s="404"/>
      <c r="D177" s="404"/>
    </row>
    <row r="178" spans="1:4" ht="15.75">
      <c r="A178" s="312" t="s">
        <v>586</v>
      </c>
      <c r="B178" s="415">
        <v>23</v>
      </c>
      <c r="C178" s="404"/>
      <c r="D178" s="404"/>
    </row>
    <row r="179" spans="1:4" ht="15.75">
      <c r="A179" s="312" t="s">
        <v>587</v>
      </c>
      <c r="B179" s="404"/>
      <c r="C179" s="410">
        <v>0.18920999999999999</v>
      </c>
      <c r="D179" s="404"/>
    </row>
    <row r="180" spans="1:4" ht="15.75">
      <c r="A180" s="312" t="s">
        <v>588</v>
      </c>
      <c r="B180" s="404"/>
      <c r="C180" s="410">
        <v>0.13642000000000001</v>
      </c>
      <c r="D180" s="404"/>
    </row>
    <row r="181" spans="1:4" ht="15.75">
      <c r="A181" s="312" t="s">
        <v>589</v>
      </c>
      <c r="B181" s="404"/>
      <c r="C181" s="410">
        <v>0.12277</v>
      </c>
      <c r="D181" s="404"/>
    </row>
    <row r="184" spans="1:4" ht="15.75">
      <c r="A184" s="264" t="s">
        <v>590</v>
      </c>
      <c r="B184" s="404"/>
      <c r="C184" s="404"/>
      <c r="D184" s="404"/>
    </row>
    <row r="185" spans="1:4" ht="15.75">
      <c r="A185" s="264" t="s">
        <v>591</v>
      </c>
      <c r="B185" s="404"/>
      <c r="C185" s="404"/>
      <c r="D185" s="414">
        <v>6.38</v>
      </c>
    </row>
    <row r="186" spans="1:4" ht="15.75">
      <c r="A186" s="264" t="s">
        <v>592</v>
      </c>
      <c r="B186" s="407">
        <v>15.75</v>
      </c>
      <c r="C186" s="404"/>
      <c r="D186" s="404"/>
    </row>
    <row r="188" spans="1:4" ht="15.75">
      <c r="A188" s="264" t="s">
        <v>845</v>
      </c>
      <c r="B188" s="404"/>
      <c r="C188" s="404"/>
      <c r="D188" s="404"/>
    </row>
    <row r="189" spans="1:4" ht="15.75">
      <c r="A189" s="264" t="s">
        <v>12</v>
      </c>
      <c r="B189" s="407">
        <v>20</v>
      </c>
      <c r="C189" s="404"/>
      <c r="D189" s="404"/>
    </row>
    <row r="190" spans="1:4" ht="15.75">
      <c r="A190" s="264" t="s">
        <v>846</v>
      </c>
      <c r="B190" s="404"/>
      <c r="C190" s="410">
        <v>0.11947000000000001</v>
      </c>
      <c r="D190" s="404"/>
    </row>
    <row r="191" spans="1:4" ht="15.75">
      <c r="A191" s="264" t="s">
        <v>847</v>
      </c>
      <c r="B191" s="404"/>
      <c r="C191" s="410">
        <v>0.13761999999999999</v>
      </c>
      <c r="D191" s="404"/>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71"/>
  <sheetViews>
    <sheetView zoomScale="80" zoomScaleNormal="80" workbookViewId="0">
      <selection activeCell="G20" sqref="G20"/>
    </sheetView>
  </sheetViews>
  <sheetFormatPr defaultColWidth="8.7109375" defaultRowHeight="12.75"/>
  <cols>
    <col min="1" max="1" width="8.7109375" style="28"/>
    <col min="2" max="2" width="8.7109375" style="28" customWidth="1"/>
    <col min="3" max="3" width="3.140625" style="28" customWidth="1"/>
    <col min="4" max="4" width="19.7109375" style="28" customWidth="1"/>
    <col min="5" max="5" width="18.42578125" style="28" customWidth="1"/>
    <col min="6" max="7" width="19.7109375" style="28" customWidth="1"/>
    <col min="8" max="8" width="3.140625" style="28" customWidth="1"/>
    <col min="9" max="10" width="21.42578125" style="113" customWidth="1"/>
    <col min="11" max="11" width="21.42578125" style="28" customWidth="1"/>
    <col min="12" max="12" width="1.7109375" style="28" customWidth="1"/>
    <col min="13" max="13" width="21.42578125" style="28" customWidth="1"/>
    <col min="14" max="14" width="8.7109375" style="28"/>
    <col min="15" max="15" width="21.42578125" style="113" customWidth="1"/>
    <col min="16" max="16" width="11.85546875" style="28" bestFit="1" customWidth="1"/>
    <col min="17" max="16384" width="8.7109375" style="28"/>
  </cols>
  <sheetData>
    <row r="1" spans="1:16">
      <c r="A1" s="28" t="str">
        <f>+RS!B2</f>
        <v>KENTUCKY POWER BILLING ANALYSIS</v>
      </c>
    </row>
    <row r="2" spans="1:16">
      <c r="A2" s="28" t="str">
        <f>+RS!B3</f>
        <v>PER BOOKS</v>
      </c>
    </row>
    <row r="3" spans="1:16">
      <c r="A3" s="28" t="str">
        <f>+RS!B4</f>
        <v>TEST YEAR ENDED MARCH 31, 2023</v>
      </c>
      <c r="F3" s="28" t="s">
        <v>839</v>
      </c>
      <c r="J3" s="446"/>
    </row>
    <row r="5" spans="1:16">
      <c r="A5" s="28" t="s">
        <v>153</v>
      </c>
      <c r="F5" s="28">
        <v>2.6120000000000001E-2</v>
      </c>
      <c r="K5" s="35" t="s">
        <v>335</v>
      </c>
      <c r="M5" s="35"/>
      <c r="N5" s="447"/>
    </row>
    <row r="6" spans="1:16">
      <c r="K6" s="36" t="s">
        <v>154</v>
      </c>
      <c r="M6" s="36"/>
    </row>
    <row r="7" spans="1:16">
      <c r="D7" s="35" t="s">
        <v>834</v>
      </c>
      <c r="E7" s="35" t="s">
        <v>838</v>
      </c>
      <c r="F7" s="35" t="s">
        <v>834</v>
      </c>
      <c r="G7" s="35"/>
      <c r="I7" s="123" t="s">
        <v>333</v>
      </c>
      <c r="J7" s="123"/>
      <c r="K7" s="35"/>
      <c r="L7" s="448"/>
      <c r="M7" s="448" t="s">
        <v>336</v>
      </c>
      <c r="N7" s="448"/>
      <c r="O7" s="449" t="s">
        <v>337</v>
      </c>
    </row>
    <row r="8" spans="1:16">
      <c r="A8" s="36" t="s">
        <v>2</v>
      </c>
      <c r="B8" s="450"/>
      <c r="C8" s="450"/>
      <c r="D8" s="36" t="s">
        <v>516</v>
      </c>
      <c r="E8" s="36"/>
      <c r="F8" s="36" t="s">
        <v>354</v>
      </c>
      <c r="G8" s="36"/>
      <c r="H8" s="450"/>
      <c r="I8" s="357" t="s">
        <v>334</v>
      </c>
      <c r="J8" s="357"/>
      <c r="K8" s="36"/>
      <c r="L8" s="451"/>
      <c r="M8" s="452">
        <v>2.6120000000000001E-2</v>
      </c>
      <c r="N8" s="451"/>
      <c r="O8" s="451" t="s">
        <v>338</v>
      </c>
    </row>
    <row r="9" spans="1:16">
      <c r="A9" s="36"/>
      <c r="K9" s="36"/>
      <c r="P9" s="113"/>
    </row>
    <row r="10" spans="1:16">
      <c r="A10" s="36"/>
      <c r="E10" s="113"/>
    </row>
    <row r="11" spans="1:16">
      <c r="A11" s="83" t="s">
        <v>224</v>
      </c>
      <c r="D11" s="89">
        <f>'B&amp;A Surcharges'!B11</f>
        <v>51775427.170000002</v>
      </c>
      <c r="E11" s="113">
        <f>'Bill Units'!D5+'Bill Units'!D7</f>
        <v>1851708529</v>
      </c>
      <c r="F11" s="89">
        <f>E11*$F$5</f>
        <v>48366626.777479999</v>
      </c>
      <c r="G11" s="453"/>
      <c r="I11" s="198">
        <f>D11+F11</f>
        <v>100142053.94747999</v>
      </c>
      <c r="J11" s="198"/>
      <c r="K11" s="454">
        <f>RS!K13+RS!K15+RS!K16</f>
        <v>1945556316.9380388</v>
      </c>
      <c r="M11" s="198">
        <f>$M$8*K11</f>
        <v>50817930.998421572</v>
      </c>
      <c r="N11" s="198"/>
      <c r="O11" s="198">
        <f>M11</f>
        <v>50817930.998421572</v>
      </c>
      <c r="P11" s="455"/>
    </row>
    <row r="12" spans="1:16">
      <c r="D12" s="89"/>
      <c r="E12" s="113"/>
      <c r="F12" s="89">
        <f t="shared" ref="F12:F63" si="0">E12*$F$5</f>
        <v>0</v>
      </c>
      <c r="I12" s="198">
        <f t="shared" ref="I12:I63" si="1">D12+F12</f>
        <v>0</v>
      </c>
      <c r="J12" s="198"/>
      <c r="M12" s="198">
        <f t="shared" ref="M12:M63" si="2">$M$8*K12</f>
        <v>0</v>
      </c>
      <c r="N12" s="198"/>
      <c r="O12" s="198">
        <f t="shared" ref="O12:O63" si="3">M12</f>
        <v>0</v>
      </c>
    </row>
    <row r="13" spans="1:16">
      <c r="A13" s="83" t="s">
        <v>225</v>
      </c>
      <c r="D13" s="89">
        <f>'B&amp;A Surcharges'!B13</f>
        <v>79137.2</v>
      </c>
      <c r="E13" s="113">
        <f>'Bill Units'!H5+'Bill Units'!H6</f>
        <v>2786134</v>
      </c>
      <c r="F13" s="89">
        <f t="shared" si="0"/>
        <v>72773.820080000005</v>
      </c>
      <c r="I13" s="198">
        <f t="shared" si="1"/>
        <v>151911.02007999999</v>
      </c>
      <c r="J13" s="198"/>
      <c r="K13" s="454">
        <f>'RS LMTOD'!K13+'RS LMTOD'!K14</f>
        <v>2875876.8475030772</v>
      </c>
      <c r="M13" s="198">
        <f t="shared" si="2"/>
        <v>75117.903256780381</v>
      </c>
      <c r="N13" s="198"/>
      <c r="O13" s="198">
        <f t="shared" si="3"/>
        <v>75117.903256780381</v>
      </c>
      <c r="P13" s="455"/>
    </row>
    <row r="14" spans="1:16">
      <c r="D14" s="89"/>
      <c r="E14" s="113"/>
      <c r="F14" s="89">
        <f t="shared" si="0"/>
        <v>0</v>
      </c>
      <c r="I14" s="198">
        <f t="shared" si="1"/>
        <v>0</v>
      </c>
      <c r="J14" s="198"/>
      <c r="M14" s="198">
        <f t="shared" si="2"/>
        <v>0</v>
      </c>
      <c r="N14" s="198"/>
      <c r="O14" s="198">
        <f t="shared" si="3"/>
        <v>0</v>
      </c>
    </row>
    <row r="15" spans="1:16">
      <c r="A15" s="83" t="s">
        <v>226</v>
      </c>
      <c r="D15" s="89">
        <f>'B&amp;A Surcharges'!B15</f>
        <v>3188.9799999999996</v>
      </c>
      <c r="E15" s="113">
        <f>'Bill Units'!L5+'Bill Units'!L6</f>
        <v>109278</v>
      </c>
      <c r="F15" s="89">
        <f t="shared" si="0"/>
        <v>2854.3413599999999</v>
      </c>
      <c r="I15" s="198">
        <f t="shared" si="1"/>
        <v>6043.3213599999999</v>
      </c>
      <c r="J15" s="198"/>
      <c r="K15" s="454">
        <f>'RS TOD'!K13+'RS TOD'!K14</f>
        <v>141574.05875883187</v>
      </c>
      <c r="M15" s="198">
        <f t="shared" si="2"/>
        <v>3697.9144147806887</v>
      </c>
      <c r="N15" s="198"/>
      <c r="O15" s="198">
        <f t="shared" si="3"/>
        <v>3697.9144147806887</v>
      </c>
      <c r="P15" s="455"/>
    </row>
    <row r="16" spans="1:16">
      <c r="D16" s="89"/>
      <c r="E16" s="113"/>
      <c r="F16" s="89">
        <f t="shared" si="0"/>
        <v>0</v>
      </c>
      <c r="I16" s="198">
        <f t="shared" si="1"/>
        <v>0</v>
      </c>
      <c r="J16" s="198"/>
      <c r="M16" s="198">
        <f t="shared" si="2"/>
        <v>0</v>
      </c>
      <c r="N16" s="198"/>
      <c r="O16" s="198">
        <f t="shared" si="3"/>
        <v>0</v>
      </c>
    </row>
    <row r="17" spans="1:16">
      <c r="A17" s="83" t="s">
        <v>35</v>
      </c>
      <c r="D17" s="89">
        <f>'B&amp;A Surcharges'!B17</f>
        <v>1005977.2999999999</v>
      </c>
      <c r="E17" s="113">
        <f>OL!C59</f>
        <v>37817168</v>
      </c>
      <c r="F17" s="89">
        <f t="shared" si="0"/>
        <v>987784.42816000001</v>
      </c>
      <c r="I17" s="198">
        <f t="shared" si="1"/>
        <v>1993761.7281599999</v>
      </c>
      <c r="J17" s="198"/>
      <c r="K17" s="454">
        <f>OL!C59</f>
        <v>37817168</v>
      </c>
      <c r="M17" s="198">
        <f t="shared" si="2"/>
        <v>987784.42816000001</v>
      </c>
      <c r="N17" s="198"/>
      <c r="O17" s="198">
        <f t="shared" si="3"/>
        <v>987784.42816000001</v>
      </c>
      <c r="P17" s="455"/>
    </row>
    <row r="18" spans="1:16">
      <c r="D18" s="89"/>
      <c r="E18" s="113"/>
      <c r="F18" s="89">
        <f t="shared" si="0"/>
        <v>0</v>
      </c>
      <c r="I18" s="198">
        <f t="shared" si="1"/>
        <v>0</v>
      </c>
      <c r="J18" s="198"/>
      <c r="M18" s="198">
        <f t="shared" si="2"/>
        <v>0</v>
      </c>
      <c r="N18" s="198"/>
      <c r="O18" s="198">
        <f t="shared" si="3"/>
        <v>0</v>
      </c>
    </row>
    <row r="19" spans="1:16">
      <c r="A19" s="83" t="s">
        <v>365</v>
      </c>
      <c r="D19" s="89">
        <f>'B&amp;A Surcharges'!B19</f>
        <v>206192.06999999998</v>
      </c>
      <c r="E19" s="113">
        <f>'Bill Units'!H19+'Bill Units'!H20</f>
        <v>3163696</v>
      </c>
      <c r="F19" s="89">
        <f t="shared" si="0"/>
        <v>82635.739520000003</v>
      </c>
      <c r="I19" s="198">
        <f t="shared" si="1"/>
        <v>288827.80952000001</v>
      </c>
      <c r="J19" s="198"/>
      <c r="K19" s="454">
        <f>'GS-NM'!K13+'GS-NM'!K14</f>
        <v>3136289.2240065546</v>
      </c>
      <c r="M19" s="198">
        <f t="shared" si="2"/>
        <v>81919.874531051202</v>
      </c>
      <c r="N19" s="198"/>
      <c r="O19" s="198">
        <f t="shared" si="3"/>
        <v>81919.874531051202</v>
      </c>
      <c r="P19" s="455"/>
    </row>
    <row r="20" spans="1:16">
      <c r="D20" s="89"/>
      <c r="E20" s="113"/>
      <c r="F20" s="89">
        <f t="shared" si="0"/>
        <v>0</v>
      </c>
      <c r="I20" s="198">
        <f t="shared" si="1"/>
        <v>0</v>
      </c>
      <c r="J20" s="198"/>
      <c r="M20" s="198">
        <f t="shared" si="2"/>
        <v>0</v>
      </c>
      <c r="N20" s="198"/>
      <c r="O20" s="198">
        <f t="shared" si="3"/>
        <v>0</v>
      </c>
    </row>
    <row r="21" spans="1:16">
      <c r="A21" s="83" t="s">
        <v>366</v>
      </c>
      <c r="D21" s="89">
        <f>'B&amp;A Surcharges'!B21</f>
        <v>82755.320000000007</v>
      </c>
      <c r="E21" s="113">
        <f>'Bill Units'!D19+'Bill Units'!D20</f>
        <v>579880573</v>
      </c>
      <c r="F21" s="89">
        <f t="shared" si="0"/>
        <v>15146480.56676</v>
      </c>
      <c r="I21" s="198">
        <f t="shared" si="1"/>
        <v>15229235.88676</v>
      </c>
      <c r="J21" s="198"/>
      <c r="K21" s="454">
        <f>'GS-SEC'!K13+'GS-SEC'!K14</f>
        <v>591400173.44258034</v>
      </c>
      <c r="M21" s="198">
        <f t="shared" si="2"/>
        <v>15447372.530320199</v>
      </c>
      <c r="N21" s="198"/>
      <c r="O21" s="198">
        <f t="shared" si="3"/>
        <v>15447372.530320199</v>
      </c>
      <c r="P21" s="455"/>
    </row>
    <row r="22" spans="1:16">
      <c r="D22" s="89"/>
      <c r="E22" s="113"/>
      <c r="F22" s="89">
        <f t="shared" si="0"/>
        <v>0</v>
      </c>
      <c r="I22" s="198">
        <f t="shared" si="1"/>
        <v>0</v>
      </c>
      <c r="J22" s="198"/>
      <c r="M22" s="198">
        <f t="shared" si="2"/>
        <v>0</v>
      </c>
      <c r="N22" s="198"/>
      <c r="O22" s="198">
        <f t="shared" si="3"/>
        <v>0</v>
      </c>
    </row>
    <row r="23" spans="1:16">
      <c r="A23" s="83" t="s">
        <v>367</v>
      </c>
      <c r="D23" s="89">
        <f>'B&amp;A Surcharges'!B23</f>
        <v>33196.54</v>
      </c>
      <c r="E23" s="113">
        <f>'Bill Units'!P18</f>
        <v>1392054</v>
      </c>
      <c r="F23" s="89">
        <f t="shared" si="0"/>
        <v>36360.45048</v>
      </c>
      <c r="I23" s="198">
        <f t="shared" si="1"/>
        <v>69556.990480000008</v>
      </c>
      <c r="J23" s="198"/>
      <c r="K23" s="454">
        <f>'GS-AF'!K13</f>
        <v>1415369.1901477831</v>
      </c>
      <c r="M23" s="198">
        <f t="shared" si="2"/>
        <v>36969.443246660099</v>
      </c>
      <c r="N23" s="198"/>
      <c r="O23" s="198">
        <f t="shared" si="3"/>
        <v>36969.443246660099</v>
      </c>
      <c r="P23" s="455"/>
    </row>
    <row r="24" spans="1:16">
      <c r="D24" s="89"/>
      <c r="E24" s="113"/>
      <c r="F24" s="89">
        <f t="shared" si="0"/>
        <v>0</v>
      </c>
      <c r="I24" s="198">
        <f t="shared" si="1"/>
        <v>0</v>
      </c>
      <c r="J24" s="198"/>
      <c r="K24" s="454"/>
      <c r="M24" s="198">
        <f t="shared" si="2"/>
        <v>0</v>
      </c>
      <c r="N24" s="198"/>
      <c r="O24" s="198">
        <f t="shared" si="3"/>
        <v>0</v>
      </c>
    </row>
    <row r="25" spans="1:16">
      <c r="A25" s="83" t="s">
        <v>368</v>
      </c>
      <c r="D25" s="89">
        <f>'B&amp;A Surcharges'!B25</f>
        <v>15653843.91</v>
      </c>
      <c r="E25" s="113">
        <f>'Bill Units'!L28+'Bill Units'!L29</f>
        <v>8236335</v>
      </c>
      <c r="F25" s="89">
        <f t="shared" si="0"/>
        <v>215133.07020000002</v>
      </c>
      <c r="I25" s="198">
        <f t="shared" si="1"/>
        <v>15868976.9802</v>
      </c>
      <c r="J25" s="198"/>
      <c r="K25" s="454">
        <f>'GS-PRI'!K13+'GS-PRI'!K14</f>
        <v>8054925.0043271501</v>
      </c>
      <c r="M25" s="198">
        <f t="shared" si="2"/>
        <v>210394.64111302517</v>
      </c>
      <c r="N25" s="198"/>
      <c r="O25" s="198">
        <f t="shared" si="3"/>
        <v>210394.64111302517</v>
      </c>
      <c r="P25" s="455"/>
    </row>
    <row r="26" spans="1:16">
      <c r="D26" s="89"/>
      <c r="E26" s="113"/>
      <c r="F26" s="89">
        <f t="shared" si="0"/>
        <v>0</v>
      </c>
      <c r="I26" s="198">
        <f t="shared" si="1"/>
        <v>0</v>
      </c>
      <c r="J26" s="198"/>
      <c r="M26" s="198">
        <f t="shared" si="2"/>
        <v>0</v>
      </c>
      <c r="N26" s="198"/>
      <c r="O26" s="198">
        <f t="shared" si="3"/>
        <v>0</v>
      </c>
    </row>
    <row r="27" spans="1:16">
      <c r="A27" s="83" t="s">
        <v>369</v>
      </c>
      <c r="D27" s="89">
        <f>'B&amp;A Surcharges'!B27</f>
        <v>45953.7</v>
      </c>
      <c r="E27" s="113">
        <f>'Bill Units'!D27+'Bill Units'!D28</f>
        <v>1677145</v>
      </c>
      <c r="F27" s="89">
        <f t="shared" si="0"/>
        <v>43807.027399999999</v>
      </c>
      <c r="I27" s="198">
        <f t="shared" si="1"/>
        <v>89760.727400000003</v>
      </c>
      <c r="J27" s="198"/>
      <c r="K27" s="454">
        <f>GSLMTOD!K13+GSLMTOD!K14</f>
        <v>1798725.5977885965</v>
      </c>
      <c r="M27" s="198">
        <f t="shared" si="2"/>
        <v>46982.712614238146</v>
      </c>
      <c r="N27" s="198"/>
      <c r="O27" s="198">
        <f t="shared" si="3"/>
        <v>46982.712614238146</v>
      </c>
      <c r="P27" s="455"/>
    </row>
    <row r="28" spans="1:16">
      <c r="D28" s="89"/>
      <c r="E28" s="113"/>
      <c r="F28" s="89">
        <f t="shared" si="0"/>
        <v>0</v>
      </c>
      <c r="I28" s="198">
        <f t="shared" si="1"/>
        <v>0</v>
      </c>
      <c r="J28" s="198"/>
      <c r="M28" s="198">
        <f t="shared" si="2"/>
        <v>0</v>
      </c>
      <c r="N28" s="198"/>
      <c r="O28" s="198">
        <f t="shared" si="3"/>
        <v>0</v>
      </c>
    </row>
    <row r="29" spans="1:16">
      <c r="A29" s="83" t="s">
        <v>202</v>
      </c>
      <c r="D29" s="89">
        <f>'B&amp;A Surcharges'!B29</f>
        <v>223919.77</v>
      </c>
      <c r="E29" s="113">
        <f>'Bill Units'!L18+'Bill Units'!L19+'Bill Units'!L20</f>
        <v>7962002</v>
      </c>
      <c r="F29" s="89">
        <f t="shared" si="0"/>
        <v>207967.49223999999</v>
      </c>
      <c r="I29" s="198">
        <f t="shared" si="1"/>
        <v>431887.26223999995</v>
      </c>
      <c r="J29" s="198"/>
      <c r="K29" s="454">
        <f>'SGS TOD'!K13+'SGS TOD'!K14+'SGS TOD'!K15</f>
        <v>7995315.8158995816</v>
      </c>
      <c r="M29" s="198">
        <f t="shared" si="2"/>
        <v>208837.64911129707</v>
      </c>
      <c r="N29" s="198"/>
      <c r="O29" s="198">
        <f t="shared" si="3"/>
        <v>208837.64911129707</v>
      </c>
      <c r="P29" s="455"/>
    </row>
    <row r="30" spans="1:16">
      <c r="D30" s="89"/>
      <c r="E30" s="113"/>
      <c r="F30" s="89">
        <f t="shared" si="0"/>
        <v>0</v>
      </c>
      <c r="I30" s="198">
        <f t="shared" si="1"/>
        <v>0</v>
      </c>
      <c r="J30" s="198"/>
      <c r="M30" s="198">
        <f t="shared" si="2"/>
        <v>0</v>
      </c>
      <c r="N30" s="198"/>
      <c r="O30" s="198">
        <f t="shared" si="3"/>
        <v>0</v>
      </c>
    </row>
    <row r="31" spans="1:16">
      <c r="A31" s="83" t="s">
        <v>370</v>
      </c>
      <c r="D31" s="89">
        <f>'B&amp;A Surcharges'!B31</f>
        <v>228481.62000000002</v>
      </c>
      <c r="E31" s="113">
        <f>'Bill Units'!H27+'Bill Units'!H28</f>
        <v>8359721</v>
      </c>
      <c r="F31" s="89">
        <f t="shared" si="0"/>
        <v>218355.91252000001</v>
      </c>
      <c r="I31" s="198">
        <f t="shared" si="1"/>
        <v>446837.53252000001</v>
      </c>
      <c r="J31" s="198"/>
      <c r="K31" s="454">
        <f>MGSTOD!K13+MGSTOD!K14</f>
        <v>8519715.6602870822</v>
      </c>
      <c r="M31" s="198">
        <f t="shared" si="2"/>
        <v>222534.97304669861</v>
      </c>
      <c r="N31" s="198"/>
      <c r="O31" s="198">
        <f t="shared" si="3"/>
        <v>222534.97304669861</v>
      </c>
      <c r="P31" s="455"/>
    </row>
    <row r="32" spans="1:16">
      <c r="D32" s="89"/>
      <c r="E32" s="113"/>
      <c r="F32" s="89">
        <f t="shared" si="0"/>
        <v>0</v>
      </c>
      <c r="I32" s="198">
        <f t="shared" si="1"/>
        <v>0</v>
      </c>
      <c r="J32" s="198"/>
      <c r="M32" s="198">
        <f t="shared" si="2"/>
        <v>0</v>
      </c>
      <c r="N32" s="198"/>
      <c r="O32" s="198">
        <f t="shared" si="3"/>
        <v>0</v>
      </c>
    </row>
    <row r="33" spans="1:16">
      <c r="A33" s="83" t="s">
        <v>371</v>
      </c>
      <c r="D33" s="89">
        <f>'B&amp;A Surcharges'!B33</f>
        <v>10244.879999999999</v>
      </c>
      <c r="E33" s="113">
        <f>'Bill Units'!P28+'Bill Units'!P29</f>
        <v>425700</v>
      </c>
      <c r="F33" s="89">
        <f t="shared" si="0"/>
        <v>11119.284</v>
      </c>
      <c r="I33" s="198">
        <f t="shared" si="1"/>
        <v>21364.163999999997</v>
      </c>
      <c r="J33" s="198"/>
      <c r="K33" s="454">
        <f>'GS-SUB'!K13+'GS-SUB'!K14</f>
        <v>414194.59459459462</v>
      </c>
      <c r="M33" s="198">
        <f t="shared" si="2"/>
        <v>10818.762810810811</v>
      </c>
      <c r="N33" s="198"/>
      <c r="O33" s="198">
        <f t="shared" si="3"/>
        <v>10818.762810810811</v>
      </c>
      <c r="P33" s="455"/>
    </row>
    <row r="34" spans="1:16">
      <c r="D34" s="89"/>
      <c r="E34" s="113"/>
      <c r="F34" s="89">
        <f t="shared" si="0"/>
        <v>0</v>
      </c>
      <c r="I34" s="198">
        <f t="shared" si="1"/>
        <v>0</v>
      </c>
      <c r="J34" s="198"/>
      <c r="M34" s="198">
        <f t="shared" si="2"/>
        <v>0</v>
      </c>
      <c r="N34" s="198"/>
      <c r="O34" s="198">
        <f t="shared" si="3"/>
        <v>0</v>
      </c>
    </row>
    <row r="35" spans="1:16">
      <c r="A35" s="83" t="s">
        <v>372</v>
      </c>
      <c r="D35" s="89">
        <f>'B&amp;A Surcharges'!B35</f>
        <v>7831711.1599999992</v>
      </c>
      <c r="E35" s="113">
        <f>'Bill Units'!D40</f>
        <v>295325187</v>
      </c>
      <c r="F35" s="89">
        <f t="shared" si="0"/>
        <v>7713893.8844400002</v>
      </c>
      <c r="I35" s="198">
        <f t="shared" si="1"/>
        <v>15545605.044439999</v>
      </c>
      <c r="J35" s="198"/>
      <c r="K35" s="454">
        <f>'LGS-SEC'!K13</f>
        <v>303151072.29663664</v>
      </c>
      <c r="M35" s="198">
        <f t="shared" si="2"/>
        <v>7918306.0083881496</v>
      </c>
      <c r="N35" s="198"/>
      <c r="O35" s="198">
        <f t="shared" si="3"/>
        <v>7918306.0083881496</v>
      </c>
      <c r="P35" s="455"/>
    </row>
    <row r="36" spans="1:16">
      <c r="D36" s="89"/>
      <c r="E36" s="113"/>
      <c r="F36" s="89">
        <f t="shared" si="0"/>
        <v>0</v>
      </c>
      <c r="I36" s="198">
        <f t="shared" si="1"/>
        <v>0</v>
      </c>
      <c r="J36" s="198"/>
      <c r="M36" s="198">
        <f t="shared" si="2"/>
        <v>0</v>
      </c>
      <c r="N36" s="198"/>
      <c r="O36" s="198">
        <f t="shared" si="3"/>
        <v>0</v>
      </c>
    </row>
    <row r="37" spans="1:16">
      <c r="A37" s="83" t="s">
        <v>373</v>
      </c>
      <c r="D37" s="89">
        <f>'B&amp;A Surcharges'!B37</f>
        <v>50209.88</v>
      </c>
      <c r="E37" s="113">
        <f>'Bill Units'!D47</f>
        <v>81672728</v>
      </c>
      <c r="F37" s="89">
        <f t="shared" si="0"/>
        <v>2133291.6553600002</v>
      </c>
      <c r="I37" s="198">
        <f t="shared" si="1"/>
        <v>2183501.5353600001</v>
      </c>
      <c r="J37" s="198"/>
      <c r="K37" s="454">
        <f>'LGS-PRI'!K13</f>
        <v>85895920.531903774</v>
      </c>
      <c r="M37" s="198">
        <f t="shared" si="2"/>
        <v>2243601.4442933267</v>
      </c>
      <c r="N37" s="198"/>
      <c r="O37" s="198">
        <f t="shared" si="3"/>
        <v>2243601.4442933267</v>
      </c>
      <c r="P37" s="455"/>
    </row>
    <row r="38" spans="1:16">
      <c r="D38" s="89"/>
      <c r="E38" s="113"/>
      <c r="F38" s="89">
        <f t="shared" si="0"/>
        <v>0</v>
      </c>
      <c r="I38" s="198">
        <f t="shared" si="1"/>
        <v>0</v>
      </c>
      <c r="J38" s="198"/>
      <c r="M38" s="198">
        <f t="shared" si="2"/>
        <v>0</v>
      </c>
      <c r="N38" s="198"/>
      <c r="O38" s="198">
        <f t="shared" si="3"/>
        <v>0</v>
      </c>
    </row>
    <row r="39" spans="1:16">
      <c r="A39" s="28" t="s">
        <v>374</v>
      </c>
      <c r="D39" s="89">
        <f>'B&amp;A Surcharges'!B39</f>
        <v>130839.35</v>
      </c>
      <c r="E39" s="113">
        <f>'Bill Units'!H47</f>
        <v>12948743</v>
      </c>
      <c r="F39" s="89">
        <f t="shared" si="0"/>
        <v>338221.16716000001</v>
      </c>
      <c r="I39" s="198">
        <f t="shared" si="1"/>
        <v>469060.51716000005</v>
      </c>
      <c r="J39" s="198"/>
      <c r="K39" s="454">
        <f>'LGS-SUB'!K13</f>
        <v>13944800.153846154</v>
      </c>
      <c r="M39" s="198">
        <f t="shared" si="2"/>
        <v>364238.18001846154</v>
      </c>
      <c r="N39" s="198"/>
      <c r="O39" s="198">
        <f t="shared" si="3"/>
        <v>364238.18001846154</v>
      </c>
      <c r="P39" s="455"/>
    </row>
    <row r="40" spans="1:16">
      <c r="D40" s="89"/>
      <c r="E40" s="113"/>
      <c r="F40" s="89">
        <f t="shared" si="0"/>
        <v>0</v>
      </c>
      <c r="I40" s="198">
        <f t="shared" si="1"/>
        <v>0</v>
      </c>
      <c r="J40" s="198"/>
      <c r="M40" s="198">
        <f t="shared" si="2"/>
        <v>0</v>
      </c>
      <c r="N40" s="198"/>
      <c r="O40" s="198">
        <f t="shared" si="3"/>
        <v>0</v>
      </c>
    </row>
    <row r="41" spans="1:16">
      <c r="A41" s="83" t="s">
        <v>375</v>
      </c>
      <c r="D41" s="89">
        <f>'B&amp;A Surcharges'!B47</f>
        <v>0</v>
      </c>
      <c r="E41" s="113">
        <f>'Bill Units'!L47</f>
        <v>0</v>
      </c>
      <c r="F41" s="89">
        <f t="shared" si="0"/>
        <v>0</v>
      </c>
      <c r="I41" s="198">
        <f t="shared" si="1"/>
        <v>0</v>
      </c>
      <c r="J41" s="198"/>
      <c r="K41" s="454">
        <f>'LGS-TRAN'!K13</f>
        <v>0</v>
      </c>
      <c r="M41" s="198">
        <f t="shared" si="2"/>
        <v>0</v>
      </c>
      <c r="N41" s="198"/>
      <c r="O41" s="198">
        <f t="shared" si="3"/>
        <v>0</v>
      </c>
      <c r="P41" s="455"/>
    </row>
    <row r="42" spans="1:16">
      <c r="D42" s="89"/>
      <c r="E42" s="113"/>
      <c r="F42" s="89">
        <f t="shared" si="0"/>
        <v>0</v>
      </c>
      <c r="I42" s="198">
        <f t="shared" si="1"/>
        <v>0</v>
      </c>
      <c r="J42" s="198"/>
      <c r="M42" s="198">
        <f t="shared" si="2"/>
        <v>0</v>
      </c>
      <c r="N42" s="198"/>
      <c r="O42" s="198">
        <f t="shared" si="3"/>
        <v>0</v>
      </c>
    </row>
    <row r="43" spans="1:16">
      <c r="A43" s="83" t="s">
        <v>376</v>
      </c>
      <c r="D43" s="89">
        <f>'B&amp;A Surcharges'!B43</f>
        <v>2150496.62</v>
      </c>
      <c r="E43" s="113">
        <f>'Bill Units'!H40+'Bill Units'!H41</f>
        <v>1746972</v>
      </c>
      <c r="F43" s="89">
        <f t="shared" si="0"/>
        <v>45630.908640000001</v>
      </c>
      <c r="I43" s="198">
        <f t="shared" si="1"/>
        <v>2196127.5286400001</v>
      </c>
      <c r="J43" s="198"/>
      <c r="K43" s="454">
        <f>LGSLMTOD!K13+LGSLMTOD!K14</f>
        <v>1746972</v>
      </c>
      <c r="M43" s="198">
        <f t="shared" si="2"/>
        <v>45630.908640000001</v>
      </c>
      <c r="N43" s="198"/>
      <c r="O43" s="198">
        <f t="shared" si="3"/>
        <v>45630.908640000001</v>
      </c>
      <c r="P43" s="455"/>
    </row>
    <row r="44" spans="1:16">
      <c r="D44" s="89"/>
      <c r="E44" s="113"/>
      <c r="F44" s="89">
        <f t="shared" si="0"/>
        <v>0</v>
      </c>
      <c r="I44" s="198">
        <f t="shared" si="1"/>
        <v>0</v>
      </c>
      <c r="J44" s="198"/>
      <c r="M44" s="198">
        <f t="shared" si="2"/>
        <v>0</v>
      </c>
      <c r="N44" s="198"/>
      <c r="O44" s="198">
        <f t="shared" si="3"/>
        <v>0</v>
      </c>
    </row>
    <row r="45" spans="1:16">
      <c r="A45" s="83" t="s">
        <v>377</v>
      </c>
      <c r="D45" s="89">
        <f>'B&amp;A Surcharges'!B45</f>
        <v>336293.85</v>
      </c>
      <c r="E45" s="113">
        <f>'Bill Units'!L43+'Bill Units'!L44</f>
        <v>5010848</v>
      </c>
      <c r="F45" s="89">
        <f t="shared" si="0"/>
        <v>130883.34976</v>
      </c>
      <c r="I45" s="198">
        <f t="shared" si="1"/>
        <v>467177.19975999999</v>
      </c>
      <c r="J45" s="198"/>
      <c r="K45" s="454">
        <f>'LGS-SEC TOD'!K13+'LGS-SEC TOD'!K14</f>
        <v>6013017.5999999996</v>
      </c>
      <c r="M45" s="198">
        <f t="shared" si="2"/>
        <v>157060.01971200001</v>
      </c>
      <c r="N45" s="198"/>
      <c r="O45" s="198">
        <f t="shared" si="3"/>
        <v>157060.01971200001</v>
      </c>
      <c r="P45" s="455"/>
    </row>
    <row r="46" spans="1:16">
      <c r="D46" s="89"/>
      <c r="E46" s="113"/>
      <c r="F46" s="89">
        <f t="shared" si="0"/>
        <v>0</v>
      </c>
      <c r="I46" s="198">
        <f t="shared" si="1"/>
        <v>0</v>
      </c>
      <c r="J46" s="198"/>
      <c r="M46" s="198">
        <f t="shared" si="2"/>
        <v>0</v>
      </c>
      <c r="N46" s="198"/>
      <c r="O46" s="198">
        <f t="shared" si="3"/>
        <v>0</v>
      </c>
    </row>
    <row r="47" spans="1:16">
      <c r="A47" s="83" t="s">
        <v>378</v>
      </c>
      <c r="D47" s="89">
        <f>'B&amp;A Surcharges'!B41</f>
        <v>53586.76</v>
      </c>
      <c r="E47" s="113">
        <f>'Bill Units'!P43+'Bill Units'!P44</f>
        <v>2286064</v>
      </c>
      <c r="F47" s="89">
        <f t="shared" si="0"/>
        <v>59711.991679999999</v>
      </c>
      <c r="I47" s="198">
        <f t="shared" si="1"/>
        <v>113298.75168</v>
      </c>
      <c r="J47" s="198"/>
      <c r="K47" s="454">
        <f>'LGS-PRI TOD'!K13+'LGS-PRI TOD'!K14</f>
        <v>2286064</v>
      </c>
      <c r="M47" s="198">
        <f t="shared" si="2"/>
        <v>59711.991679999999</v>
      </c>
      <c r="N47" s="198"/>
      <c r="O47" s="198">
        <f t="shared" si="3"/>
        <v>59711.991679999999</v>
      </c>
      <c r="P47" s="455"/>
    </row>
    <row r="48" spans="1:16">
      <c r="D48" s="89"/>
      <c r="E48" s="113"/>
      <c r="F48" s="89">
        <f t="shared" si="0"/>
        <v>0</v>
      </c>
      <c r="I48" s="198">
        <f t="shared" si="1"/>
        <v>0</v>
      </c>
      <c r="J48" s="198"/>
      <c r="K48" s="454"/>
      <c r="M48" s="198">
        <f t="shared" si="2"/>
        <v>0</v>
      </c>
      <c r="N48" s="198"/>
      <c r="O48" s="198">
        <f t="shared" si="3"/>
        <v>0</v>
      </c>
    </row>
    <row r="49" spans="1:16">
      <c r="A49" s="83" t="s">
        <v>379</v>
      </c>
      <c r="D49" s="89">
        <f>'B&amp;A Surcharges'!B49</f>
        <v>2225501.1799999997</v>
      </c>
      <c r="E49" s="113">
        <f>'Bill Units'!D56</f>
        <v>85222505</v>
      </c>
      <c r="F49" s="89">
        <f t="shared" si="0"/>
        <v>2226011.8306</v>
      </c>
      <c r="I49" s="198">
        <f t="shared" si="1"/>
        <v>4451513.0105999997</v>
      </c>
      <c r="J49" s="198"/>
      <c r="K49" s="454">
        <f>'PS-SEC'!K13</f>
        <v>87428913.394495726</v>
      </c>
      <c r="M49" s="198">
        <f t="shared" si="2"/>
        <v>2283643.2178642284</v>
      </c>
      <c r="N49" s="198"/>
      <c r="O49" s="198">
        <f t="shared" si="3"/>
        <v>2283643.2178642284</v>
      </c>
      <c r="P49" s="455"/>
    </row>
    <row r="50" spans="1:16" ht="13.5" customHeight="1">
      <c r="D50" s="89"/>
      <c r="E50" s="113"/>
      <c r="F50" s="89">
        <f t="shared" si="0"/>
        <v>0</v>
      </c>
      <c r="I50" s="198">
        <f t="shared" si="1"/>
        <v>0</v>
      </c>
      <c r="J50" s="198"/>
      <c r="M50" s="198">
        <f t="shared" si="2"/>
        <v>0</v>
      </c>
      <c r="N50" s="198"/>
      <c r="O50" s="198">
        <f t="shared" si="3"/>
        <v>0</v>
      </c>
    </row>
    <row r="51" spans="1:16" ht="13.5" customHeight="1">
      <c r="A51" s="83" t="s">
        <v>380</v>
      </c>
      <c r="D51" s="89">
        <f>'B&amp;A Surcharges'!B51</f>
        <v>47753.919999999998</v>
      </c>
      <c r="E51" s="113">
        <f>'Bill Units'!H56</f>
        <v>1696500</v>
      </c>
      <c r="F51" s="89">
        <f t="shared" si="0"/>
        <v>44312.58</v>
      </c>
      <c r="I51" s="198">
        <f t="shared" si="1"/>
        <v>92066.5</v>
      </c>
      <c r="J51" s="198"/>
      <c r="K51" s="454">
        <f>'PS-PRI'!K13</f>
        <v>1737216.0392989507</v>
      </c>
      <c r="M51" s="198">
        <f t="shared" si="2"/>
        <v>45376.08294648859</v>
      </c>
      <c r="N51" s="198"/>
      <c r="O51" s="198">
        <f t="shared" si="3"/>
        <v>45376.08294648859</v>
      </c>
      <c r="P51" s="455"/>
    </row>
    <row r="52" spans="1:16" ht="13.5" customHeight="1">
      <c r="D52" s="89"/>
      <c r="E52" s="113"/>
      <c r="F52" s="89">
        <f t="shared" si="0"/>
        <v>0</v>
      </c>
      <c r="I52" s="198">
        <f t="shared" si="1"/>
        <v>0</v>
      </c>
      <c r="J52" s="198"/>
      <c r="M52" s="198">
        <f t="shared" si="2"/>
        <v>0</v>
      </c>
      <c r="N52" s="198"/>
      <c r="O52" s="198">
        <f t="shared" si="3"/>
        <v>0</v>
      </c>
    </row>
    <row r="53" spans="1:16" ht="13.5" customHeight="1">
      <c r="A53" s="83" t="s">
        <v>381</v>
      </c>
      <c r="D53" s="89">
        <f>'B&amp;A Surcharges'!B53</f>
        <v>417283.1</v>
      </c>
      <c r="E53" s="113">
        <f>'Bill Units'!H65</f>
        <v>304821919</v>
      </c>
      <c r="F53" s="89">
        <f t="shared" si="0"/>
        <v>7961948.5242800005</v>
      </c>
      <c r="I53" s="198">
        <f t="shared" si="1"/>
        <v>8379231.6242800001</v>
      </c>
      <c r="J53" s="198"/>
      <c r="K53" s="454">
        <f>'IGS-PRI'!K13</f>
        <v>325487811.81355929</v>
      </c>
      <c r="M53" s="198">
        <f t="shared" si="2"/>
        <v>8501741.6445701681</v>
      </c>
      <c r="N53" s="198"/>
      <c r="O53" s="198">
        <f t="shared" si="3"/>
        <v>8501741.6445701681</v>
      </c>
      <c r="P53" s="455"/>
    </row>
    <row r="54" spans="1:16" ht="13.5" customHeight="1">
      <c r="D54" s="89"/>
      <c r="E54" s="113"/>
      <c r="F54" s="89">
        <f t="shared" si="0"/>
        <v>0</v>
      </c>
      <c r="I54" s="198">
        <f t="shared" si="1"/>
        <v>0</v>
      </c>
      <c r="J54" s="198"/>
      <c r="M54" s="198">
        <f t="shared" si="2"/>
        <v>0</v>
      </c>
      <c r="N54" s="198"/>
      <c r="O54" s="198">
        <f t="shared" si="3"/>
        <v>0</v>
      </c>
    </row>
    <row r="55" spans="1:16">
      <c r="A55" s="83" t="s">
        <v>382</v>
      </c>
      <c r="D55" s="89">
        <f>'B&amp;A Surcharges'!B55</f>
        <v>7921976.209999999</v>
      </c>
      <c r="E55" s="113">
        <f>'Bill Units'!L65</f>
        <v>1742228071</v>
      </c>
      <c r="F55" s="89">
        <f t="shared" si="0"/>
        <v>45506997.21452</v>
      </c>
      <c r="I55" s="198">
        <f t="shared" si="1"/>
        <v>53428973.424520001</v>
      </c>
      <c r="J55" s="198"/>
      <c r="K55" s="454">
        <f>'IGS-SUB'!K13</f>
        <v>1600613142.4301887</v>
      </c>
      <c r="M55" s="198">
        <f t="shared" si="2"/>
        <v>41808015.280276529</v>
      </c>
      <c r="N55" s="198"/>
      <c r="O55" s="198">
        <f t="shared" si="3"/>
        <v>41808015.280276529</v>
      </c>
      <c r="P55" s="455"/>
    </row>
    <row r="56" spans="1:16">
      <c r="D56" s="89"/>
      <c r="E56" s="113"/>
      <c r="F56" s="89">
        <f t="shared" si="0"/>
        <v>0</v>
      </c>
      <c r="I56" s="198">
        <f t="shared" si="1"/>
        <v>0</v>
      </c>
      <c r="J56" s="198"/>
      <c r="M56" s="198">
        <f t="shared" si="2"/>
        <v>0</v>
      </c>
      <c r="N56" s="198"/>
      <c r="O56" s="198">
        <f t="shared" si="3"/>
        <v>0</v>
      </c>
    </row>
    <row r="57" spans="1:16">
      <c r="A57" s="83" t="s">
        <v>383</v>
      </c>
      <c r="D57" s="89">
        <f>'B&amp;A Surcharges'!B57</f>
        <v>45549882.919999994</v>
      </c>
      <c r="E57" s="113">
        <f>'Bill Units'!P65</f>
        <v>245809083</v>
      </c>
      <c r="F57" s="89">
        <f t="shared" si="0"/>
        <v>6420533.2479600003</v>
      </c>
      <c r="I57" s="198">
        <f t="shared" si="1"/>
        <v>51970416.167959996</v>
      </c>
      <c r="J57" s="198"/>
      <c r="K57" s="454">
        <f>'IGS-TRAN'!K13</f>
        <v>245809083</v>
      </c>
      <c r="M57" s="198">
        <f t="shared" si="2"/>
        <v>6420533.2479600003</v>
      </c>
      <c r="N57" s="198"/>
      <c r="O57" s="198">
        <f t="shared" si="3"/>
        <v>6420533.2479600003</v>
      </c>
      <c r="P57" s="455"/>
    </row>
    <row r="58" spans="1:16">
      <c r="D58" s="89"/>
      <c r="E58" s="113"/>
      <c r="F58" s="89">
        <f t="shared" si="0"/>
        <v>0</v>
      </c>
      <c r="I58" s="198">
        <f t="shared" si="1"/>
        <v>0</v>
      </c>
      <c r="J58" s="198"/>
      <c r="M58" s="198">
        <f t="shared" si="2"/>
        <v>0</v>
      </c>
      <c r="N58" s="198"/>
      <c r="O58" s="198">
        <f t="shared" si="3"/>
        <v>0</v>
      </c>
    </row>
    <row r="59" spans="1:16">
      <c r="A59" s="83" t="s">
        <v>384</v>
      </c>
      <c r="D59" s="89">
        <f>'B&amp;A Surcharges'!B59</f>
        <v>6222077.3299999991</v>
      </c>
      <c r="E59" s="113">
        <f>'Bill Units'!D65</f>
        <v>15643440</v>
      </c>
      <c r="F59" s="89">
        <f t="shared" si="0"/>
        <v>408606.65280000004</v>
      </c>
      <c r="I59" s="198">
        <f t="shared" si="1"/>
        <v>6630683.9827999994</v>
      </c>
      <c r="J59" s="198"/>
      <c r="K59" s="454">
        <f>'IGS-SEC'!K13</f>
        <v>15643440</v>
      </c>
      <c r="M59" s="198">
        <f t="shared" si="2"/>
        <v>408606.65280000004</v>
      </c>
      <c r="N59" s="198"/>
      <c r="O59" s="198">
        <f t="shared" si="3"/>
        <v>408606.65280000004</v>
      </c>
      <c r="P59" s="455"/>
    </row>
    <row r="60" spans="1:16">
      <c r="D60" s="89"/>
      <c r="E60" s="113"/>
      <c r="F60" s="89">
        <f t="shared" si="0"/>
        <v>0</v>
      </c>
      <c r="I60" s="198">
        <f t="shared" si="1"/>
        <v>0</v>
      </c>
      <c r="J60" s="198"/>
      <c r="M60" s="198">
        <f t="shared" si="2"/>
        <v>0</v>
      </c>
      <c r="N60" s="198"/>
      <c r="O60" s="198">
        <f t="shared" si="3"/>
        <v>0</v>
      </c>
    </row>
    <row r="61" spans="1:16">
      <c r="A61" s="83" t="s">
        <v>36</v>
      </c>
      <c r="D61" s="89">
        <f>'B&amp;A Surcharges'!B61</f>
        <v>230284.12</v>
      </c>
      <c r="E61" s="113">
        <f>SL!C55</f>
        <v>8426444</v>
      </c>
      <c r="F61" s="89">
        <f t="shared" si="0"/>
        <v>220098.71728000001</v>
      </c>
      <c r="I61" s="198">
        <f t="shared" si="1"/>
        <v>450382.83727999998</v>
      </c>
      <c r="J61" s="198"/>
      <c r="K61" s="454">
        <f>SL!C55</f>
        <v>8426444</v>
      </c>
      <c r="M61" s="198">
        <f t="shared" si="2"/>
        <v>220098.71728000001</v>
      </c>
      <c r="N61" s="198"/>
      <c r="O61" s="198">
        <f t="shared" si="3"/>
        <v>220098.71728000001</v>
      </c>
      <c r="P61" s="455"/>
    </row>
    <row r="62" spans="1:16">
      <c r="D62" s="89"/>
      <c r="E62" s="113"/>
      <c r="F62" s="89">
        <f t="shared" si="0"/>
        <v>0</v>
      </c>
      <c r="I62" s="198">
        <f t="shared" si="1"/>
        <v>0</v>
      </c>
      <c r="J62" s="198"/>
      <c r="M62" s="198">
        <f t="shared" si="2"/>
        <v>0</v>
      </c>
      <c r="N62" s="198"/>
      <c r="O62" s="198">
        <f t="shared" si="3"/>
        <v>0</v>
      </c>
    </row>
    <row r="63" spans="1:16">
      <c r="A63" s="83" t="s">
        <v>34</v>
      </c>
      <c r="B63" s="453"/>
      <c r="D63" s="356">
        <f>'B&amp;A Surcharges'!B63</f>
        <v>46197.140000000007</v>
      </c>
      <c r="E63" s="113">
        <f>'Bill Units'!D80</f>
        <v>1766943</v>
      </c>
      <c r="F63" s="356">
        <f t="shared" si="0"/>
        <v>46152.551160000003</v>
      </c>
      <c r="I63" s="329">
        <f t="shared" si="1"/>
        <v>92349.691160000017</v>
      </c>
      <c r="J63" s="329"/>
      <c r="K63" s="456">
        <f>MW!K13</f>
        <v>1646859.495145631</v>
      </c>
      <c r="L63" s="95"/>
      <c r="M63" s="329">
        <f t="shared" si="2"/>
        <v>43015.970013203885</v>
      </c>
      <c r="N63" s="329"/>
      <c r="O63" s="329">
        <f t="shared" si="3"/>
        <v>43015.970013203885</v>
      </c>
      <c r="P63" s="455"/>
    </row>
    <row r="64" spans="1:16">
      <c r="A64" s="457"/>
      <c r="D64" s="89"/>
      <c r="I64" s="198"/>
      <c r="J64" s="198"/>
      <c r="M64" s="198"/>
      <c r="N64" s="198"/>
      <c r="O64" s="198"/>
    </row>
    <row r="65" spans="1:15">
      <c r="A65" s="457" t="s">
        <v>17</v>
      </c>
      <c r="D65" s="89">
        <f>SUM(D11:D64)</f>
        <v>142562411.99999997</v>
      </c>
      <c r="F65" s="89">
        <f>SUM(F11:F63)</f>
        <v>138648193.18583998</v>
      </c>
      <c r="I65" s="198">
        <f>SUM(I11:I63)</f>
        <v>281210605.18584001</v>
      </c>
      <c r="J65" s="198"/>
      <c r="K65" s="454">
        <f>SUM(K11:K63)</f>
        <v>5308956401.1290073</v>
      </c>
      <c r="M65" s="198">
        <f>SUM(M11:M63)</f>
        <v>138669941.19748968</v>
      </c>
      <c r="N65" s="198"/>
      <c r="O65" s="198">
        <f>SUM(O11:O63)</f>
        <v>138669941.19748968</v>
      </c>
    </row>
    <row r="68" spans="1:15">
      <c r="D68" s="28">
        <v>142562411.99999997</v>
      </c>
    </row>
    <row r="70" spans="1:15">
      <c r="D70" s="89">
        <f>D65-D68</f>
        <v>0</v>
      </c>
    </row>
    <row r="71" spans="1:15">
      <c r="I71" s="113" t="s">
        <v>595</v>
      </c>
      <c r="J71" s="113">
        <f>SUM(K57,K55,K41,K39,K33)</f>
        <v>1860781220.1786294</v>
      </c>
      <c r="K71" s="345">
        <f>J71/K65</f>
        <v>0.35049849341066619</v>
      </c>
    </row>
  </sheetData>
  <phoneticPr fontId="0" type="noConversion"/>
  <pageMargins left="0.5" right="0.5" top="0.5" bottom="0.5" header="0.5" footer="0.5"/>
  <pageSetup scale="70" orientation="portrait" r:id="rId1"/>
  <headerFooter alignWithMargins="0"/>
  <ignoredErrors>
    <ignoredError sqref="L12 L11 L14 L13 L16 L15 L18 L17 L20 L19 L22 L21 L24 L23 L26 L25 L28 L27 L30 L29 L32 L31 L34 L33 L36 L35 L38 L37 L40 L39 L42 L41 L44 L43 L46 L45 L48 L47 L50 L49 L52 L51 L54 L53 L56 L55 L58 L57 L60 L59 L62 L61 K64:O64 L63 L65:O65" evalError="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62"/>
  <sheetViews>
    <sheetView workbookViewId="0">
      <selection activeCell="S38" sqref="S38"/>
    </sheetView>
  </sheetViews>
  <sheetFormatPr defaultRowHeight="12.75"/>
  <cols>
    <col min="1" max="1" width="18.42578125" customWidth="1"/>
    <col min="2" max="2" width="17.140625" style="23" customWidth="1"/>
    <col min="6" max="6" width="10.140625" bestFit="1" customWidth="1"/>
  </cols>
  <sheetData>
    <row r="1" spans="1:4">
      <c r="A1" t="str">
        <f>+RS!B2</f>
        <v>KENTUCKY POWER BILLING ANALYSIS</v>
      </c>
    </row>
    <row r="2" spans="1:4">
      <c r="A2" t="str">
        <f>+RS!B4</f>
        <v>TEST YEAR ENDED MARCH 31, 2023</v>
      </c>
    </row>
    <row r="5" spans="1:4">
      <c r="D5" s="67"/>
    </row>
    <row r="6" spans="1:4">
      <c r="A6" s="3" t="s">
        <v>2</v>
      </c>
      <c r="B6" s="118" t="s">
        <v>579</v>
      </c>
    </row>
    <row r="7" spans="1:4">
      <c r="A7" s="3"/>
    </row>
    <row r="8" spans="1:4">
      <c r="A8" s="79" t="s">
        <v>224</v>
      </c>
      <c r="B8" s="23">
        <v>0</v>
      </c>
    </row>
    <row r="9" spans="1:4">
      <c r="A9" s="99"/>
    </row>
    <row r="10" spans="1:4">
      <c r="A10" s="79" t="s">
        <v>225</v>
      </c>
      <c r="B10" s="23">
        <v>0</v>
      </c>
    </row>
    <row r="11" spans="1:4">
      <c r="A11" s="99"/>
    </row>
    <row r="12" spans="1:4">
      <c r="A12" s="79" t="s">
        <v>226</v>
      </c>
      <c r="B12" s="23">
        <v>0</v>
      </c>
    </row>
    <row r="13" spans="1:4">
      <c r="A13" s="99"/>
    </row>
    <row r="14" spans="1:4">
      <c r="A14" s="79" t="s">
        <v>35</v>
      </c>
      <c r="B14" s="23">
        <v>0</v>
      </c>
    </row>
    <row r="15" spans="1:4">
      <c r="A15" s="99"/>
    </row>
    <row r="16" spans="1:4">
      <c r="A16" s="79" t="s">
        <v>365</v>
      </c>
      <c r="B16" s="23">
        <v>0</v>
      </c>
    </row>
    <row r="17" spans="1:2">
      <c r="A17" s="99"/>
    </row>
    <row r="18" spans="1:2">
      <c r="A18" s="79" t="s">
        <v>366</v>
      </c>
      <c r="B18" s="23">
        <f>'GS-SEC'!K16</f>
        <v>1152820.5662394301</v>
      </c>
    </row>
    <row r="19" spans="1:2">
      <c r="A19" s="99"/>
    </row>
    <row r="20" spans="1:2">
      <c r="A20" s="79" t="s">
        <v>367</v>
      </c>
      <c r="B20" s="23">
        <f>0</f>
        <v>0</v>
      </c>
    </row>
    <row r="21" spans="1:2">
      <c r="A21" s="99"/>
    </row>
    <row r="22" spans="1:2">
      <c r="A22" s="79" t="s">
        <v>368</v>
      </c>
      <c r="B22" s="23">
        <f>'GS-PRI'!K16</f>
        <v>23015.191908616725</v>
      </c>
    </row>
    <row r="23" spans="1:2">
      <c r="A23" s="99"/>
    </row>
    <row r="24" spans="1:2">
      <c r="A24" s="83" t="s">
        <v>369</v>
      </c>
      <c r="B24" s="23">
        <v>0</v>
      </c>
    </row>
    <row r="25" spans="1:2">
      <c r="A25" s="99"/>
    </row>
    <row r="26" spans="1:2">
      <c r="A26" s="79" t="s">
        <v>202</v>
      </c>
      <c r="B26" s="23">
        <v>0</v>
      </c>
    </row>
    <row r="27" spans="1:2">
      <c r="A27" s="99"/>
    </row>
    <row r="28" spans="1:2">
      <c r="A28" s="79" t="s">
        <v>370</v>
      </c>
      <c r="B28" s="23">
        <v>0</v>
      </c>
    </row>
    <row r="29" spans="1:2">
      <c r="A29" s="99"/>
    </row>
    <row r="30" spans="1:2">
      <c r="A30" s="79" t="s">
        <v>371</v>
      </c>
      <c r="B30" s="23">
        <f>'GS-SUB'!K16</f>
        <v>610.95841995842</v>
      </c>
    </row>
    <row r="31" spans="1:2">
      <c r="A31" s="99"/>
    </row>
    <row r="32" spans="1:2">
      <c r="A32" s="79" t="s">
        <v>372</v>
      </c>
      <c r="B32" s="23">
        <f>'LGS-SEC'!K15</f>
        <v>831178.83333333337</v>
      </c>
    </row>
    <row r="33" spans="1:7">
      <c r="A33" s="99"/>
    </row>
    <row r="34" spans="1:7">
      <c r="A34" s="79" t="s">
        <v>373</v>
      </c>
      <c r="B34" s="23">
        <f>'LGS-PRI'!K15</f>
        <v>329373.4382022472</v>
      </c>
    </row>
    <row r="35" spans="1:7">
      <c r="A35" s="99"/>
    </row>
    <row r="36" spans="1:7">
      <c r="A36" s="99" t="s">
        <v>374</v>
      </c>
      <c r="B36" s="23">
        <f>'LGS-SUB'!K15</f>
        <v>31522.615384615383</v>
      </c>
    </row>
    <row r="37" spans="1:7">
      <c r="A37" s="99"/>
    </row>
    <row r="38" spans="1:7">
      <c r="A38" s="79" t="s">
        <v>375</v>
      </c>
      <c r="B38" s="23">
        <f>'LGS-TRAN'!K15</f>
        <v>0</v>
      </c>
    </row>
    <row r="39" spans="1:7">
      <c r="A39" s="99"/>
    </row>
    <row r="40" spans="1:7">
      <c r="A40" s="79" t="s">
        <v>376</v>
      </c>
      <c r="B40" s="23">
        <v>0</v>
      </c>
    </row>
    <row r="41" spans="1:7">
      <c r="A41" s="99"/>
    </row>
    <row r="42" spans="1:7">
      <c r="A42" s="79" t="s">
        <v>377</v>
      </c>
      <c r="B42" s="23">
        <f>'LGS-SEC TOD'!K16</f>
        <v>11058</v>
      </c>
    </row>
    <row r="43" spans="1:7">
      <c r="A43" s="99"/>
    </row>
    <row r="44" spans="1:7">
      <c r="A44" s="79" t="s">
        <v>378</v>
      </c>
      <c r="B44" s="23">
        <f>'LGS-PRI TOD'!K16</f>
        <v>6346</v>
      </c>
      <c r="F44" s="24">
        <f>SUM(B32:B48)</f>
        <v>1552766.7973406713</v>
      </c>
      <c r="G44" t="s">
        <v>252</v>
      </c>
    </row>
    <row r="45" spans="1:7">
      <c r="A45" s="99"/>
    </row>
    <row r="46" spans="1:7">
      <c r="A46" s="79" t="s">
        <v>379</v>
      </c>
      <c r="B46" s="23">
        <f>'PS-SEC'!K15</f>
        <v>336930.91042047529</v>
      </c>
    </row>
    <row r="47" spans="1:7">
      <c r="A47" s="99"/>
    </row>
    <row r="48" spans="1:7">
      <c r="A48" s="79" t="s">
        <v>380</v>
      </c>
      <c r="B48" s="23">
        <f>'PS-PRI'!K15</f>
        <v>6357</v>
      </c>
    </row>
    <row r="49" spans="1:6">
      <c r="A49" s="99"/>
    </row>
    <row r="50" spans="1:6">
      <c r="A50" s="79" t="s">
        <v>381</v>
      </c>
      <c r="B50" s="23">
        <f>'IGS-PRI'!K15</f>
        <v>611129.89830508479</v>
      </c>
      <c r="F50" s="24">
        <f>SUM(B50:B56)</f>
        <v>3596610.7775503676</v>
      </c>
    </row>
    <row r="51" spans="1:6">
      <c r="A51" s="99"/>
    </row>
    <row r="52" spans="1:6">
      <c r="A52" s="79" t="s">
        <v>382</v>
      </c>
      <c r="B52" s="23">
        <f>'IGS-SUB'!K15</f>
        <v>2546311.8792452831</v>
      </c>
    </row>
    <row r="53" spans="1:6">
      <c r="A53" s="99"/>
    </row>
    <row r="54" spans="1:6">
      <c r="A54" s="79" t="s">
        <v>383</v>
      </c>
      <c r="B54" s="23">
        <f>'IGS-TRAN'!K15</f>
        <v>424787.00000000006</v>
      </c>
    </row>
    <row r="55" spans="1:6">
      <c r="A55" s="99"/>
    </row>
    <row r="56" spans="1:6">
      <c r="A56" s="79" t="s">
        <v>384</v>
      </c>
      <c r="B56" s="23">
        <f>'IGS-SEC'!K15</f>
        <v>14382</v>
      </c>
    </row>
    <row r="57" spans="1:6">
      <c r="A57" s="99"/>
    </row>
    <row r="58" spans="1:6">
      <c r="A58" s="79" t="s">
        <v>36</v>
      </c>
      <c r="B58" s="23">
        <v>0</v>
      </c>
    </row>
    <row r="59" spans="1:6">
      <c r="A59" s="99"/>
    </row>
    <row r="60" spans="1:6">
      <c r="A60" s="79" t="s">
        <v>34</v>
      </c>
      <c r="B60" s="112">
        <v>0</v>
      </c>
    </row>
    <row r="62" spans="1:6">
      <c r="A62" t="s">
        <v>462</v>
      </c>
      <c r="B62" s="23">
        <f>SUM(B8:B60)</f>
        <v>6325824.2914590444</v>
      </c>
    </row>
  </sheetData>
  <pageMargins left="0.25" right="0.25" top="0.75" bottom="0.75" header="0.3" footer="0.3"/>
  <pageSetup scale="89" fitToWidth="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D47"/>
  <sheetViews>
    <sheetView topLeftCell="A9" zoomScale="120" zoomScaleNormal="120" workbookViewId="0">
      <selection activeCell="J30" sqref="J30"/>
    </sheetView>
  </sheetViews>
  <sheetFormatPr defaultColWidth="9.140625" defaultRowHeight="12.75"/>
  <cols>
    <col min="1" max="1" width="22.85546875" style="93" customWidth="1"/>
    <col min="2" max="4" width="17.140625" style="52" customWidth="1"/>
    <col min="5" max="16384" width="9.140625" style="52"/>
  </cols>
  <sheetData>
    <row r="1" spans="1:4">
      <c r="A1" s="93" t="str">
        <f>+RS!B2</f>
        <v>KENTUCKY POWER BILLING ANALYSIS</v>
      </c>
    </row>
    <row r="2" spans="1:4">
      <c r="A2" s="93" t="str">
        <f>+RS!B4</f>
        <v>TEST YEAR ENDED MARCH 31, 2023</v>
      </c>
    </row>
    <row r="3" spans="1:4">
      <c r="A3" s="93" t="s">
        <v>216</v>
      </c>
    </row>
    <row r="6" spans="1:4">
      <c r="A6" s="125"/>
      <c r="B6" s="57" t="s">
        <v>213</v>
      </c>
      <c r="C6" s="57" t="s">
        <v>213</v>
      </c>
      <c r="D6" s="57"/>
    </row>
    <row r="7" spans="1:4">
      <c r="A7" s="125"/>
      <c r="B7" s="57" t="s">
        <v>215</v>
      </c>
      <c r="C7" s="57" t="s">
        <v>215</v>
      </c>
      <c r="D7" s="57"/>
    </row>
    <row r="8" spans="1:4">
      <c r="A8" s="115" t="s">
        <v>2</v>
      </c>
      <c r="B8" s="117" t="s">
        <v>330</v>
      </c>
      <c r="C8" s="117" t="s">
        <v>6</v>
      </c>
      <c r="D8" s="119"/>
    </row>
    <row r="9" spans="1:4">
      <c r="A9" s="115"/>
    </row>
    <row r="10" spans="1:4">
      <c r="A10" s="93" t="s">
        <v>224</v>
      </c>
      <c r="B10" s="121">
        <v>98421998.559811115</v>
      </c>
      <c r="C10" s="126">
        <f ca="1">INDIRECT("'"&amp;A10&amp;"'!N53")</f>
        <v>10627948.211062847</v>
      </c>
      <c r="D10" s="126"/>
    </row>
    <row r="11" spans="1:4">
      <c r="A11" s="93" t="s">
        <v>225</v>
      </c>
      <c r="B11" s="121">
        <v>161987.58481987563</v>
      </c>
      <c r="C11" s="126">
        <f t="shared" ref="C11:C42" ca="1" si="0">INDIRECT("'"&amp;A11&amp;"'!N53")</f>
        <v>16922.243429494993</v>
      </c>
      <c r="D11" s="126"/>
    </row>
    <row r="12" spans="1:4">
      <c r="A12" s="93" t="s">
        <v>226</v>
      </c>
      <c r="B12" s="121">
        <v>8217.8553690013741</v>
      </c>
      <c r="C12" s="126">
        <f t="shared" ca="1" si="0"/>
        <v>852.57287722612227</v>
      </c>
      <c r="D12" s="126"/>
    </row>
    <row r="13" spans="1:4">
      <c r="B13" s="121"/>
      <c r="C13" s="126"/>
      <c r="D13" s="126"/>
    </row>
    <row r="14" spans="1:4">
      <c r="A14" s="63" t="s">
        <v>366</v>
      </c>
      <c r="B14" s="121">
        <v>9852445.0430762172</v>
      </c>
      <c r="C14" s="126">
        <f t="shared" ca="1" si="0"/>
        <v>1047130.9296609261</v>
      </c>
      <c r="D14" s="126"/>
    </row>
    <row r="15" spans="1:4">
      <c r="A15" s="63" t="s">
        <v>365</v>
      </c>
      <c r="B15" s="121">
        <v>12640.00881668177</v>
      </c>
      <c r="C15" s="126">
        <f t="shared" ca="1" si="0"/>
        <v>1369.5028741413994</v>
      </c>
      <c r="D15" s="126"/>
    </row>
    <row r="16" spans="1:4">
      <c r="A16" s="63" t="s">
        <v>202</v>
      </c>
      <c r="B16" s="121">
        <v>0</v>
      </c>
      <c r="C16" s="126">
        <f t="shared" ca="1" si="0"/>
        <v>0</v>
      </c>
      <c r="D16" s="126"/>
    </row>
    <row r="17" spans="1:4">
      <c r="A17" s="63" t="s">
        <v>367</v>
      </c>
      <c r="B17" s="121">
        <v>0</v>
      </c>
      <c r="C17" s="126">
        <f t="shared" ca="1" si="0"/>
        <v>0</v>
      </c>
      <c r="D17" s="126"/>
    </row>
    <row r="18" spans="1:4">
      <c r="A18" s="63" t="s">
        <v>369</v>
      </c>
      <c r="B18" s="121">
        <v>175682.04940149968</v>
      </c>
      <c r="C18" s="126">
        <f t="shared" ca="1" si="0"/>
        <v>19420.144213292748</v>
      </c>
      <c r="D18" s="126"/>
    </row>
    <row r="19" spans="1:4">
      <c r="A19" s="63" t="s">
        <v>370</v>
      </c>
      <c r="B19" s="121">
        <v>0</v>
      </c>
      <c r="C19" s="126">
        <f t="shared" ca="1" si="0"/>
        <v>0</v>
      </c>
      <c r="D19" s="126"/>
    </row>
    <row r="20" spans="1:4">
      <c r="A20" s="63" t="s">
        <v>368</v>
      </c>
      <c r="B20" s="121">
        <v>59202.038035014833</v>
      </c>
      <c r="C20" s="126">
        <f t="shared" ca="1" si="0"/>
        <v>5431.0328975323009</v>
      </c>
      <c r="D20" s="126"/>
    </row>
    <row r="21" spans="1:4">
      <c r="A21" s="63" t="s">
        <v>371</v>
      </c>
      <c r="B21" s="121">
        <v>0</v>
      </c>
      <c r="C21" s="126">
        <f t="shared" ca="1" si="0"/>
        <v>0</v>
      </c>
      <c r="D21" s="126"/>
    </row>
    <row r="22" spans="1:4">
      <c r="A22" s="63"/>
      <c r="B22" s="121"/>
      <c r="C22" s="126"/>
      <c r="D22" s="126"/>
    </row>
    <row r="23" spans="1:4">
      <c r="A23" s="63" t="s">
        <v>372</v>
      </c>
      <c r="B23" s="121">
        <v>4544494.3299699845</v>
      </c>
      <c r="C23" s="126">
        <f t="shared" ca="1" si="0"/>
        <v>383191.7619030691</v>
      </c>
      <c r="D23" s="126"/>
    </row>
    <row r="24" spans="1:4">
      <c r="A24" s="63" t="s">
        <v>376</v>
      </c>
      <c r="B24" s="121">
        <v>0</v>
      </c>
      <c r="C24" s="126">
        <f t="shared" ca="1" si="0"/>
        <v>0</v>
      </c>
      <c r="D24" s="126"/>
    </row>
    <row r="25" spans="1:4">
      <c r="A25" s="63" t="s">
        <v>377</v>
      </c>
      <c r="B25" s="121">
        <v>0</v>
      </c>
      <c r="C25" s="126">
        <f t="shared" ca="1" si="0"/>
        <v>0</v>
      </c>
      <c r="D25" s="126"/>
    </row>
    <row r="26" spans="1:4">
      <c r="A26" s="63" t="s">
        <v>378</v>
      </c>
      <c r="B26" s="121">
        <v>0</v>
      </c>
      <c r="C26" s="126">
        <f t="shared" ca="1" si="0"/>
        <v>0</v>
      </c>
      <c r="D26" s="126"/>
    </row>
    <row r="27" spans="1:4">
      <c r="A27" s="63" t="s">
        <v>373</v>
      </c>
      <c r="B27" s="121">
        <v>1470179.2285329853</v>
      </c>
      <c r="C27" s="126">
        <f t="shared" ca="1" si="0"/>
        <v>108146.38405088639</v>
      </c>
      <c r="D27" s="126"/>
    </row>
    <row r="28" spans="1:4">
      <c r="A28" s="63" t="s">
        <v>374</v>
      </c>
      <c r="B28" s="121">
        <v>0</v>
      </c>
      <c r="C28" s="126">
        <f t="shared" ca="1" si="0"/>
        <v>0</v>
      </c>
      <c r="D28" s="126"/>
    </row>
    <row r="29" spans="1:4">
      <c r="A29" s="63" t="s">
        <v>375</v>
      </c>
      <c r="B29" s="121">
        <v>0</v>
      </c>
      <c r="C29" s="126">
        <f ca="1">IFERROR(INDIRECT("'"&amp;A29&amp;"'!N53"),0)</f>
        <v>0</v>
      </c>
      <c r="D29" s="126"/>
    </row>
    <row r="30" spans="1:4">
      <c r="A30" s="63"/>
      <c r="B30" s="121"/>
      <c r="C30" s="126"/>
      <c r="D30" s="126"/>
    </row>
    <row r="31" spans="1:4">
      <c r="A31" s="116" t="s">
        <v>379</v>
      </c>
      <c r="B31" s="121">
        <v>1427409.2628686654</v>
      </c>
      <c r="C31" s="126">
        <f t="shared" ca="1" si="0"/>
        <v>120359.14904508587</v>
      </c>
      <c r="D31" s="126"/>
    </row>
    <row r="32" spans="1:4">
      <c r="A32" s="116" t="s">
        <v>380</v>
      </c>
      <c r="B32" s="121">
        <v>40716.039298950804</v>
      </c>
      <c r="C32" s="126">
        <f t="shared" ca="1" si="0"/>
        <v>2995.0718508308209</v>
      </c>
      <c r="D32" s="126"/>
    </row>
    <row r="33" spans="1:4">
      <c r="A33" s="63"/>
      <c r="B33" s="121"/>
      <c r="C33" s="126"/>
      <c r="D33" s="126"/>
    </row>
    <row r="34" spans="1:4">
      <c r="A34" s="116" t="s">
        <v>384</v>
      </c>
      <c r="B34" s="121">
        <v>0</v>
      </c>
      <c r="C34" s="126">
        <f t="shared" ca="1" si="0"/>
        <v>0</v>
      </c>
      <c r="D34" s="126"/>
    </row>
    <row r="35" spans="1:4">
      <c r="A35" s="116" t="s">
        <v>381</v>
      </c>
      <c r="B35" s="121">
        <v>0</v>
      </c>
      <c r="C35" s="126">
        <f t="shared" ca="1" si="0"/>
        <v>0</v>
      </c>
      <c r="D35" s="126"/>
    </row>
    <row r="36" spans="1:4">
      <c r="A36" s="116" t="s">
        <v>382</v>
      </c>
      <c r="B36" s="121">
        <v>0</v>
      </c>
      <c r="C36" s="126">
        <f t="shared" ca="1" si="0"/>
        <v>0</v>
      </c>
      <c r="D36" s="126"/>
    </row>
    <row r="37" spans="1:4">
      <c r="A37" s="116" t="s">
        <v>383</v>
      </c>
      <c r="B37" s="121">
        <v>0</v>
      </c>
      <c r="C37" s="126">
        <f t="shared" ca="1" si="0"/>
        <v>0</v>
      </c>
      <c r="D37" s="124"/>
    </row>
    <row r="38" spans="1:4">
      <c r="A38" s="63"/>
      <c r="B38" s="122"/>
      <c r="C38" s="126"/>
      <c r="D38" s="124"/>
    </row>
    <row r="39" spans="1:4">
      <c r="A39" s="93" t="s">
        <v>35</v>
      </c>
      <c r="B39" s="122">
        <v>0</v>
      </c>
      <c r="C39" s="126">
        <f t="shared" ca="1" si="0"/>
        <v>0</v>
      </c>
      <c r="D39" s="124"/>
    </row>
    <row r="40" spans="1:4">
      <c r="A40" s="63" t="s">
        <v>36</v>
      </c>
      <c r="B40" s="122">
        <v>0</v>
      </c>
      <c r="C40" s="126">
        <f t="shared" ca="1" si="0"/>
        <v>0</v>
      </c>
      <c r="D40" s="124"/>
    </row>
    <row r="41" spans="1:4">
      <c r="A41" s="63"/>
      <c r="B41" s="122"/>
      <c r="C41" s="126"/>
      <c r="D41" s="124"/>
    </row>
    <row r="42" spans="1:4">
      <c r="A42" s="63" t="s">
        <v>34</v>
      </c>
      <c r="B42" s="122">
        <v>0</v>
      </c>
      <c r="C42" s="126">
        <f t="shared" ca="1" si="0"/>
        <v>0</v>
      </c>
      <c r="D42" s="124"/>
    </row>
    <row r="43" spans="1:4">
      <c r="A43" s="128"/>
      <c r="B43" s="129"/>
      <c r="C43" s="130"/>
      <c r="D43" s="139"/>
    </row>
    <row r="44" spans="1:4">
      <c r="A44" s="127" t="s">
        <v>360</v>
      </c>
      <c r="B44" s="131">
        <f>SUM(B10:B43)</f>
        <v>116174972</v>
      </c>
      <c r="C44" s="124">
        <f ca="1">SUM(C9:C43)</f>
        <v>12333767.003865333</v>
      </c>
      <c r="D44" s="124"/>
    </row>
    <row r="45" spans="1:4">
      <c r="A45" s="116"/>
      <c r="B45" s="88"/>
      <c r="C45" s="88"/>
      <c r="D45" s="88"/>
    </row>
    <row r="47" spans="1:4">
      <c r="B47" s="103"/>
      <c r="C47" s="103"/>
      <c r="D47" s="103"/>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pageSetUpPr fitToPage="1"/>
  </sheetPr>
  <dimension ref="A1:W167"/>
  <sheetViews>
    <sheetView zoomScaleNormal="100" workbookViewId="0">
      <pane xSplit="1" ySplit="9" topLeftCell="B34" activePane="bottomRight" state="frozen"/>
      <selection pane="topRight" activeCell="B1" sqref="B1"/>
      <selection pane="bottomLeft" activeCell="A10" sqref="A10"/>
      <selection pane="bottomRight" activeCell="C9" sqref="C9"/>
    </sheetView>
  </sheetViews>
  <sheetFormatPr defaultColWidth="9.140625" defaultRowHeight="12.75"/>
  <cols>
    <col min="1" max="1" width="17.5703125" style="453" customWidth="1"/>
    <col min="2" max="5" width="17.140625" style="113" customWidth="1"/>
    <col min="6" max="6" width="9.140625" style="28" customWidth="1"/>
    <col min="7" max="7" width="14" style="28" bestFit="1" customWidth="1"/>
    <col min="8" max="8" width="9.140625" style="28"/>
    <col min="9" max="9" width="12.140625" style="28" bestFit="1" customWidth="1"/>
    <col min="10" max="10" width="9.140625" style="28"/>
    <col min="11" max="11" width="12.140625" style="28" bestFit="1" customWidth="1"/>
    <col min="12" max="12" width="9.140625" style="28"/>
    <col min="13" max="13" width="15.5703125" style="28" bestFit="1" customWidth="1"/>
    <col min="14" max="14" width="14.85546875" style="28" bestFit="1" customWidth="1"/>
    <col min="15" max="18" width="9.140625" style="28"/>
    <col min="19" max="19" width="14.85546875" style="113" bestFit="1" customWidth="1"/>
    <col min="20" max="22" width="9.140625" style="28"/>
    <col min="23" max="23" width="15.42578125" style="28" bestFit="1" customWidth="1"/>
    <col min="24" max="16384" width="9.140625" style="28"/>
  </cols>
  <sheetData>
    <row r="1" spans="1:23">
      <c r="A1" s="453" t="str">
        <f>+RS!B2</f>
        <v>KENTUCKY POWER BILLING ANALYSIS</v>
      </c>
    </row>
    <row r="2" spans="1:23">
      <c r="A2" s="453" t="str">
        <f>+RS!B3</f>
        <v>PER BOOKS</v>
      </c>
    </row>
    <row r="3" spans="1:23">
      <c r="A3" s="453" t="str">
        <f>+RS!B4</f>
        <v>TEST YEAR ENDED MARCH 31, 2023</v>
      </c>
    </row>
    <row r="5" spans="1:23">
      <c r="A5" s="453" t="s">
        <v>99</v>
      </c>
      <c r="B5" s="552"/>
    </row>
    <row r="6" spans="1:23" s="35" customFormat="1">
      <c r="A6" s="553"/>
      <c r="B6" s="190"/>
      <c r="C6" s="123"/>
      <c r="D6" s="123"/>
      <c r="E6" s="123"/>
      <c r="S6" s="123"/>
    </row>
    <row r="7" spans="1:23" s="35" customFormat="1">
      <c r="A7" s="553"/>
      <c r="B7" s="123" t="s">
        <v>3</v>
      </c>
      <c r="C7" s="123"/>
      <c r="D7" s="123" t="s">
        <v>123</v>
      </c>
      <c r="E7" s="123"/>
      <c r="G7" s="35" t="s">
        <v>3</v>
      </c>
      <c r="I7" s="35" t="s">
        <v>71</v>
      </c>
      <c r="N7" s="35" t="s">
        <v>319</v>
      </c>
      <c r="S7" s="123" t="s">
        <v>741</v>
      </c>
    </row>
    <row r="8" spans="1:23" s="35" customFormat="1">
      <c r="A8" s="553"/>
      <c r="B8" s="123" t="s">
        <v>70</v>
      </c>
      <c r="C8" s="123"/>
      <c r="D8" s="123" t="s">
        <v>70</v>
      </c>
      <c r="E8" s="554"/>
      <c r="G8" s="35" t="s">
        <v>159</v>
      </c>
      <c r="K8" s="35" t="s">
        <v>817</v>
      </c>
      <c r="N8" s="35" t="s">
        <v>6</v>
      </c>
      <c r="S8" s="123" t="s">
        <v>6</v>
      </c>
    </row>
    <row r="9" spans="1:23" s="35" customFormat="1">
      <c r="A9" s="555" t="s">
        <v>2</v>
      </c>
      <c r="B9" s="357" t="s">
        <v>6</v>
      </c>
      <c r="C9" s="357" t="s">
        <v>162</v>
      </c>
      <c r="D9" s="357" t="s">
        <v>6</v>
      </c>
      <c r="E9" s="357"/>
      <c r="G9" s="35" t="s">
        <v>6</v>
      </c>
      <c r="I9" s="35" t="s">
        <v>6</v>
      </c>
      <c r="K9" s="35" t="s">
        <v>6</v>
      </c>
      <c r="S9" s="123"/>
      <c r="W9" s="35" t="s">
        <v>816</v>
      </c>
    </row>
    <row r="10" spans="1:23">
      <c r="A10" s="555"/>
      <c r="B10" s="357"/>
      <c r="C10" s="357"/>
      <c r="D10" s="357"/>
      <c r="E10" s="357"/>
      <c r="L10" s="28" t="s">
        <v>694</v>
      </c>
      <c r="M10" s="28" t="s">
        <v>695</v>
      </c>
      <c r="N10" s="28" t="s">
        <v>696</v>
      </c>
      <c r="Q10" s="35"/>
      <c r="R10" s="35"/>
      <c r="S10" s="123"/>
      <c r="V10" s="35"/>
    </row>
    <row r="11" spans="1:23">
      <c r="A11" s="556" t="s">
        <v>385</v>
      </c>
      <c r="B11" s="113">
        <f>N11</f>
        <v>329206.63</v>
      </c>
      <c r="D11" s="113">
        <f t="shared" ref="D11:D19" si="0">B11+C11</f>
        <v>329206.63</v>
      </c>
      <c r="G11" s="113">
        <f>S11</f>
        <v>330956.33</v>
      </c>
      <c r="H11" s="113"/>
      <c r="I11" s="113">
        <f>B11-G11</f>
        <v>-1749.7000000000116</v>
      </c>
      <c r="K11" s="113">
        <f>W11</f>
        <v>81003.16</v>
      </c>
      <c r="L11" s="28">
        <v>11</v>
      </c>
      <c r="M11" s="28" t="s">
        <v>622</v>
      </c>
      <c r="N11" s="557">
        <v>329206.63</v>
      </c>
      <c r="Q11" s="28">
        <v>11</v>
      </c>
      <c r="R11" s="28" t="s">
        <v>697</v>
      </c>
      <c r="S11" s="113">
        <v>330956.33</v>
      </c>
      <c r="V11" s="28" t="s">
        <v>744</v>
      </c>
      <c r="W11" s="113">
        <v>81003.16</v>
      </c>
    </row>
    <row r="12" spans="1:23">
      <c r="A12" s="558" t="s">
        <v>386</v>
      </c>
      <c r="B12" s="113">
        <f t="shared" ref="B12:B16" si="1">N12</f>
        <v>28979.379999999997</v>
      </c>
      <c r="D12" s="113">
        <f t="shared" si="0"/>
        <v>28979.379999999997</v>
      </c>
      <c r="G12" s="113">
        <f t="shared" ref="G12:G16" si="2">S12</f>
        <v>29229.19</v>
      </c>
      <c r="H12" s="113"/>
      <c r="I12" s="113">
        <f t="shared" ref="I12:I19" si="3">B12-G12</f>
        <v>-249.81000000000131</v>
      </c>
      <c r="K12" s="113">
        <f t="shared" ref="K12:K16" si="4">W12</f>
        <v>7286.8399999999992</v>
      </c>
      <c r="L12" s="28">
        <v>12</v>
      </c>
      <c r="M12" s="28" t="s">
        <v>623</v>
      </c>
      <c r="N12" s="557">
        <v>28979.379999999997</v>
      </c>
      <c r="Q12" s="453">
        <v>12</v>
      </c>
      <c r="R12" s="28" t="s">
        <v>698</v>
      </c>
      <c r="S12" s="113">
        <v>29229.19</v>
      </c>
      <c r="V12" s="28" t="s">
        <v>745</v>
      </c>
      <c r="W12" s="113">
        <v>7286.8399999999992</v>
      </c>
    </row>
    <row r="13" spans="1:23">
      <c r="A13" s="556" t="s">
        <v>387</v>
      </c>
      <c r="B13" s="113">
        <f t="shared" si="1"/>
        <v>2643.7900000000004</v>
      </c>
      <c r="D13" s="113">
        <f t="shared" si="0"/>
        <v>2643.7900000000004</v>
      </c>
      <c r="G13" s="113">
        <f t="shared" si="2"/>
        <v>2665.45</v>
      </c>
      <c r="H13" s="113"/>
      <c r="I13" s="113">
        <f t="shared" si="3"/>
        <v>-21.6599999999994</v>
      </c>
      <c r="K13" s="113">
        <f t="shared" si="4"/>
        <v>692.38</v>
      </c>
      <c r="L13" s="28">
        <v>13</v>
      </c>
      <c r="M13" s="28" t="s">
        <v>624</v>
      </c>
      <c r="N13" s="557">
        <v>2643.7900000000004</v>
      </c>
      <c r="Q13" s="453">
        <v>13</v>
      </c>
      <c r="R13" s="28" t="s">
        <v>699</v>
      </c>
      <c r="S13" s="113">
        <v>2665.45</v>
      </c>
      <c r="V13" s="28" t="s">
        <v>746</v>
      </c>
      <c r="W13" s="113">
        <v>692.38</v>
      </c>
    </row>
    <row r="14" spans="1:23">
      <c r="A14" s="556" t="s">
        <v>388</v>
      </c>
      <c r="B14" s="113">
        <f t="shared" si="1"/>
        <v>31173.96</v>
      </c>
      <c r="D14" s="113">
        <f t="shared" si="0"/>
        <v>31173.96</v>
      </c>
      <c r="G14" s="113">
        <f t="shared" si="2"/>
        <v>31469.919999999998</v>
      </c>
      <c r="H14" s="113"/>
      <c r="I14" s="113">
        <f t="shared" si="3"/>
        <v>-295.95999999999913</v>
      </c>
      <c r="K14" s="113">
        <f t="shared" si="4"/>
        <v>8056.69</v>
      </c>
      <c r="L14" s="28">
        <v>14</v>
      </c>
      <c r="M14" s="28" t="s">
        <v>625</v>
      </c>
      <c r="N14" s="557">
        <v>31173.96</v>
      </c>
      <c r="Q14" s="453">
        <v>14</v>
      </c>
      <c r="R14" s="28" t="s">
        <v>700</v>
      </c>
      <c r="S14" s="113">
        <v>31469.919999999998</v>
      </c>
      <c r="V14" s="28" t="s">
        <v>747</v>
      </c>
      <c r="W14" s="113">
        <v>8056.69</v>
      </c>
    </row>
    <row r="15" spans="1:23">
      <c r="A15" s="556" t="s">
        <v>389</v>
      </c>
      <c r="B15" s="113">
        <f t="shared" si="1"/>
        <v>140986104.42000002</v>
      </c>
      <c r="D15" s="113">
        <f t="shared" si="0"/>
        <v>140986104.42000002</v>
      </c>
      <c r="G15" s="113">
        <f t="shared" si="2"/>
        <v>141686491.44</v>
      </c>
      <c r="H15" s="113"/>
      <c r="I15" s="113">
        <f t="shared" si="3"/>
        <v>-700387.01999998093</v>
      </c>
      <c r="K15" s="113">
        <f t="shared" si="4"/>
        <v>33899122.650000006</v>
      </c>
      <c r="L15" s="28">
        <v>15</v>
      </c>
      <c r="M15" s="28" t="s">
        <v>626</v>
      </c>
      <c r="N15" s="557">
        <v>140986104.42000002</v>
      </c>
      <c r="Q15" s="453">
        <v>15</v>
      </c>
      <c r="R15" s="28" t="s">
        <v>701</v>
      </c>
      <c r="S15" s="113">
        <v>141686491.44</v>
      </c>
      <c r="V15" s="28" t="s">
        <v>748</v>
      </c>
      <c r="W15" s="113">
        <v>33899122.650000006</v>
      </c>
    </row>
    <row r="16" spans="1:23">
      <c r="A16" s="556" t="s">
        <v>390</v>
      </c>
      <c r="B16" s="113">
        <f t="shared" si="1"/>
        <v>785907.32</v>
      </c>
      <c r="D16" s="113">
        <f t="shared" si="0"/>
        <v>785907.32</v>
      </c>
      <c r="G16" s="113">
        <f t="shared" si="2"/>
        <v>792845.7</v>
      </c>
      <c r="H16" s="113"/>
      <c r="I16" s="113">
        <f t="shared" si="3"/>
        <v>-6938.3800000000047</v>
      </c>
      <c r="K16" s="113">
        <f t="shared" si="4"/>
        <v>191403.12</v>
      </c>
      <c r="L16" s="28">
        <v>17</v>
      </c>
      <c r="M16" s="28" t="s">
        <v>627</v>
      </c>
      <c r="N16" s="557">
        <v>785907.32</v>
      </c>
      <c r="Q16" s="453">
        <v>17</v>
      </c>
      <c r="R16" s="28" t="s">
        <v>702</v>
      </c>
      <c r="S16" s="113">
        <v>792845.7</v>
      </c>
      <c r="V16" s="28" t="s">
        <v>749</v>
      </c>
      <c r="W16" s="113">
        <v>191403.12</v>
      </c>
    </row>
    <row r="17" spans="1:23">
      <c r="A17" s="556" t="s">
        <v>391</v>
      </c>
      <c r="B17" s="113">
        <v>0</v>
      </c>
      <c r="D17" s="113">
        <f t="shared" si="0"/>
        <v>0</v>
      </c>
      <c r="G17" s="113">
        <v>0</v>
      </c>
      <c r="H17" s="113"/>
      <c r="I17" s="113">
        <f t="shared" si="3"/>
        <v>0</v>
      </c>
      <c r="K17" s="113">
        <v>0</v>
      </c>
      <c r="N17" s="557"/>
      <c r="Q17" s="453"/>
      <c r="W17" s="113"/>
    </row>
    <row r="18" spans="1:23">
      <c r="A18" s="556" t="s">
        <v>392</v>
      </c>
      <c r="B18" s="113">
        <f>N18</f>
        <v>158908716.65999997</v>
      </c>
      <c r="D18" s="113">
        <f t="shared" si="0"/>
        <v>158908716.65999997</v>
      </c>
      <c r="G18" s="113">
        <f>S18</f>
        <v>160057283.58000001</v>
      </c>
      <c r="H18" s="113"/>
      <c r="I18" s="113">
        <f t="shared" si="3"/>
        <v>-1148566.9200000465</v>
      </c>
      <c r="K18" s="113">
        <f>W18</f>
        <v>37718749.039999999</v>
      </c>
      <c r="L18" s="28">
        <v>22</v>
      </c>
      <c r="M18" s="28" t="s">
        <v>628</v>
      </c>
      <c r="N18" s="557">
        <v>158908716.65999997</v>
      </c>
      <c r="Q18" s="453">
        <v>22</v>
      </c>
      <c r="R18" s="28" t="s">
        <v>703</v>
      </c>
      <c r="S18" s="113">
        <v>160057283.58000001</v>
      </c>
      <c r="V18" s="28" t="s">
        <v>750</v>
      </c>
      <c r="W18" s="113">
        <v>37718749.039999999</v>
      </c>
    </row>
    <row r="19" spans="1:23">
      <c r="A19" s="559" t="s">
        <v>398</v>
      </c>
      <c r="B19" s="120">
        <v>0</v>
      </c>
      <c r="C19" s="120"/>
      <c r="D19" s="120">
        <f t="shared" si="0"/>
        <v>0</v>
      </c>
      <c r="E19" s="120"/>
      <c r="G19" s="120">
        <v>0</v>
      </c>
      <c r="H19" s="120"/>
      <c r="I19" s="120">
        <f t="shared" si="3"/>
        <v>0</v>
      </c>
      <c r="K19" s="120">
        <v>0</v>
      </c>
      <c r="L19" s="28">
        <v>28</v>
      </c>
      <c r="M19" s="28" t="s">
        <v>629</v>
      </c>
      <c r="N19" s="557">
        <v>18479.269999999997</v>
      </c>
      <c r="Q19" s="453">
        <v>28</v>
      </c>
      <c r="R19" s="28" t="s">
        <v>704</v>
      </c>
      <c r="S19" s="113">
        <v>18659.34</v>
      </c>
      <c r="V19" s="28" t="s">
        <v>751</v>
      </c>
      <c r="W19" s="113">
        <v>4605.18</v>
      </c>
    </row>
    <row r="20" spans="1:23">
      <c r="A20" s="556" t="s">
        <v>224</v>
      </c>
      <c r="B20" s="113">
        <f t="shared" ref="B20:C20" si="5">SUM(B11:B19)</f>
        <v>301072732.15999997</v>
      </c>
      <c r="C20" s="113">
        <f t="shared" si="5"/>
        <v>0</v>
      </c>
      <c r="D20" s="113">
        <f>SUM(B20:C20)</f>
        <v>301072732.15999997</v>
      </c>
      <c r="G20" s="113">
        <f t="shared" ref="G20" si="6">SUM(G11:G19)</f>
        <v>302930941.61000001</v>
      </c>
      <c r="H20" s="113">
        <f t="shared" ref="H20" si="7">SUM(H11:H19)</f>
        <v>0</v>
      </c>
      <c r="I20" s="113">
        <f>SUM(I11:I19)</f>
        <v>-1858209.4500000274</v>
      </c>
      <c r="K20" s="113">
        <f t="shared" ref="K20" si="8">SUM(K11:K19)</f>
        <v>71906313.879999995</v>
      </c>
      <c r="L20" s="28">
        <v>30</v>
      </c>
      <c r="M20" s="28" t="s">
        <v>630</v>
      </c>
      <c r="N20" s="557">
        <v>196413.28000000003</v>
      </c>
      <c r="Q20" s="453">
        <v>30</v>
      </c>
      <c r="R20" s="28" t="s">
        <v>705</v>
      </c>
      <c r="S20" s="113">
        <v>198507.67</v>
      </c>
      <c r="V20" s="28" t="s">
        <v>752</v>
      </c>
      <c r="W20" s="113">
        <v>47812.14</v>
      </c>
    </row>
    <row r="21" spans="1:23">
      <c r="A21" s="560"/>
      <c r="G21" s="113"/>
      <c r="H21" s="113"/>
      <c r="I21" s="113"/>
      <c r="K21" s="113"/>
      <c r="L21" s="28">
        <v>32</v>
      </c>
      <c r="M21" s="28" t="s">
        <v>631</v>
      </c>
      <c r="N21" s="557">
        <v>217085.2</v>
      </c>
      <c r="Q21" s="453">
        <v>32</v>
      </c>
      <c r="R21" s="28" t="s">
        <v>706</v>
      </c>
      <c r="S21" s="113">
        <v>218710.44</v>
      </c>
      <c r="V21" s="28" t="s">
        <v>753</v>
      </c>
      <c r="W21" s="113">
        <v>52000.75</v>
      </c>
    </row>
    <row r="22" spans="1:23">
      <c r="A22" s="556" t="s">
        <v>393</v>
      </c>
      <c r="B22" s="113">
        <f>N19</f>
        <v>18479.269999999997</v>
      </c>
      <c r="D22" s="113">
        <f>B22+C22</f>
        <v>18479.269999999997</v>
      </c>
      <c r="G22" s="113">
        <f>S19</f>
        <v>18659.34</v>
      </c>
      <c r="H22" s="113"/>
      <c r="I22" s="113">
        <f>B22-G22</f>
        <v>-180.07000000000335</v>
      </c>
      <c r="K22" s="113">
        <f>W19</f>
        <v>4605.18</v>
      </c>
      <c r="L22" s="28">
        <v>34</v>
      </c>
      <c r="M22" s="28" t="s">
        <v>632</v>
      </c>
      <c r="N22" s="557">
        <v>1612.69</v>
      </c>
      <c r="Q22" s="453">
        <v>34</v>
      </c>
      <c r="R22" s="28" t="s">
        <v>707</v>
      </c>
      <c r="S22" s="113">
        <v>1616.03</v>
      </c>
      <c r="V22" s="28" t="s">
        <v>754</v>
      </c>
      <c r="W22" s="113">
        <v>387.40999999999997</v>
      </c>
    </row>
    <row r="23" spans="1:23">
      <c r="A23" s="556" t="s">
        <v>394</v>
      </c>
      <c r="B23" s="113">
        <f t="shared" ref="B23:B25" si="9">N20</f>
        <v>196413.28000000003</v>
      </c>
      <c r="D23" s="113">
        <f>B23+C23</f>
        <v>196413.28000000003</v>
      </c>
      <c r="G23" s="113">
        <f t="shared" ref="G23:G25" si="10">S20</f>
        <v>198507.67</v>
      </c>
      <c r="H23" s="113"/>
      <c r="I23" s="113">
        <f>B23-G23</f>
        <v>-2094.3899999999849</v>
      </c>
      <c r="K23" s="113">
        <f t="shared" ref="K23:K25" si="11">W20</f>
        <v>47812.14</v>
      </c>
      <c r="L23" s="28">
        <v>36</v>
      </c>
      <c r="M23" s="28" t="s">
        <v>633</v>
      </c>
      <c r="N23" s="557">
        <v>16688.25</v>
      </c>
      <c r="Q23" s="453">
        <v>36</v>
      </c>
      <c r="R23" s="28" t="s">
        <v>708</v>
      </c>
      <c r="S23" s="113">
        <v>16617.45</v>
      </c>
      <c r="V23" s="28" t="s">
        <v>755</v>
      </c>
      <c r="W23" s="113">
        <v>3809.71</v>
      </c>
    </row>
    <row r="24" spans="1:23">
      <c r="A24" s="556" t="s">
        <v>395</v>
      </c>
      <c r="B24" s="113">
        <f t="shared" si="9"/>
        <v>217085.2</v>
      </c>
      <c r="D24" s="113">
        <f>B24+C24</f>
        <v>217085.2</v>
      </c>
      <c r="G24" s="113">
        <f t="shared" si="10"/>
        <v>218710.44</v>
      </c>
      <c r="H24" s="113"/>
      <c r="I24" s="113">
        <f>B24-G24</f>
        <v>-1625.2399999999907</v>
      </c>
      <c r="K24" s="113">
        <f t="shared" si="11"/>
        <v>52000.75</v>
      </c>
      <c r="L24" s="28">
        <v>62</v>
      </c>
      <c r="N24" s="557"/>
      <c r="Q24" s="453" t="s">
        <v>398</v>
      </c>
      <c r="W24" s="113"/>
    </row>
    <row r="25" spans="1:23">
      <c r="A25" s="559" t="s">
        <v>396</v>
      </c>
      <c r="B25" s="113">
        <f t="shared" si="9"/>
        <v>1612.69</v>
      </c>
      <c r="C25" s="120"/>
      <c r="D25" s="120">
        <f>B25+C25</f>
        <v>1612.69</v>
      </c>
      <c r="E25" s="120"/>
      <c r="G25" s="113">
        <f t="shared" si="10"/>
        <v>1616.03</v>
      </c>
      <c r="H25" s="120"/>
      <c r="I25" s="113">
        <f>B25-G25</f>
        <v>-3.3399999999999181</v>
      </c>
      <c r="K25" s="113">
        <f t="shared" si="11"/>
        <v>387.40999999999997</v>
      </c>
      <c r="L25" s="28">
        <v>93</v>
      </c>
      <c r="M25" s="28" t="s">
        <v>667</v>
      </c>
      <c r="N25" s="557">
        <v>103052.65000000001</v>
      </c>
      <c r="Q25" s="453">
        <v>93</v>
      </c>
      <c r="R25" s="28" t="s">
        <v>667</v>
      </c>
      <c r="S25" s="113">
        <v>103237.57</v>
      </c>
      <c r="V25" s="28" t="s">
        <v>756</v>
      </c>
      <c r="W25" s="113">
        <v>19020.21</v>
      </c>
    </row>
    <row r="26" spans="1:23">
      <c r="A26" s="560" t="s">
        <v>225</v>
      </c>
      <c r="B26" s="113">
        <f t="shared" ref="B26" si="12">SUM(B22:B25)</f>
        <v>433590.44</v>
      </c>
      <c r="C26" s="113">
        <f>SUM(C22:C25)</f>
        <v>0</v>
      </c>
      <c r="D26" s="113">
        <f>SUM(B26:C26)</f>
        <v>433590.44</v>
      </c>
      <c r="G26" s="113">
        <f t="shared" ref="G26" si="13">SUM(G22:G25)</f>
        <v>437493.48000000004</v>
      </c>
      <c r="H26" s="113">
        <f t="shared" ref="H26" si="14">SUM(H22:H25)</f>
        <v>0</v>
      </c>
      <c r="I26" s="113">
        <f>SUM(I22:I25)</f>
        <v>-3903.039999999979</v>
      </c>
      <c r="K26" s="113">
        <f t="shared" ref="K26" si="15">SUM(K22:K25)</f>
        <v>104805.48000000001</v>
      </c>
      <c r="L26" s="28">
        <v>94</v>
      </c>
      <c r="M26" s="28" t="s">
        <v>668</v>
      </c>
      <c r="N26" s="557">
        <v>2580685.59</v>
      </c>
      <c r="Q26" s="453">
        <v>94</v>
      </c>
      <c r="R26" s="28" t="s">
        <v>668</v>
      </c>
      <c r="S26" s="113">
        <v>2588093.7200000002</v>
      </c>
      <c r="V26" s="28" t="s">
        <v>757</v>
      </c>
      <c r="W26" s="113">
        <v>415008.07999999996</v>
      </c>
    </row>
    <row r="27" spans="1:23">
      <c r="A27" s="560"/>
      <c r="G27" s="113"/>
      <c r="H27" s="113"/>
      <c r="I27" s="113"/>
      <c r="K27" s="113"/>
      <c r="L27" s="28">
        <v>95</v>
      </c>
      <c r="M27" s="28" t="s">
        <v>669</v>
      </c>
      <c r="N27" s="557">
        <v>26568.15</v>
      </c>
      <c r="Q27" s="453">
        <v>95</v>
      </c>
      <c r="R27" s="28" t="s">
        <v>669</v>
      </c>
      <c r="S27" s="113">
        <v>26538.03</v>
      </c>
      <c r="V27" s="28" t="s">
        <v>758</v>
      </c>
      <c r="W27" s="113">
        <v>5507.62</v>
      </c>
    </row>
    <row r="28" spans="1:23">
      <c r="A28" s="559" t="s">
        <v>397</v>
      </c>
      <c r="B28" s="120">
        <f>N23</f>
        <v>16688.25</v>
      </c>
      <c r="C28" s="120"/>
      <c r="D28" s="120">
        <f>B28+C28</f>
        <v>16688.25</v>
      </c>
      <c r="E28" s="120"/>
      <c r="G28" s="120">
        <f>S23</f>
        <v>16617.45</v>
      </c>
      <c r="H28" s="120"/>
      <c r="I28" s="113">
        <f>B28-G28</f>
        <v>70.799999999999272</v>
      </c>
      <c r="K28" s="120">
        <f>W23</f>
        <v>3809.71</v>
      </c>
      <c r="L28" s="28">
        <v>97</v>
      </c>
      <c r="M28" s="28" t="s">
        <v>670</v>
      </c>
      <c r="N28" s="557">
        <v>354348.1100000001</v>
      </c>
      <c r="Q28" s="453">
        <v>97</v>
      </c>
      <c r="R28" s="28" t="s">
        <v>670</v>
      </c>
      <c r="S28" s="113">
        <v>354174.37</v>
      </c>
      <c r="V28" s="28" t="s">
        <v>759</v>
      </c>
      <c r="W28" s="113">
        <v>67417.650000000009</v>
      </c>
    </row>
    <row r="29" spans="1:23">
      <c r="A29" s="556" t="s">
        <v>226</v>
      </c>
      <c r="B29" s="113">
        <f t="shared" ref="B29:C29" si="16">B28</f>
        <v>16688.25</v>
      </c>
      <c r="C29" s="113">
        <f t="shared" si="16"/>
        <v>0</v>
      </c>
      <c r="D29" s="113">
        <f>SUM(B29:C29)</f>
        <v>16688.25</v>
      </c>
      <c r="G29" s="113">
        <f t="shared" ref="G29" si="17">G28</f>
        <v>16617.45</v>
      </c>
      <c r="H29" s="113">
        <f t="shared" ref="H29" si="18">H28</f>
        <v>0</v>
      </c>
      <c r="I29" s="113">
        <f>I28</f>
        <v>70.799999999999272</v>
      </c>
      <c r="K29" s="113">
        <f t="shared" ref="K29" si="19">K28</f>
        <v>3809.71</v>
      </c>
      <c r="L29" s="28">
        <v>98</v>
      </c>
      <c r="M29" s="28" t="s">
        <v>671</v>
      </c>
      <c r="N29" s="557">
        <v>97450.289999999979</v>
      </c>
      <c r="Q29" s="453">
        <v>98</v>
      </c>
      <c r="R29" s="28" t="s">
        <v>671</v>
      </c>
      <c r="S29" s="113">
        <v>97082.4</v>
      </c>
      <c r="V29" s="28" t="s">
        <v>760</v>
      </c>
      <c r="W29" s="113">
        <v>20124.440000000002</v>
      </c>
    </row>
    <row r="30" spans="1:23">
      <c r="A30" s="560"/>
      <c r="G30" s="113"/>
      <c r="H30" s="113"/>
      <c r="I30" s="113"/>
      <c r="K30" s="113"/>
      <c r="L30" s="28">
        <v>99</v>
      </c>
      <c r="M30" s="28" t="s">
        <v>672</v>
      </c>
      <c r="N30" s="557">
        <v>1130.8900000000001</v>
      </c>
      <c r="Q30" s="453">
        <v>99</v>
      </c>
      <c r="R30" s="28" t="s">
        <v>672</v>
      </c>
      <c r="S30" s="113">
        <v>1128.1600000000001</v>
      </c>
      <c r="V30" s="28" t="s">
        <v>761</v>
      </c>
      <c r="W30" s="113">
        <v>215.22</v>
      </c>
    </row>
    <row r="31" spans="1:23" s="562" customFormat="1">
      <c r="A31" s="561" t="s">
        <v>457</v>
      </c>
      <c r="B31" s="337">
        <f t="shared" ref="B31:D31" si="20">B20+B26+B29</f>
        <v>301523010.84999996</v>
      </c>
      <c r="C31" s="337">
        <f t="shared" si="20"/>
        <v>0</v>
      </c>
      <c r="D31" s="337">
        <f t="shared" si="20"/>
        <v>301523010.84999996</v>
      </c>
      <c r="E31" s="337"/>
      <c r="G31" s="337">
        <f t="shared" ref="G31" si="21">G20+G26+G29</f>
        <v>303385052.54000002</v>
      </c>
      <c r="H31" s="337">
        <f t="shared" ref="H31" si="22">H20+H26+H29</f>
        <v>0</v>
      </c>
      <c r="I31" s="337">
        <f>I20+I26+I29</f>
        <v>-1862041.6900000274</v>
      </c>
      <c r="K31" s="337">
        <f t="shared" ref="K31" si="23">K20+K26+K29</f>
        <v>72014929.069999993</v>
      </c>
      <c r="L31" s="28">
        <v>103</v>
      </c>
      <c r="M31" s="28" t="s">
        <v>673</v>
      </c>
      <c r="N31" s="557">
        <v>926.04</v>
      </c>
      <c r="O31" s="28"/>
      <c r="P31" s="28"/>
      <c r="Q31" s="453">
        <v>103</v>
      </c>
      <c r="R31" s="28" t="s">
        <v>673</v>
      </c>
      <c r="S31" s="113">
        <v>921.73</v>
      </c>
      <c r="V31" s="28" t="s">
        <v>762</v>
      </c>
      <c r="W31" s="113">
        <v>178.32</v>
      </c>
    </row>
    <row r="32" spans="1:23">
      <c r="A32" s="560"/>
      <c r="B32" s="28"/>
      <c r="C32" s="28"/>
      <c r="D32" s="28"/>
      <c r="E32" s="28"/>
      <c r="L32" s="28">
        <v>107</v>
      </c>
      <c r="M32" s="28" t="s">
        <v>674</v>
      </c>
      <c r="N32" s="557">
        <v>418990.23</v>
      </c>
      <c r="Q32" s="453">
        <v>107</v>
      </c>
      <c r="R32" s="28" t="s">
        <v>674</v>
      </c>
      <c r="S32" s="113">
        <v>418121.38</v>
      </c>
      <c r="V32" s="28" t="s">
        <v>763</v>
      </c>
      <c r="W32" s="113">
        <v>77658.53</v>
      </c>
    </row>
    <row r="33" spans="1:23">
      <c r="A33" s="556" t="s">
        <v>419</v>
      </c>
      <c r="B33" s="113">
        <f>N55</f>
        <v>29336021.210000001</v>
      </c>
      <c r="C33" s="28"/>
      <c r="D33" s="113">
        <f>B33+C33</f>
        <v>29336021.210000001</v>
      </c>
      <c r="E33" s="28"/>
      <c r="G33" s="113">
        <f>S55</f>
        <v>29391414.940000001</v>
      </c>
      <c r="H33" s="113"/>
      <c r="I33" s="113">
        <f>B33-G33</f>
        <v>-55393.730000000447</v>
      </c>
      <c r="K33" s="113">
        <f>W55</f>
        <v>6769168.4199999999</v>
      </c>
      <c r="L33" s="28">
        <v>109</v>
      </c>
      <c r="M33" s="28" t="s">
        <v>675</v>
      </c>
      <c r="N33" s="557">
        <v>1537194.9300000002</v>
      </c>
      <c r="Q33" s="453">
        <v>109</v>
      </c>
      <c r="R33" s="28" t="s">
        <v>675</v>
      </c>
      <c r="S33" s="113">
        <v>1537770.51</v>
      </c>
      <c r="V33" s="28" t="s">
        <v>764</v>
      </c>
      <c r="W33" s="563">
        <v>316754.66000000003</v>
      </c>
    </row>
    <row r="34" spans="1:23">
      <c r="A34" s="556" t="s">
        <v>420</v>
      </c>
      <c r="B34" s="113">
        <f>N57</f>
        <v>850.8</v>
      </c>
      <c r="C34" s="28"/>
      <c r="D34" s="113">
        <f>B34+C34</f>
        <v>850.8</v>
      </c>
      <c r="E34" s="28"/>
      <c r="G34" s="113">
        <f>S57</f>
        <v>850.96</v>
      </c>
      <c r="H34" s="113"/>
      <c r="I34" s="113">
        <f>B34-G34</f>
        <v>-0.16000000000008185</v>
      </c>
      <c r="K34" s="113">
        <f>W57</f>
        <v>188.12</v>
      </c>
      <c r="L34" s="28">
        <v>110</v>
      </c>
      <c r="M34" s="28" t="s">
        <v>676</v>
      </c>
      <c r="N34" s="557">
        <v>54576.42</v>
      </c>
      <c r="Q34" s="453">
        <v>110</v>
      </c>
      <c r="R34" s="28" t="s">
        <v>676</v>
      </c>
      <c r="S34" s="563">
        <v>54467.7</v>
      </c>
      <c r="V34" s="562" t="s">
        <v>765</v>
      </c>
      <c r="W34" s="113">
        <v>10187.5</v>
      </c>
    </row>
    <row r="35" spans="1:23">
      <c r="A35" s="556" t="s">
        <v>423</v>
      </c>
      <c r="B35" s="113">
        <f>N60</f>
        <v>73786162.61999999</v>
      </c>
      <c r="D35" s="113">
        <f>B35+C35</f>
        <v>73786162.61999999</v>
      </c>
      <c r="G35" s="113">
        <f>S60</f>
        <v>73979332.760000005</v>
      </c>
      <c r="H35" s="113"/>
      <c r="I35" s="113">
        <f>B35-G35</f>
        <v>-193170.1400000155</v>
      </c>
      <c r="K35" s="113">
        <f>W60</f>
        <v>18028035.280000001</v>
      </c>
      <c r="L35" s="28">
        <v>111</v>
      </c>
      <c r="M35" s="28" t="s">
        <v>677</v>
      </c>
      <c r="N35" s="557">
        <v>181047.22000000003</v>
      </c>
      <c r="Q35" s="453">
        <v>111</v>
      </c>
      <c r="R35" s="562" t="s">
        <v>677</v>
      </c>
      <c r="S35" s="113">
        <v>182208.22</v>
      </c>
      <c r="V35" s="28" t="s">
        <v>766</v>
      </c>
      <c r="W35" s="113">
        <v>28841.56</v>
      </c>
    </row>
    <row r="36" spans="1:23">
      <c r="A36" s="556" t="s">
        <v>424</v>
      </c>
      <c r="B36" s="113">
        <v>0</v>
      </c>
      <c r="D36" s="113">
        <f>B36+C36</f>
        <v>0</v>
      </c>
      <c r="G36" s="113">
        <v>0</v>
      </c>
      <c r="H36" s="113"/>
      <c r="I36" s="113">
        <f>B36-G36</f>
        <v>0</v>
      </c>
      <c r="K36" s="113">
        <v>0</v>
      </c>
      <c r="L36" s="28">
        <v>113</v>
      </c>
      <c r="M36" s="28" t="s">
        <v>678</v>
      </c>
      <c r="N36" s="557">
        <v>3099902.4000000004</v>
      </c>
      <c r="O36" s="562"/>
      <c r="P36" s="562"/>
      <c r="Q36" s="453">
        <v>113</v>
      </c>
      <c r="R36" s="28" t="s">
        <v>678</v>
      </c>
      <c r="S36" s="113">
        <v>3115385.62</v>
      </c>
      <c r="V36" s="28" t="s">
        <v>767</v>
      </c>
      <c r="W36" s="113">
        <v>540353.25</v>
      </c>
    </row>
    <row r="37" spans="1:23">
      <c r="A37" s="559" t="s">
        <v>426</v>
      </c>
      <c r="B37" s="120">
        <f>N62</f>
        <v>31959.21</v>
      </c>
      <c r="C37" s="120"/>
      <c r="D37" s="120">
        <f>B37+C37</f>
        <v>31959.21</v>
      </c>
      <c r="E37" s="120"/>
      <c r="G37" s="120">
        <f>S62</f>
        <v>32626.79</v>
      </c>
      <c r="H37" s="120"/>
      <c r="I37" s="113">
        <f>B37-G37</f>
        <v>-667.58000000000175</v>
      </c>
      <c r="K37" s="120">
        <f>W62</f>
        <v>7905.83</v>
      </c>
      <c r="L37" s="28">
        <v>116</v>
      </c>
      <c r="M37" s="28" t="s">
        <v>679</v>
      </c>
      <c r="N37" s="557">
        <v>364837.74</v>
      </c>
      <c r="Q37" s="453">
        <v>116</v>
      </c>
      <c r="R37" s="28" t="s">
        <v>679</v>
      </c>
      <c r="S37" s="113">
        <v>365022.6</v>
      </c>
      <c r="V37" s="28" t="s">
        <v>768</v>
      </c>
      <c r="W37" s="113">
        <v>73100.670000000013</v>
      </c>
    </row>
    <row r="38" spans="1:23">
      <c r="A38" s="556" t="s">
        <v>366</v>
      </c>
      <c r="B38" s="113">
        <f t="shared" ref="B38:D38" si="24">SUM(B33:B37)</f>
        <v>103154993.83999999</v>
      </c>
      <c r="C38" s="113">
        <f t="shared" si="24"/>
        <v>0</v>
      </c>
      <c r="D38" s="113">
        <f t="shared" si="24"/>
        <v>103154993.83999999</v>
      </c>
      <c r="G38" s="113">
        <f t="shared" ref="G38" si="25">SUM(G33:G37)</f>
        <v>103404225.45000002</v>
      </c>
      <c r="H38" s="113">
        <f t="shared" ref="H38" si="26">SUM(H33:H37)</f>
        <v>0</v>
      </c>
      <c r="I38" s="113">
        <f t="shared" ref="I38" si="27">SUM(I33:I37)</f>
        <v>-249231.61000001593</v>
      </c>
      <c r="K38" s="113">
        <f t="shared" ref="K38" si="28">SUM(K33:K37)</f>
        <v>24805297.649999999</v>
      </c>
      <c r="L38" s="28">
        <v>120</v>
      </c>
      <c r="M38" s="28" t="s">
        <v>680</v>
      </c>
      <c r="N38" s="557">
        <v>945.38</v>
      </c>
      <c r="Q38" s="453">
        <v>120</v>
      </c>
      <c r="R38" s="28" t="s">
        <v>680</v>
      </c>
      <c r="S38" s="113">
        <v>944.26</v>
      </c>
      <c r="V38" s="28" t="s">
        <v>769</v>
      </c>
      <c r="W38" s="113">
        <v>153.12</v>
      </c>
    </row>
    <row r="39" spans="1:23">
      <c r="A39" s="560"/>
      <c r="G39" s="113"/>
      <c r="H39" s="113"/>
      <c r="I39" s="113"/>
      <c r="K39" s="113"/>
      <c r="L39" s="28">
        <v>122</v>
      </c>
      <c r="M39" s="28" t="s">
        <v>681</v>
      </c>
      <c r="N39" s="557">
        <v>26766.570000000003</v>
      </c>
      <c r="Q39" s="453">
        <v>122</v>
      </c>
      <c r="R39" s="28" t="s">
        <v>681</v>
      </c>
      <c r="S39" s="113">
        <v>26680.38</v>
      </c>
      <c r="V39" s="28" t="s">
        <v>770</v>
      </c>
      <c r="W39" s="113">
        <v>4265.8899999999994</v>
      </c>
    </row>
    <row r="40" spans="1:23">
      <c r="A40" s="556" t="s">
        <v>418</v>
      </c>
      <c r="B40" s="113">
        <f>N54</f>
        <v>212682.24999999997</v>
      </c>
      <c r="D40" s="113">
        <f>B40+C40</f>
        <v>212682.24999999997</v>
      </c>
      <c r="G40" s="113">
        <f>S54</f>
        <v>212822.83</v>
      </c>
      <c r="H40" s="113"/>
      <c r="I40" s="113">
        <f>B40-G40</f>
        <v>-140.5800000000163</v>
      </c>
      <c r="K40" s="113">
        <f>W54</f>
        <v>46232.92</v>
      </c>
      <c r="L40" s="28">
        <v>126</v>
      </c>
      <c r="M40" s="28" t="s">
        <v>682</v>
      </c>
      <c r="N40" s="557">
        <v>2035.4199999999998</v>
      </c>
      <c r="Q40" s="453">
        <v>126</v>
      </c>
      <c r="R40" s="28" t="s">
        <v>682</v>
      </c>
      <c r="S40" s="113">
        <v>2018.28</v>
      </c>
      <c r="V40" s="28" t="s">
        <v>771</v>
      </c>
      <c r="W40" s="113">
        <v>341.05000000000007</v>
      </c>
    </row>
    <row r="41" spans="1:23">
      <c r="A41" s="559" t="s">
        <v>421</v>
      </c>
      <c r="B41" s="120">
        <f>N58</f>
        <v>530369.66999999993</v>
      </c>
      <c r="C41" s="120"/>
      <c r="D41" s="120">
        <f>B41+C41</f>
        <v>530369.66999999993</v>
      </c>
      <c r="E41" s="120"/>
      <c r="G41" s="120">
        <f>S58</f>
        <v>529333.68000000005</v>
      </c>
      <c r="H41" s="120"/>
      <c r="I41" s="113">
        <f>B41-G41</f>
        <v>1035.9899999998743</v>
      </c>
      <c r="K41" s="120">
        <f>W58</f>
        <v>119863.45999999999</v>
      </c>
      <c r="L41" s="28">
        <v>130</v>
      </c>
      <c r="M41" s="28" t="s">
        <v>683</v>
      </c>
      <c r="N41" s="557">
        <v>2759.08</v>
      </c>
      <c r="Q41" s="453">
        <v>130</v>
      </c>
      <c r="R41" s="28" t="s">
        <v>683</v>
      </c>
      <c r="S41" s="113">
        <v>2674.24</v>
      </c>
      <c r="V41" s="28" t="s">
        <v>772</v>
      </c>
      <c r="W41" s="113">
        <v>416.87</v>
      </c>
    </row>
    <row r="42" spans="1:23">
      <c r="A42" s="556" t="s">
        <v>365</v>
      </c>
      <c r="B42" s="113">
        <f t="shared" ref="B42:D42" si="29">SUM(B40:B41)</f>
        <v>743051.91999999993</v>
      </c>
      <c r="C42" s="113">
        <f t="shared" si="29"/>
        <v>0</v>
      </c>
      <c r="D42" s="113">
        <f t="shared" si="29"/>
        <v>743051.91999999993</v>
      </c>
      <c r="G42" s="113">
        <f t="shared" ref="G42" si="30">SUM(G40:G41)</f>
        <v>742156.51</v>
      </c>
      <c r="H42" s="113">
        <f t="shared" ref="H42" si="31">SUM(H40:H41)</f>
        <v>0</v>
      </c>
      <c r="I42" s="113">
        <f t="shared" ref="I42" si="32">SUM(I40:I41)</f>
        <v>895.40999999985797</v>
      </c>
      <c r="K42" s="113">
        <f t="shared" ref="K42" si="33">SUM(K40:K41)</f>
        <v>166096.38</v>
      </c>
      <c r="L42" s="28">
        <v>131</v>
      </c>
      <c r="M42" s="28" t="s">
        <v>684</v>
      </c>
      <c r="N42" s="557">
        <v>80041.98</v>
      </c>
      <c r="Q42" s="453">
        <v>131</v>
      </c>
      <c r="R42" s="28" t="s">
        <v>684</v>
      </c>
      <c r="S42" s="113">
        <v>80240.600000000006</v>
      </c>
      <c r="V42" s="28" t="s">
        <v>773</v>
      </c>
      <c r="W42" s="113">
        <v>17406.84</v>
      </c>
    </row>
    <row r="43" spans="1:23">
      <c r="A43" s="560"/>
      <c r="G43" s="113"/>
      <c r="H43" s="113"/>
      <c r="I43" s="113"/>
      <c r="K43" s="113"/>
      <c r="L43" s="28">
        <v>136</v>
      </c>
      <c r="M43" s="28" t="s">
        <v>685</v>
      </c>
      <c r="N43" s="557">
        <v>5505.78</v>
      </c>
      <c r="Q43" s="453">
        <v>136</v>
      </c>
      <c r="R43" s="28" t="s">
        <v>685</v>
      </c>
      <c r="S43" s="113">
        <v>5483.77</v>
      </c>
      <c r="V43" s="28" t="s">
        <v>774</v>
      </c>
      <c r="W43" s="113">
        <v>1019.75</v>
      </c>
    </row>
    <row r="44" spans="1:23">
      <c r="A44" s="559" t="s">
        <v>430</v>
      </c>
      <c r="B44" s="120">
        <f>N66</f>
        <v>1513985.14</v>
      </c>
      <c r="C44" s="120"/>
      <c r="D44" s="120">
        <f>B44+C44</f>
        <v>1513985.14</v>
      </c>
      <c r="E44" s="120"/>
      <c r="G44" s="120">
        <f>S66</f>
        <v>1517935.91</v>
      </c>
      <c r="H44" s="120"/>
      <c r="I44" s="113">
        <f>B44-G44</f>
        <v>-3950.7700000000186</v>
      </c>
      <c r="K44" s="120">
        <f>W66</f>
        <v>357474.23000000004</v>
      </c>
      <c r="L44" s="28">
        <v>150</v>
      </c>
      <c r="M44" s="28" t="s">
        <v>686</v>
      </c>
      <c r="N44" s="557">
        <v>1034191.33</v>
      </c>
      <c r="Q44" s="453">
        <v>150</v>
      </c>
      <c r="R44" s="28" t="s">
        <v>709</v>
      </c>
      <c r="S44" s="113">
        <v>1005371.34</v>
      </c>
      <c r="V44" s="28" t="s">
        <v>775</v>
      </c>
      <c r="W44" s="113">
        <v>163718.75</v>
      </c>
    </row>
    <row r="45" spans="1:23">
      <c r="A45" s="556" t="s">
        <v>202</v>
      </c>
      <c r="B45" s="113">
        <f t="shared" ref="B45:D45" si="34">B44</f>
        <v>1513985.14</v>
      </c>
      <c r="C45" s="113">
        <f t="shared" si="34"/>
        <v>0</v>
      </c>
      <c r="D45" s="113">
        <f t="shared" si="34"/>
        <v>1513985.14</v>
      </c>
      <c r="G45" s="113">
        <f t="shared" ref="G45" si="35">G44</f>
        <v>1517935.91</v>
      </c>
      <c r="H45" s="113">
        <f t="shared" ref="H45" si="36">H44</f>
        <v>0</v>
      </c>
      <c r="I45" s="113">
        <f t="shared" ref="I45" si="37">I44</f>
        <v>-3950.7700000000186</v>
      </c>
      <c r="K45" s="113">
        <f t="shared" ref="K45" si="38">K44</f>
        <v>357474.23000000004</v>
      </c>
      <c r="L45" s="28">
        <v>151</v>
      </c>
      <c r="M45" s="28" t="s">
        <v>687</v>
      </c>
      <c r="N45" s="557">
        <v>39.269999999999996</v>
      </c>
      <c r="Q45" s="453">
        <v>151</v>
      </c>
      <c r="R45" s="28" t="s">
        <v>687</v>
      </c>
      <c r="S45" s="113">
        <v>34.04</v>
      </c>
      <c r="V45" s="28" t="s">
        <v>776</v>
      </c>
      <c r="W45" s="113">
        <v>6.2799999999999994</v>
      </c>
    </row>
    <row r="46" spans="1:23">
      <c r="A46" s="560"/>
      <c r="G46" s="113"/>
      <c r="H46" s="113"/>
      <c r="I46" s="113"/>
      <c r="K46" s="113"/>
      <c r="L46" s="28">
        <v>152</v>
      </c>
      <c r="M46" s="28" t="s">
        <v>688</v>
      </c>
      <c r="N46" s="557">
        <v>217.26999999999998</v>
      </c>
      <c r="Q46" s="453">
        <v>152</v>
      </c>
      <c r="R46" s="28" t="s">
        <v>688</v>
      </c>
      <c r="S46" s="113">
        <v>195.85</v>
      </c>
      <c r="V46" s="28" t="s">
        <v>777</v>
      </c>
      <c r="W46" s="113">
        <v>42.25</v>
      </c>
    </row>
    <row r="47" spans="1:23">
      <c r="A47" s="559" t="s">
        <v>422</v>
      </c>
      <c r="B47" s="120">
        <f>N59</f>
        <v>232965.49999999997</v>
      </c>
      <c r="C47" s="120"/>
      <c r="D47" s="120">
        <f>B47+C47</f>
        <v>232965.49999999997</v>
      </c>
      <c r="E47" s="120"/>
      <c r="G47" s="120">
        <f>S59</f>
        <v>232290.27</v>
      </c>
      <c r="H47" s="120"/>
      <c r="I47" s="113">
        <f>B47-G47</f>
        <v>675.22999999998137</v>
      </c>
      <c r="K47" s="120">
        <f>W59</f>
        <v>57503.32</v>
      </c>
      <c r="L47" s="28">
        <v>153</v>
      </c>
      <c r="M47" s="28" t="s">
        <v>689</v>
      </c>
      <c r="N47" s="557">
        <v>87.32</v>
      </c>
      <c r="Q47" s="453">
        <v>153</v>
      </c>
      <c r="R47" s="28" t="s">
        <v>689</v>
      </c>
      <c r="S47" s="113">
        <v>30.2</v>
      </c>
      <c r="V47" s="28" t="s">
        <v>778</v>
      </c>
      <c r="W47" s="113">
        <v>8.52</v>
      </c>
    </row>
    <row r="48" spans="1:23">
      <c r="A48" s="556" t="s">
        <v>367</v>
      </c>
      <c r="B48" s="113">
        <f t="shared" ref="B48:D48" si="39">B47</f>
        <v>232965.49999999997</v>
      </c>
      <c r="C48" s="113">
        <f t="shared" si="39"/>
        <v>0</v>
      </c>
      <c r="D48" s="113">
        <f t="shared" si="39"/>
        <v>232965.49999999997</v>
      </c>
      <c r="G48" s="113">
        <f t="shared" ref="G48" si="40">G47</f>
        <v>232290.27</v>
      </c>
      <c r="H48" s="113"/>
      <c r="I48" s="113">
        <f t="shared" ref="I48" si="41">I47</f>
        <v>675.22999999998137</v>
      </c>
      <c r="K48" s="113">
        <f t="shared" ref="K48" si="42">K47</f>
        <v>57503.32</v>
      </c>
      <c r="L48" s="28">
        <v>160</v>
      </c>
      <c r="M48" s="28" t="s">
        <v>690</v>
      </c>
      <c r="N48" s="557">
        <v>1863.23</v>
      </c>
      <c r="Q48" s="453">
        <v>160</v>
      </c>
      <c r="R48" s="28" t="s">
        <v>710</v>
      </c>
      <c r="S48" s="113">
        <v>1792.06</v>
      </c>
      <c r="V48" s="28" t="s">
        <v>779</v>
      </c>
      <c r="W48" s="113">
        <v>233.01</v>
      </c>
    </row>
    <row r="49" spans="1:23">
      <c r="A49" s="560"/>
      <c r="G49" s="113"/>
      <c r="H49" s="113"/>
      <c r="I49" s="113"/>
      <c r="K49" s="113"/>
      <c r="L49" s="28">
        <v>162</v>
      </c>
      <c r="M49" s="28" t="s">
        <v>688</v>
      </c>
      <c r="N49" s="557">
        <v>0</v>
      </c>
      <c r="Q49" s="453" t="s">
        <v>742</v>
      </c>
      <c r="W49" s="113"/>
    </row>
    <row r="50" spans="1:23">
      <c r="A50" s="556" t="s">
        <v>428</v>
      </c>
      <c r="B50" s="113">
        <f>N64</f>
        <v>130906.29000000001</v>
      </c>
      <c r="D50" s="113">
        <f>B50+C50</f>
        <v>130906.29000000001</v>
      </c>
      <c r="G50" s="113">
        <f>S64</f>
        <v>133156.57</v>
      </c>
      <c r="H50" s="113"/>
      <c r="I50" s="113">
        <f>B50-G50</f>
        <v>-2250.2799999999988</v>
      </c>
      <c r="K50" s="113">
        <f>W64</f>
        <v>32281.96</v>
      </c>
      <c r="L50" s="28">
        <v>165</v>
      </c>
      <c r="M50" s="28" t="s">
        <v>688</v>
      </c>
      <c r="N50" s="557">
        <v>25906.589999999997</v>
      </c>
      <c r="Q50" s="453">
        <v>165</v>
      </c>
      <c r="R50" s="28" t="s">
        <v>711</v>
      </c>
      <c r="S50" s="113">
        <v>23073.79</v>
      </c>
      <c r="V50" s="28" t="s">
        <v>780</v>
      </c>
      <c r="W50" s="113">
        <v>3762.89</v>
      </c>
    </row>
    <row r="51" spans="1:23">
      <c r="A51" s="559" t="s">
        <v>429</v>
      </c>
      <c r="B51" s="120">
        <f>N65</f>
        <v>142222.62999999998</v>
      </c>
      <c r="C51" s="120"/>
      <c r="D51" s="120">
        <f>B51+C51</f>
        <v>142222.62999999998</v>
      </c>
      <c r="E51" s="120"/>
      <c r="G51" s="120">
        <f>S65</f>
        <v>142776.04999999999</v>
      </c>
      <c r="H51" s="120"/>
      <c r="I51" s="113">
        <f>B51-G51</f>
        <v>-553.42000000001281</v>
      </c>
      <c r="K51" s="120">
        <f>W65</f>
        <v>35613.22</v>
      </c>
      <c r="L51" s="28">
        <v>166</v>
      </c>
      <c r="M51" s="28" t="s">
        <v>691</v>
      </c>
      <c r="N51" s="557">
        <v>17092.990000000002</v>
      </c>
      <c r="Q51" s="453">
        <v>166</v>
      </c>
      <c r="R51" s="28" t="s">
        <v>691</v>
      </c>
      <c r="S51" s="113">
        <v>16035.11</v>
      </c>
      <c r="V51" s="28" t="s">
        <v>781</v>
      </c>
      <c r="W51" s="113">
        <v>2919.1000000000004</v>
      </c>
    </row>
    <row r="52" spans="1:23">
      <c r="A52" s="556" t="s">
        <v>369</v>
      </c>
      <c r="B52" s="113">
        <f t="shared" ref="B52:D52" si="43">SUM(B50:B51)</f>
        <v>273128.92</v>
      </c>
      <c r="C52" s="113">
        <f t="shared" si="43"/>
        <v>0</v>
      </c>
      <c r="D52" s="113">
        <f t="shared" si="43"/>
        <v>273128.92</v>
      </c>
      <c r="G52" s="113">
        <f t="shared" ref="G52" si="44">SUM(G50:G51)</f>
        <v>275932.62</v>
      </c>
      <c r="H52" s="113"/>
      <c r="I52" s="113">
        <f t="shared" ref="I52" si="45">SUM(I50:I51)</f>
        <v>-2803.7000000000116</v>
      </c>
      <c r="K52" s="113">
        <f t="shared" ref="K52" si="46">SUM(K50:K51)</f>
        <v>67895.179999999993</v>
      </c>
      <c r="L52" s="28">
        <v>175</v>
      </c>
      <c r="M52" s="28" t="s">
        <v>692</v>
      </c>
      <c r="N52" s="557">
        <v>0</v>
      </c>
      <c r="Q52" s="453" t="s">
        <v>604</v>
      </c>
      <c r="W52" s="113"/>
    </row>
    <row r="53" spans="1:23">
      <c r="A53" s="560"/>
      <c r="G53" s="113"/>
      <c r="H53" s="113"/>
      <c r="I53" s="113"/>
      <c r="K53" s="113"/>
      <c r="L53" s="28">
        <v>201</v>
      </c>
      <c r="M53" s="28" t="s">
        <v>692</v>
      </c>
      <c r="N53" s="557">
        <v>-79.73</v>
      </c>
      <c r="Q53" s="453">
        <v>201</v>
      </c>
      <c r="R53" s="28" t="s">
        <v>692</v>
      </c>
      <c r="S53" s="113">
        <v>-79.73</v>
      </c>
      <c r="V53" s="28" t="s">
        <v>782</v>
      </c>
      <c r="W53" s="113">
        <v>-12.11</v>
      </c>
    </row>
    <row r="54" spans="1:23">
      <c r="A54" s="559" t="s">
        <v>431</v>
      </c>
      <c r="B54" s="120">
        <f>N67</f>
        <v>1300590.9099999999</v>
      </c>
      <c r="C54" s="120"/>
      <c r="D54" s="120">
        <f>B54+C54</f>
        <v>1300590.9099999999</v>
      </c>
      <c r="E54" s="120"/>
      <c r="G54" s="120">
        <f>S67</f>
        <v>1304922.9099999999</v>
      </c>
      <c r="H54" s="120"/>
      <c r="I54" s="113">
        <f>B54-G54</f>
        <v>-4332</v>
      </c>
      <c r="K54" s="120">
        <f>W67</f>
        <v>328399.25</v>
      </c>
      <c r="L54" s="28">
        <v>204</v>
      </c>
      <c r="M54" s="28" t="s">
        <v>637</v>
      </c>
      <c r="N54" s="557">
        <v>212682.24999999997</v>
      </c>
      <c r="Q54" s="453">
        <v>204</v>
      </c>
      <c r="R54" s="28" t="s">
        <v>712</v>
      </c>
      <c r="S54" s="113">
        <v>212822.83</v>
      </c>
      <c r="V54" s="28" t="s">
        <v>783</v>
      </c>
      <c r="W54" s="113">
        <v>46232.92</v>
      </c>
    </row>
    <row r="55" spans="1:23">
      <c r="A55" s="556" t="s">
        <v>370</v>
      </c>
      <c r="B55" s="113">
        <f t="shared" ref="B55" si="47">B54</f>
        <v>1300590.9099999999</v>
      </c>
      <c r="C55" s="113">
        <f t="shared" ref="C55" si="48">C54</f>
        <v>0</v>
      </c>
      <c r="D55" s="113">
        <f t="shared" ref="D55" si="49">D54</f>
        <v>1300590.9099999999</v>
      </c>
      <c r="G55" s="113">
        <f t="shared" ref="G55" si="50">G54</f>
        <v>1304922.9099999999</v>
      </c>
      <c r="H55" s="113"/>
      <c r="I55" s="113">
        <f t="shared" ref="I55" si="51">I54</f>
        <v>-4332</v>
      </c>
      <c r="K55" s="113">
        <f t="shared" ref="K55" si="52">K54</f>
        <v>328399.25</v>
      </c>
      <c r="L55" s="28">
        <v>211</v>
      </c>
      <c r="M55" s="28" t="s">
        <v>634</v>
      </c>
      <c r="N55" s="557">
        <v>29336021.210000001</v>
      </c>
      <c r="Q55" s="453">
        <v>211</v>
      </c>
      <c r="R55" s="28" t="s">
        <v>713</v>
      </c>
      <c r="S55" s="113">
        <v>29391414.940000001</v>
      </c>
      <c r="V55" s="28" t="s">
        <v>784</v>
      </c>
      <c r="W55" s="113">
        <v>6769168.4199999999</v>
      </c>
    </row>
    <row r="56" spans="1:23">
      <c r="A56" s="560"/>
      <c r="G56" s="113"/>
      <c r="H56" s="113"/>
      <c r="I56" s="113"/>
      <c r="K56" s="113"/>
      <c r="N56" s="557"/>
      <c r="Q56" s="453"/>
      <c r="W56" s="113"/>
    </row>
    <row r="57" spans="1:23">
      <c r="A57" s="556" t="s">
        <v>425</v>
      </c>
      <c r="B57" s="113">
        <f>N61</f>
        <v>552848.41999999993</v>
      </c>
      <c r="D57" s="113">
        <f>B57+C57</f>
        <v>552848.41999999993</v>
      </c>
      <c r="G57" s="113">
        <f>S61</f>
        <v>556446.59</v>
      </c>
      <c r="H57" s="113"/>
      <c r="I57" s="113">
        <f>B57-G57</f>
        <v>-3598.1700000000419</v>
      </c>
      <c r="K57" s="113">
        <f>W61</f>
        <v>135268.49</v>
      </c>
      <c r="L57" s="28">
        <v>212</v>
      </c>
      <c r="M57" s="28" t="s">
        <v>366</v>
      </c>
      <c r="N57" s="557">
        <v>850.8</v>
      </c>
      <c r="Q57" s="453">
        <v>212</v>
      </c>
      <c r="R57" s="28" t="s">
        <v>714</v>
      </c>
      <c r="S57" s="113">
        <v>850.96</v>
      </c>
      <c r="V57" s="28" t="s">
        <v>785</v>
      </c>
      <c r="W57" s="113">
        <v>188.12</v>
      </c>
    </row>
    <row r="58" spans="1:23">
      <c r="A58" s="559" t="s">
        <v>427</v>
      </c>
      <c r="B58" s="120">
        <f>N63</f>
        <v>761674.89999999991</v>
      </c>
      <c r="C58" s="120"/>
      <c r="D58" s="120">
        <f>B58+C58</f>
        <v>761674.89999999991</v>
      </c>
      <c r="E58" s="120"/>
      <c r="G58" s="120">
        <f>S63</f>
        <v>772376.09</v>
      </c>
      <c r="H58" s="120"/>
      <c r="I58" s="113">
        <f>B58-G58</f>
        <v>-10701.190000000061</v>
      </c>
      <c r="K58" s="120">
        <f>W63</f>
        <v>192203.74</v>
      </c>
      <c r="L58" s="28">
        <v>213</v>
      </c>
      <c r="M58" s="28" t="s">
        <v>638</v>
      </c>
      <c r="N58" s="557">
        <v>530369.66999999993</v>
      </c>
      <c r="Q58" s="453">
        <v>213</v>
      </c>
      <c r="R58" s="28" t="s">
        <v>715</v>
      </c>
      <c r="S58" s="113">
        <v>529333.68000000005</v>
      </c>
      <c r="V58" s="28" t="s">
        <v>786</v>
      </c>
      <c r="W58" s="113">
        <v>119863.45999999999</v>
      </c>
    </row>
    <row r="59" spans="1:23">
      <c r="A59" s="556" t="s">
        <v>368</v>
      </c>
      <c r="B59" s="113">
        <f t="shared" ref="B59:D59" si="53">SUM(B57:B58)</f>
        <v>1314523.3199999998</v>
      </c>
      <c r="C59" s="113">
        <f t="shared" si="53"/>
        <v>0</v>
      </c>
      <c r="D59" s="113">
        <f t="shared" si="53"/>
        <v>1314523.3199999998</v>
      </c>
      <c r="G59" s="113">
        <f t="shared" ref="G59" si="54">SUM(G57:G58)</f>
        <v>1328822.68</v>
      </c>
      <c r="H59" s="113"/>
      <c r="I59" s="113">
        <f t="shared" ref="I59" si="55">SUM(I57:I58)</f>
        <v>-14299.360000000102</v>
      </c>
      <c r="K59" s="113">
        <f t="shared" ref="K59" si="56">SUM(K57:K58)</f>
        <v>327472.23</v>
      </c>
      <c r="L59" s="28">
        <v>214</v>
      </c>
      <c r="M59" s="28" t="s">
        <v>639</v>
      </c>
      <c r="N59" s="557">
        <v>232965.49999999997</v>
      </c>
      <c r="Q59" s="453">
        <v>214</v>
      </c>
      <c r="R59" s="28" t="s">
        <v>716</v>
      </c>
      <c r="S59" s="113">
        <v>232290.27</v>
      </c>
      <c r="V59" s="28" t="s">
        <v>787</v>
      </c>
      <c r="W59" s="113">
        <v>57503.32</v>
      </c>
    </row>
    <row r="60" spans="1:23">
      <c r="A60" s="560"/>
      <c r="G60" s="113"/>
      <c r="H60" s="113"/>
      <c r="I60" s="113"/>
      <c r="K60" s="113"/>
      <c r="L60" s="28">
        <v>215</v>
      </c>
      <c r="M60" s="28" t="s">
        <v>640</v>
      </c>
      <c r="N60" s="557">
        <v>73786162.61999999</v>
      </c>
      <c r="Q60" s="453">
        <v>215</v>
      </c>
      <c r="R60" s="28" t="s">
        <v>713</v>
      </c>
      <c r="S60" s="113">
        <v>73979332.760000005</v>
      </c>
      <c r="V60" s="28" t="s">
        <v>788</v>
      </c>
      <c r="W60" s="113">
        <v>18028035.280000001</v>
      </c>
    </row>
    <row r="61" spans="1:23">
      <c r="A61" s="559" t="s">
        <v>432</v>
      </c>
      <c r="B61" s="120">
        <f>N68</f>
        <v>69060.72</v>
      </c>
      <c r="C61" s="120"/>
      <c r="D61" s="120">
        <f>B61+C61</f>
        <v>69060.72</v>
      </c>
      <c r="E61" s="120"/>
      <c r="G61" s="120">
        <f>S68</f>
        <v>70914.59</v>
      </c>
      <c r="H61" s="120"/>
      <c r="I61" s="113">
        <f>B61-G61</f>
        <v>-1853.8699999999953</v>
      </c>
      <c r="K61" s="120">
        <f>W68</f>
        <v>17564.29</v>
      </c>
      <c r="L61" s="28">
        <v>217</v>
      </c>
      <c r="M61" s="28" t="s">
        <v>644</v>
      </c>
      <c r="N61" s="557">
        <v>552848.41999999993</v>
      </c>
      <c r="Q61" s="453">
        <v>217</v>
      </c>
      <c r="R61" s="28" t="s">
        <v>717</v>
      </c>
      <c r="S61" s="113">
        <v>556446.59</v>
      </c>
      <c r="V61" s="28" t="s">
        <v>789</v>
      </c>
      <c r="W61" s="113">
        <v>135268.49</v>
      </c>
    </row>
    <row r="62" spans="1:23">
      <c r="A62" s="556" t="s">
        <v>371</v>
      </c>
      <c r="B62" s="113">
        <f t="shared" ref="B62" si="57">B61</f>
        <v>69060.72</v>
      </c>
      <c r="C62" s="113">
        <f t="shared" ref="C62" si="58">C61</f>
        <v>0</v>
      </c>
      <c r="D62" s="113">
        <f t="shared" ref="D62" si="59">D61</f>
        <v>69060.72</v>
      </c>
      <c r="G62" s="113">
        <f t="shared" ref="G62" si="60">G61</f>
        <v>70914.59</v>
      </c>
      <c r="H62" s="113"/>
      <c r="I62" s="113">
        <f t="shared" ref="I62" si="61">I61</f>
        <v>-1853.8699999999953</v>
      </c>
      <c r="K62" s="113">
        <f t="shared" ref="K62" si="62">K61</f>
        <v>17564.29</v>
      </c>
      <c r="L62" s="28">
        <v>218</v>
      </c>
      <c r="M62" s="28" t="s">
        <v>641</v>
      </c>
      <c r="N62" s="557">
        <v>31959.21</v>
      </c>
      <c r="Q62" s="453">
        <v>218</v>
      </c>
      <c r="R62" s="28" t="s">
        <v>718</v>
      </c>
      <c r="S62" s="113">
        <v>32626.79</v>
      </c>
      <c r="V62" s="28" t="s">
        <v>790</v>
      </c>
      <c r="W62" s="113">
        <v>7905.83</v>
      </c>
    </row>
    <row r="63" spans="1:23">
      <c r="A63" s="560"/>
      <c r="G63" s="113"/>
      <c r="H63" s="113"/>
      <c r="I63" s="113"/>
      <c r="K63" s="113"/>
      <c r="L63" s="28">
        <v>220</v>
      </c>
      <c r="M63" s="28" t="s">
        <v>645</v>
      </c>
      <c r="N63" s="557">
        <v>761674.89999999991</v>
      </c>
      <c r="Q63" s="453">
        <v>220</v>
      </c>
      <c r="R63" s="28" t="s">
        <v>719</v>
      </c>
      <c r="S63" s="113">
        <v>772376.09</v>
      </c>
      <c r="V63" s="28" t="s">
        <v>791</v>
      </c>
      <c r="W63" s="113">
        <v>192203.74</v>
      </c>
    </row>
    <row r="64" spans="1:23" s="562" customFormat="1">
      <c r="A64" s="561" t="s">
        <v>458</v>
      </c>
      <c r="B64" s="337">
        <f t="shared" ref="B64:D64" si="63">B38+B42+B45+B48+B52+B55+B59+B62</f>
        <v>108602300.26999998</v>
      </c>
      <c r="C64" s="337">
        <f t="shared" si="63"/>
        <v>0</v>
      </c>
      <c r="D64" s="337">
        <f t="shared" si="63"/>
        <v>108602300.26999998</v>
      </c>
      <c r="E64" s="337"/>
      <c r="G64" s="337">
        <f t="shared" ref="G64" si="64">G38+G42+G45+G48+G52+G55+G59+G62</f>
        <v>108877200.94000003</v>
      </c>
      <c r="H64" s="337"/>
      <c r="I64" s="337">
        <f>I38+I42+I45+I48+I52+I55+I59+I62</f>
        <v>-274900.67000001622</v>
      </c>
      <c r="K64" s="337">
        <f t="shared" ref="K64" si="65">K38+K42+K45+K48+K52+K55+K59+K62</f>
        <v>26127702.529999997</v>
      </c>
      <c r="L64" s="28">
        <v>223</v>
      </c>
      <c r="M64" s="28" t="s">
        <v>642</v>
      </c>
      <c r="N64" s="557">
        <v>130906.29000000001</v>
      </c>
      <c r="O64" s="28"/>
      <c r="P64" s="28"/>
      <c r="Q64" s="453">
        <v>223</v>
      </c>
      <c r="R64" s="28" t="s">
        <v>720</v>
      </c>
      <c r="S64" s="113">
        <v>133156.57</v>
      </c>
      <c r="T64" s="28"/>
      <c r="V64" s="28" t="s">
        <v>792</v>
      </c>
      <c r="W64" s="113">
        <v>32281.96</v>
      </c>
    </row>
    <row r="65" spans="1:23">
      <c r="A65" s="560"/>
      <c r="G65" s="113"/>
      <c r="H65" s="113"/>
      <c r="I65" s="113"/>
      <c r="K65" s="113"/>
      <c r="L65" s="28">
        <v>225</v>
      </c>
      <c r="M65" s="28" t="s">
        <v>635</v>
      </c>
      <c r="N65" s="557">
        <v>142222.62999999998</v>
      </c>
      <c r="Q65" s="453">
        <v>225</v>
      </c>
      <c r="R65" s="28" t="s">
        <v>721</v>
      </c>
      <c r="S65" s="113">
        <v>142776.04999999999</v>
      </c>
      <c r="V65" s="28" t="s">
        <v>793</v>
      </c>
      <c r="W65" s="113">
        <v>35613.22</v>
      </c>
    </row>
    <row r="66" spans="1:23">
      <c r="A66" s="556" t="s">
        <v>433</v>
      </c>
      <c r="B66" s="113">
        <f>N69</f>
        <v>42969756.029999994</v>
      </c>
      <c r="D66" s="113">
        <f>B66+C66</f>
        <v>42969756.029999994</v>
      </c>
      <c r="G66" s="113">
        <f>S69</f>
        <v>42954270.159999996</v>
      </c>
      <c r="H66" s="113"/>
      <c r="I66" s="113">
        <f>B66-G66</f>
        <v>15485.869999997318</v>
      </c>
      <c r="K66" s="113">
        <f>W69</f>
        <v>10819270.950000001</v>
      </c>
      <c r="L66" s="28">
        <v>227</v>
      </c>
      <c r="M66" s="28" t="s">
        <v>636</v>
      </c>
      <c r="N66" s="557">
        <v>1513985.14</v>
      </c>
      <c r="Q66" s="453">
        <v>227</v>
      </c>
      <c r="R66" s="28" t="s">
        <v>722</v>
      </c>
      <c r="S66" s="113">
        <v>1517935.91</v>
      </c>
      <c r="T66" s="562"/>
      <c r="V66" s="28" t="s">
        <v>794</v>
      </c>
      <c r="W66" s="113">
        <v>357474.23000000004</v>
      </c>
    </row>
    <row r="67" spans="1:23">
      <c r="A67" s="559" t="s">
        <v>434</v>
      </c>
      <c r="B67" s="120">
        <f>N70</f>
        <v>996003.92999999993</v>
      </c>
      <c r="C67" s="120"/>
      <c r="D67" s="120">
        <f>B67+C67</f>
        <v>996003.92999999993</v>
      </c>
      <c r="E67" s="120"/>
      <c r="G67" s="120">
        <f>S70</f>
        <v>996968.53</v>
      </c>
      <c r="H67" s="120"/>
      <c r="I67" s="113">
        <f>B67-G67</f>
        <v>-964.60000000009313</v>
      </c>
      <c r="K67" s="120">
        <f>W70</f>
        <v>250441.32</v>
      </c>
      <c r="L67" s="28">
        <v>229</v>
      </c>
      <c r="M67" s="28" t="s">
        <v>643</v>
      </c>
      <c r="N67" s="557">
        <v>1300590.9099999999</v>
      </c>
      <c r="Q67" s="453">
        <v>229</v>
      </c>
      <c r="R67" s="28" t="s">
        <v>723</v>
      </c>
      <c r="S67" s="113">
        <v>1304922.9099999999</v>
      </c>
      <c r="V67" s="28" t="s">
        <v>795</v>
      </c>
      <c r="W67" s="113">
        <v>328399.25</v>
      </c>
    </row>
    <row r="68" spans="1:23">
      <c r="A68" s="556" t="s">
        <v>372</v>
      </c>
      <c r="B68" s="113">
        <f t="shared" ref="B68:D68" si="66">SUM(B66:B67)</f>
        <v>43965759.959999993</v>
      </c>
      <c r="C68" s="113">
        <f t="shared" si="66"/>
        <v>0</v>
      </c>
      <c r="D68" s="113">
        <f t="shared" si="66"/>
        <v>43965759.959999993</v>
      </c>
      <c r="G68" s="113">
        <f t="shared" ref="G68" si="67">SUM(G66:G67)</f>
        <v>43951238.689999998</v>
      </c>
      <c r="H68" s="113"/>
      <c r="I68" s="113">
        <f t="shared" ref="I68" si="68">SUM(I66:I67)</f>
        <v>14521.269999997225</v>
      </c>
      <c r="K68" s="113">
        <f t="shared" ref="K68" si="69">SUM(K66:K67)</f>
        <v>11069712.270000001</v>
      </c>
      <c r="L68" s="28">
        <v>236</v>
      </c>
      <c r="M68" s="28" t="s">
        <v>646</v>
      </c>
      <c r="N68" s="557">
        <v>69060.72</v>
      </c>
      <c r="Q68" s="453">
        <v>236</v>
      </c>
      <c r="R68" s="28" t="s">
        <v>724</v>
      </c>
      <c r="S68" s="113">
        <v>70914.59</v>
      </c>
      <c r="V68" s="28" t="s">
        <v>796</v>
      </c>
      <c r="W68" s="113">
        <v>17564.29</v>
      </c>
    </row>
    <row r="69" spans="1:23">
      <c r="A69" s="560"/>
      <c r="G69" s="113"/>
      <c r="H69" s="113"/>
      <c r="I69" s="113"/>
      <c r="K69" s="113"/>
      <c r="L69" s="28">
        <v>240</v>
      </c>
      <c r="M69" s="28" t="s">
        <v>647</v>
      </c>
      <c r="N69" s="557">
        <v>42969756.029999994</v>
      </c>
      <c r="O69" s="562"/>
      <c r="P69" s="562"/>
      <c r="Q69" s="453">
        <v>240</v>
      </c>
      <c r="R69" s="28" t="s">
        <v>725</v>
      </c>
      <c r="S69" s="113">
        <v>42954270.159999996</v>
      </c>
      <c r="V69" s="28" t="s">
        <v>797</v>
      </c>
      <c r="W69" s="563">
        <v>10819270.950000001</v>
      </c>
    </row>
    <row r="70" spans="1:23">
      <c r="A70" s="559" t="s">
        <v>439</v>
      </c>
      <c r="B70" s="120">
        <f>N75</f>
        <v>265952.04000000004</v>
      </c>
      <c r="C70" s="120"/>
      <c r="D70" s="120">
        <f>B70+C70</f>
        <v>265952.04000000004</v>
      </c>
      <c r="E70" s="120"/>
      <c r="G70" s="120">
        <f>S75</f>
        <v>266681.12</v>
      </c>
      <c r="H70" s="120"/>
      <c r="I70" s="113">
        <f>B70-G70</f>
        <v>-729.07999999995809</v>
      </c>
      <c r="K70" s="120">
        <f>W75</f>
        <v>67337.510000000009</v>
      </c>
      <c r="L70" s="28">
        <v>242</v>
      </c>
      <c r="M70" s="28" t="s">
        <v>648</v>
      </c>
      <c r="N70" s="557">
        <v>996003.92999999993</v>
      </c>
      <c r="Q70" s="453">
        <v>242</v>
      </c>
      <c r="R70" s="28" t="s">
        <v>726</v>
      </c>
      <c r="S70" s="563">
        <v>996968.53</v>
      </c>
      <c r="V70" s="562" t="s">
        <v>648</v>
      </c>
      <c r="W70" s="113">
        <v>250441.32</v>
      </c>
    </row>
    <row r="71" spans="1:23">
      <c r="A71" s="556" t="s">
        <v>376</v>
      </c>
      <c r="B71" s="113">
        <f t="shared" ref="B71" si="70">B70</f>
        <v>265952.04000000004</v>
      </c>
      <c r="C71" s="113">
        <f t="shared" ref="C71" si="71">C70</f>
        <v>0</v>
      </c>
      <c r="D71" s="113">
        <f t="shared" ref="D71" si="72">D70</f>
        <v>265952.04000000004</v>
      </c>
      <c r="G71" s="113">
        <f t="shared" ref="G71" si="73">G70</f>
        <v>266681.12</v>
      </c>
      <c r="H71" s="113"/>
      <c r="I71" s="113">
        <f t="shared" ref="I71" si="74">I70</f>
        <v>-729.07999999995809</v>
      </c>
      <c r="K71" s="113">
        <f t="shared" ref="K71" si="75">K70</f>
        <v>67337.510000000009</v>
      </c>
      <c r="L71" s="28">
        <v>244</v>
      </c>
      <c r="M71" s="28" t="s">
        <v>652</v>
      </c>
      <c r="N71" s="557">
        <v>12017003.880000001</v>
      </c>
      <c r="Q71" s="453">
        <v>244</v>
      </c>
      <c r="R71" s="562" t="s">
        <v>727</v>
      </c>
      <c r="S71" s="113">
        <v>12006104.050000001</v>
      </c>
      <c r="V71" s="28" t="s">
        <v>798</v>
      </c>
      <c r="W71" s="113">
        <v>3120740.3599999994</v>
      </c>
    </row>
    <row r="72" spans="1:23" ht="12.6" customHeight="1">
      <c r="A72" s="560"/>
      <c r="G72" s="113"/>
      <c r="H72" s="113"/>
      <c r="I72" s="113"/>
      <c r="K72" s="113"/>
      <c r="L72" s="562">
        <v>246</v>
      </c>
      <c r="M72" s="562" t="s">
        <v>653</v>
      </c>
      <c r="N72" s="564">
        <v>90409.61</v>
      </c>
      <c r="Q72" s="453">
        <v>246</v>
      </c>
      <c r="R72" s="28" t="s">
        <v>728</v>
      </c>
      <c r="S72" s="113">
        <v>90202.48</v>
      </c>
      <c r="V72" s="28" t="s">
        <v>653</v>
      </c>
      <c r="W72" s="113">
        <v>24024.950000000004</v>
      </c>
    </row>
    <row r="73" spans="1:23">
      <c r="A73" s="559" t="s">
        <v>440</v>
      </c>
      <c r="B73" s="120">
        <f>N76</f>
        <v>663872.9</v>
      </c>
      <c r="C73" s="120"/>
      <c r="D73" s="120">
        <f>B73+C73</f>
        <v>663872.9</v>
      </c>
      <c r="E73" s="120"/>
      <c r="G73" s="120">
        <f>S76</f>
        <v>660915.92000000004</v>
      </c>
      <c r="H73" s="120"/>
      <c r="I73" s="113">
        <f>B73-G73</f>
        <v>2956.9799999999814</v>
      </c>
      <c r="K73" s="120">
        <f>W76</f>
        <v>169508.06</v>
      </c>
      <c r="L73" s="28">
        <v>248</v>
      </c>
      <c r="M73" s="28" t="s">
        <v>654</v>
      </c>
      <c r="N73" s="557">
        <v>1331917.94</v>
      </c>
      <c r="Q73" s="453">
        <v>248</v>
      </c>
      <c r="R73" s="28" t="s">
        <v>729</v>
      </c>
      <c r="S73" s="113">
        <v>1334780.6200000001</v>
      </c>
      <c r="V73" s="28" t="s">
        <v>799</v>
      </c>
      <c r="W73" s="113">
        <v>395964.62</v>
      </c>
    </row>
    <row r="74" spans="1:23">
      <c r="A74" s="556" t="s">
        <v>377</v>
      </c>
      <c r="B74" s="113">
        <f t="shared" ref="B74" si="76">B73</f>
        <v>663872.9</v>
      </c>
      <c r="C74" s="113">
        <f t="shared" ref="C74" si="77">C73</f>
        <v>0</v>
      </c>
      <c r="D74" s="113">
        <f t="shared" ref="D74" si="78">D73</f>
        <v>663872.9</v>
      </c>
      <c r="G74" s="113">
        <f t="shared" ref="G74" si="79">G73</f>
        <v>660915.92000000004</v>
      </c>
      <c r="H74" s="113"/>
      <c r="I74" s="113">
        <f t="shared" ref="I74" si="80">I73</f>
        <v>2956.9799999999814</v>
      </c>
      <c r="K74" s="113">
        <f t="shared" ref="K74" si="81">K73</f>
        <v>169508.06</v>
      </c>
      <c r="L74" s="28">
        <v>250</v>
      </c>
      <c r="M74" s="28" t="s">
        <v>655</v>
      </c>
      <c r="N74" s="557"/>
      <c r="Q74" s="453" t="s">
        <v>438</v>
      </c>
      <c r="W74" s="113"/>
    </row>
    <row r="75" spans="1:23">
      <c r="A75" s="560"/>
      <c r="G75" s="113"/>
      <c r="H75" s="113"/>
      <c r="I75" s="113"/>
      <c r="K75" s="113"/>
      <c r="L75" s="28">
        <v>251</v>
      </c>
      <c r="M75" s="28" t="s">
        <v>649</v>
      </c>
      <c r="N75" s="557">
        <v>265952.04000000004</v>
      </c>
      <c r="Q75" s="453">
        <v>251</v>
      </c>
      <c r="R75" s="28" t="s">
        <v>730</v>
      </c>
      <c r="S75" s="113">
        <v>266681.12</v>
      </c>
      <c r="V75" s="28" t="s">
        <v>649</v>
      </c>
      <c r="W75" s="113">
        <v>67337.510000000009</v>
      </c>
    </row>
    <row r="76" spans="1:23">
      <c r="A76" s="559" t="s">
        <v>441</v>
      </c>
      <c r="B76" s="120">
        <f>N77</f>
        <v>308368.02</v>
      </c>
      <c r="C76" s="120"/>
      <c r="D76" s="120">
        <f>B76+C76</f>
        <v>308368.02</v>
      </c>
      <c r="E76" s="120"/>
      <c r="G76" s="120">
        <f>S77</f>
        <v>305848.92</v>
      </c>
      <c r="H76" s="120"/>
      <c r="I76" s="113">
        <f>B76-G76</f>
        <v>2519.1000000000349</v>
      </c>
      <c r="K76" s="120">
        <f>W77</f>
        <v>90690.299999999988</v>
      </c>
      <c r="L76" s="28">
        <v>256</v>
      </c>
      <c r="M76" s="28" t="s">
        <v>650</v>
      </c>
      <c r="N76" s="557">
        <v>663872.9</v>
      </c>
      <c r="Q76" s="453">
        <v>256</v>
      </c>
      <c r="R76" s="28" t="s">
        <v>731</v>
      </c>
      <c r="S76" s="113">
        <v>660915.92000000004</v>
      </c>
      <c r="V76" s="28" t="s">
        <v>650</v>
      </c>
      <c r="W76" s="113">
        <v>169508.06</v>
      </c>
    </row>
    <row r="77" spans="1:23">
      <c r="A77" s="556" t="s">
        <v>378</v>
      </c>
      <c r="B77" s="113">
        <f t="shared" ref="B77" si="82">B76</f>
        <v>308368.02</v>
      </c>
      <c r="C77" s="113">
        <f t="shared" ref="C77" si="83">C76</f>
        <v>0</v>
      </c>
      <c r="D77" s="113">
        <f t="shared" ref="D77" si="84">D76</f>
        <v>308368.02</v>
      </c>
      <c r="G77" s="113">
        <f t="shared" ref="G77" si="85">G76</f>
        <v>305848.92</v>
      </c>
      <c r="H77" s="113"/>
      <c r="I77" s="113">
        <f t="shared" ref="I77" si="86">I76</f>
        <v>2519.1000000000349</v>
      </c>
      <c r="K77" s="113">
        <f t="shared" ref="K77" si="87">K76</f>
        <v>90690.299999999988</v>
      </c>
      <c r="L77" s="28">
        <v>257</v>
      </c>
      <c r="M77" s="28" t="s">
        <v>651</v>
      </c>
      <c r="N77" s="557">
        <v>308368.02</v>
      </c>
      <c r="Q77" s="453">
        <v>257</v>
      </c>
      <c r="R77" s="28" t="s">
        <v>651</v>
      </c>
      <c r="S77" s="113">
        <v>305848.92</v>
      </c>
      <c r="V77" s="28" t="s">
        <v>800</v>
      </c>
      <c r="W77" s="113">
        <v>90690.299999999988</v>
      </c>
    </row>
    <row r="78" spans="1:23">
      <c r="A78" s="560"/>
      <c r="G78" s="113"/>
      <c r="H78" s="113"/>
      <c r="I78" s="113"/>
      <c r="K78" s="113"/>
      <c r="L78" s="28">
        <v>260</v>
      </c>
      <c r="M78" s="28" t="s">
        <v>656</v>
      </c>
      <c r="N78" s="557">
        <v>13764690.599999998</v>
      </c>
      <c r="Q78" s="453">
        <v>260</v>
      </c>
      <c r="R78" s="28" t="s">
        <v>732</v>
      </c>
      <c r="S78" s="113">
        <v>13809825.189999999</v>
      </c>
      <c r="V78" s="28" t="s">
        <v>801</v>
      </c>
      <c r="W78" s="113">
        <v>3471922.79</v>
      </c>
    </row>
    <row r="79" spans="1:23">
      <c r="A79" s="556" t="s">
        <v>435</v>
      </c>
      <c r="B79" s="113">
        <f>N71</f>
        <v>12017003.880000001</v>
      </c>
      <c r="D79" s="113">
        <f>B79+C79</f>
        <v>12017003.880000001</v>
      </c>
      <c r="G79" s="113">
        <f>S71</f>
        <v>12006104.050000001</v>
      </c>
      <c r="H79" s="113"/>
      <c r="I79" s="113">
        <f>B79-G79</f>
        <v>10899.830000000075</v>
      </c>
      <c r="K79" s="113">
        <f>W71</f>
        <v>3120740.3599999994</v>
      </c>
      <c r="L79" s="28">
        <v>264</v>
      </c>
      <c r="M79" s="28" t="s">
        <v>657</v>
      </c>
      <c r="N79" s="557">
        <v>241193.15999999997</v>
      </c>
      <c r="Q79" s="453">
        <v>264</v>
      </c>
      <c r="R79" s="28" t="s">
        <v>733</v>
      </c>
      <c r="S79" s="113">
        <v>243750.34</v>
      </c>
      <c r="V79" s="28" t="s">
        <v>802</v>
      </c>
      <c r="W79" s="113">
        <v>63878.92</v>
      </c>
    </row>
    <row r="80" spans="1:23">
      <c r="A80" s="559" t="s">
        <v>436</v>
      </c>
      <c r="B80" s="120">
        <f>N72</f>
        <v>90409.61</v>
      </c>
      <c r="C80" s="120"/>
      <c r="D80" s="120">
        <f>B80+C80</f>
        <v>90409.61</v>
      </c>
      <c r="E80" s="120"/>
      <c r="G80" s="120">
        <f>S72</f>
        <v>90202.48</v>
      </c>
      <c r="H80" s="120"/>
      <c r="I80" s="113">
        <f>B80-G80</f>
        <v>207.13000000000466</v>
      </c>
      <c r="K80" s="120">
        <f>W72</f>
        <v>24024.950000000004</v>
      </c>
      <c r="L80" s="28">
        <v>330</v>
      </c>
      <c r="M80" s="28" t="s">
        <v>658</v>
      </c>
      <c r="N80" s="557">
        <v>3869557.11</v>
      </c>
      <c r="Q80" s="453">
        <v>330</v>
      </c>
      <c r="R80" s="28" t="s">
        <v>658</v>
      </c>
      <c r="S80" s="113">
        <v>3898745.04</v>
      </c>
      <c r="V80" s="28" t="s">
        <v>803</v>
      </c>
      <c r="W80" s="113">
        <v>1016673.94</v>
      </c>
    </row>
    <row r="81" spans="1:23">
      <c r="A81" s="556" t="s">
        <v>373</v>
      </c>
      <c r="B81" s="113">
        <f t="shared" ref="B81" si="88">SUM(B79:B80)</f>
        <v>12107413.49</v>
      </c>
      <c r="C81" s="113">
        <f t="shared" ref="C81" si="89">SUM(C79:C80)</f>
        <v>0</v>
      </c>
      <c r="D81" s="113">
        <f t="shared" ref="D81" si="90">SUM(D79:D80)</f>
        <v>12107413.49</v>
      </c>
      <c r="G81" s="113">
        <f t="shared" ref="G81" si="91">SUM(G79:G80)</f>
        <v>12096306.530000001</v>
      </c>
      <c r="H81" s="113"/>
      <c r="I81" s="113">
        <f t="shared" ref="I81" si="92">SUM(I79:I80)</f>
        <v>11106.960000000079</v>
      </c>
      <c r="K81" s="113">
        <f t="shared" ref="K81" si="93">SUM(K79:K80)</f>
        <v>3144765.3099999996</v>
      </c>
      <c r="L81" s="28">
        <v>331</v>
      </c>
      <c r="M81" s="28" t="s">
        <v>659</v>
      </c>
      <c r="N81" s="557">
        <v>6736684</v>
      </c>
      <c r="Q81" s="453">
        <v>331</v>
      </c>
      <c r="R81" s="28" t="s">
        <v>659</v>
      </c>
      <c r="S81" s="113">
        <v>6736684</v>
      </c>
      <c r="V81" s="28" t="s">
        <v>804</v>
      </c>
      <c r="W81" s="113">
        <v>0</v>
      </c>
    </row>
    <row r="82" spans="1:23">
      <c r="A82" s="560"/>
      <c r="G82" s="113"/>
      <c r="H82" s="113"/>
      <c r="I82" s="113"/>
      <c r="K82" s="113"/>
      <c r="L82" s="28">
        <v>332</v>
      </c>
      <c r="M82" s="28" t="s">
        <v>660</v>
      </c>
      <c r="N82" s="557">
        <v>1738361.0100000002</v>
      </c>
      <c r="Q82" s="453">
        <v>332</v>
      </c>
      <c r="R82" s="28" t="s">
        <v>660</v>
      </c>
      <c r="S82" s="113">
        <v>1737003.81</v>
      </c>
      <c r="V82" s="28" t="s">
        <v>805</v>
      </c>
      <c r="W82" s="113">
        <v>526794.17999999993</v>
      </c>
    </row>
    <row r="83" spans="1:23">
      <c r="A83" s="559" t="s">
        <v>437</v>
      </c>
      <c r="B83" s="120">
        <f>N73</f>
        <v>1331917.94</v>
      </c>
      <c r="C83" s="120"/>
      <c r="D83" s="120">
        <f>B83+C83</f>
        <v>1331917.94</v>
      </c>
      <c r="E83" s="120"/>
      <c r="G83" s="120">
        <f>S73</f>
        <v>1334780.6200000001</v>
      </c>
      <c r="H83" s="120"/>
      <c r="I83" s="113">
        <f>B83-G83</f>
        <v>-2862.6800000001676</v>
      </c>
      <c r="K83" s="120">
        <f>W73</f>
        <v>395964.62</v>
      </c>
      <c r="L83" s="28">
        <v>333</v>
      </c>
      <c r="M83" s="28" t="s">
        <v>659</v>
      </c>
      <c r="N83" s="557">
        <v>4494116.87</v>
      </c>
      <c r="Q83" s="453">
        <v>333</v>
      </c>
      <c r="R83" s="28" t="s">
        <v>734</v>
      </c>
      <c r="S83" s="113">
        <v>4456062.17</v>
      </c>
      <c r="V83" s="28" t="s">
        <v>806</v>
      </c>
      <c r="W83" s="113">
        <v>1589481.6500000001</v>
      </c>
    </row>
    <row r="84" spans="1:23">
      <c r="A84" s="556" t="s">
        <v>374</v>
      </c>
      <c r="B84" s="113">
        <f t="shared" ref="B84" si="94">B83</f>
        <v>1331917.94</v>
      </c>
      <c r="C84" s="113">
        <f t="shared" ref="C84" si="95">C83</f>
        <v>0</v>
      </c>
      <c r="D84" s="113">
        <f t="shared" ref="D84" si="96">D83</f>
        <v>1331917.94</v>
      </c>
      <c r="G84" s="113">
        <f t="shared" ref="G84" si="97">G83</f>
        <v>1334780.6200000001</v>
      </c>
      <c r="H84" s="113"/>
      <c r="I84" s="113">
        <f t="shared" ref="I84" si="98">I83</f>
        <v>-2862.6800000001676</v>
      </c>
      <c r="K84" s="113">
        <f t="shared" ref="K84" si="99">K83</f>
        <v>395964.62</v>
      </c>
      <c r="L84" s="28">
        <v>356</v>
      </c>
      <c r="M84" s="28" t="s">
        <v>661</v>
      </c>
      <c r="N84" s="557">
        <v>1886414.28</v>
      </c>
      <c r="Q84" s="453">
        <v>356</v>
      </c>
      <c r="R84" s="28" t="s">
        <v>735</v>
      </c>
      <c r="S84" s="113">
        <v>1882452.93</v>
      </c>
      <c r="V84" s="28" t="s">
        <v>807</v>
      </c>
      <c r="W84" s="113">
        <v>507906.66</v>
      </c>
    </row>
    <row r="85" spans="1:23">
      <c r="A85" s="560"/>
      <c r="G85" s="113"/>
      <c r="H85" s="113"/>
      <c r="I85" s="113"/>
      <c r="K85" s="113"/>
      <c r="L85" s="28">
        <v>358</v>
      </c>
      <c r="M85" s="28" t="s">
        <v>662</v>
      </c>
      <c r="N85" s="557">
        <v>32134071.349999998</v>
      </c>
      <c r="Q85" s="453">
        <v>358</v>
      </c>
      <c r="R85" s="28" t="s">
        <v>736</v>
      </c>
      <c r="S85" s="113">
        <v>32037515.41</v>
      </c>
      <c r="V85" s="28" t="s">
        <v>808</v>
      </c>
      <c r="W85" s="113">
        <v>8778688.9399999995</v>
      </c>
    </row>
    <row r="86" spans="1:23">
      <c r="A86" s="559" t="s">
        <v>438</v>
      </c>
      <c r="B86" s="120">
        <f>N74</f>
        <v>0</v>
      </c>
      <c r="C86" s="120"/>
      <c r="D86" s="120">
        <f>B86+C86</f>
        <v>0</v>
      </c>
      <c r="E86" s="120"/>
      <c r="G86" s="120">
        <f>S74</f>
        <v>0</v>
      </c>
      <c r="H86" s="120"/>
      <c r="I86" s="113">
        <f>B86-G86</f>
        <v>0</v>
      </c>
      <c r="K86" s="120">
        <f>W74</f>
        <v>0</v>
      </c>
      <c r="L86" s="28">
        <v>359</v>
      </c>
      <c r="M86" s="28" t="s">
        <v>663</v>
      </c>
      <c r="N86" s="557">
        <v>29504409.749999996</v>
      </c>
      <c r="Q86" s="453">
        <v>359</v>
      </c>
      <c r="R86" s="28" t="s">
        <v>737</v>
      </c>
      <c r="S86" s="113">
        <v>29464939.75</v>
      </c>
      <c r="V86" s="28" t="s">
        <v>809</v>
      </c>
      <c r="W86" s="113">
        <v>9339011.2599999998</v>
      </c>
    </row>
    <row r="87" spans="1:23">
      <c r="A87" s="556" t="s">
        <v>375</v>
      </c>
      <c r="B87" s="113">
        <f t="shared" ref="B87" si="100">B86</f>
        <v>0</v>
      </c>
      <c r="C87" s="113">
        <f t="shared" ref="C87" si="101">C86</f>
        <v>0</v>
      </c>
      <c r="D87" s="113">
        <f t="shared" ref="D87" si="102">D86</f>
        <v>0</v>
      </c>
      <c r="G87" s="113">
        <f t="shared" ref="G87" si="103">G86</f>
        <v>0</v>
      </c>
      <c r="H87" s="113"/>
      <c r="I87" s="113">
        <f t="shared" ref="I87" si="104">I86</f>
        <v>0</v>
      </c>
      <c r="K87" s="113">
        <f t="shared" ref="K87" si="105">K86</f>
        <v>0</v>
      </c>
      <c r="L87" s="28">
        <v>360</v>
      </c>
      <c r="M87" s="28" t="s">
        <v>664</v>
      </c>
      <c r="N87" s="557">
        <v>1219717.3</v>
      </c>
      <c r="Q87" s="453">
        <v>360</v>
      </c>
      <c r="R87" s="28" t="s">
        <v>738</v>
      </c>
      <c r="S87" s="113">
        <v>1219717.3</v>
      </c>
      <c r="V87" s="28" t="s">
        <v>810</v>
      </c>
      <c r="W87" s="113">
        <v>378511.38</v>
      </c>
    </row>
    <row r="88" spans="1:23">
      <c r="A88" s="560"/>
      <c r="G88" s="113"/>
      <c r="H88" s="113"/>
      <c r="I88" s="113"/>
      <c r="K88" s="113"/>
      <c r="L88" s="28">
        <v>370</v>
      </c>
      <c r="M88" s="28" t="s">
        <v>662</v>
      </c>
      <c r="N88" s="557">
        <v>1348357.08</v>
      </c>
      <c r="Q88" s="453">
        <v>370</v>
      </c>
      <c r="R88" s="28" t="s">
        <v>738</v>
      </c>
      <c r="S88" s="113">
        <v>1348357.08</v>
      </c>
      <c r="V88" s="28" t="s">
        <v>811</v>
      </c>
      <c r="W88" s="113">
        <v>411181.80000000005</v>
      </c>
    </row>
    <row r="89" spans="1:23" s="562" customFormat="1">
      <c r="A89" s="561" t="s">
        <v>459</v>
      </c>
      <c r="B89" s="337">
        <f t="shared" ref="B89:D89" si="106">B68+B71+B74+B77+B81+B84+B87</f>
        <v>58643284.349999994</v>
      </c>
      <c r="C89" s="337">
        <f t="shared" si="106"/>
        <v>0</v>
      </c>
      <c r="D89" s="337">
        <f t="shared" si="106"/>
        <v>58643284.349999994</v>
      </c>
      <c r="E89" s="337"/>
      <c r="G89" s="337">
        <f t="shared" ref="G89" si="107">G68+G71+G74+G77+G81+G84+G87</f>
        <v>58615771.799999997</v>
      </c>
      <c r="H89" s="337"/>
      <c r="I89" s="337">
        <f>I68+I71+I74+I77+I81+I84+I87</f>
        <v>27512.549999997194</v>
      </c>
      <c r="K89" s="337">
        <f t="shared" ref="K89" si="108">K68+K71+K74+K77+K81+K84+K87</f>
        <v>14937978.070000002</v>
      </c>
      <c r="L89" s="28">
        <v>371</v>
      </c>
      <c r="M89" s="28" t="s">
        <v>663</v>
      </c>
      <c r="N89" s="557">
        <v>97969378.969999999</v>
      </c>
      <c r="O89" s="28"/>
      <c r="P89" s="28"/>
      <c r="Q89" s="453">
        <v>371</v>
      </c>
      <c r="R89" s="28" t="s">
        <v>738</v>
      </c>
      <c r="S89" s="113">
        <v>97972553.370000005</v>
      </c>
      <c r="T89" s="28"/>
      <c r="V89" s="28" t="s">
        <v>812</v>
      </c>
      <c r="W89" s="113">
        <v>32042186.540000003</v>
      </c>
    </row>
    <row r="90" spans="1:23">
      <c r="A90" s="560"/>
      <c r="G90" s="113"/>
      <c r="H90" s="113"/>
      <c r="I90" s="113"/>
      <c r="K90" s="113"/>
      <c r="L90" s="28">
        <v>372</v>
      </c>
      <c r="M90" s="28" t="s">
        <v>665</v>
      </c>
      <c r="N90" s="557">
        <v>18125391.849999998</v>
      </c>
      <c r="Q90" s="453">
        <v>372</v>
      </c>
      <c r="R90" s="28" t="s">
        <v>738</v>
      </c>
      <c r="S90" s="113">
        <v>17783670.079999998</v>
      </c>
      <c r="V90" s="28" t="s">
        <v>813</v>
      </c>
      <c r="W90" s="113">
        <v>5810678.7599999998</v>
      </c>
    </row>
    <row r="91" spans="1:23">
      <c r="A91" s="559" t="s">
        <v>442</v>
      </c>
      <c r="B91" s="120">
        <f>N78</f>
        <v>13764690.599999998</v>
      </c>
      <c r="C91" s="120"/>
      <c r="D91" s="120">
        <f>B91+C91</f>
        <v>13764690.599999998</v>
      </c>
      <c r="E91" s="120"/>
      <c r="G91" s="120">
        <f>S78</f>
        <v>13809825.189999999</v>
      </c>
      <c r="H91" s="120"/>
      <c r="I91" s="113">
        <f>B91-G91</f>
        <v>-45134.590000001714</v>
      </c>
      <c r="K91" s="120">
        <f>W78</f>
        <v>3471922.79</v>
      </c>
      <c r="L91" s="28">
        <v>528</v>
      </c>
      <c r="M91" s="28" t="s">
        <v>693</v>
      </c>
      <c r="N91" s="557">
        <v>1931844.2000000002</v>
      </c>
      <c r="Q91" s="453">
        <v>528</v>
      </c>
      <c r="R91" s="28" t="s">
        <v>739</v>
      </c>
      <c r="S91" s="113">
        <v>1931825.08</v>
      </c>
      <c r="V91" s="28" t="s">
        <v>814</v>
      </c>
      <c r="W91" s="113">
        <v>380506.91000000003</v>
      </c>
    </row>
    <row r="92" spans="1:23">
      <c r="A92" s="556" t="s">
        <v>379</v>
      </c>
      <c r="B92" s="113">
        <f t="shared" ref="B92" si="109">B91</f>
        <v>13764690.599999998</v>
      </c>
      <c r="C92" s="113">
        <f t="shared" ref="C92" si="110">C91</f>
        <v>0</v>
      </c>
      <c r="D92" s="113">
        <f t="shared" ref="D92" si="111">D91</f>
        <v>13764690.599999998</v>
      </c>
      <c r="G92" s="113">
        <f t="shared" ref="G92" si="112">G91</f>
        <v>13809825.189999999</v>
      </c>
      <c r="H92" s="113"/>
      <c r="I92" s="113">
        <f t="shared" ref="I92" si="113">I91</f>
        <v>-45134.590000001714</v>
      </c>
      <c r="K92" s="113">
        <f t="shared" ref="K92" si="114">K91</f>
        <v>3471922.79</v>
      </c>
      <c r="L92" s="28">
        <v>540</v>
      </c>
      <c r="M92" s="28" t="s">
        <v>666</v>
      </c>
      <c r="N92" s="557">
        <v>251660.08000000002</v>
      </c>
      <c r="Q92" s="453">
        <v>540</v>
      </c>
      <c r="R92" s="28" t="s">
        <v>740</v>
      </c>
      <c r="S92" s="113">
        <v>252256.79</v>
      </c>
      <c r="T92" s="562"/>
      <c r="V92" s="28" t="s">
        <v>815</v>
      </c>
      <c r="W92" s="113">
        <v>63809.719999999994</v>
      </c>
    </row>
    <row r="93" spans="1:23">
      <c r="A93" s="560"/>
      <c r="G93" s="113"/>
      <c r="H93" s="113"/>
      <c r="I93" s="113"/>
      <c r="K93" s="113"/>
      <c r="N93" s="557"/>
      <c r="Q93" s="453"/>
      <c r="W93" s="455"/>
    </row>
    <row r="94" spans="1:23">
      <c r="A94" s="559" t="s">
        <v>443</v>
      </c>
      <c r="B94" s="120">
        <f>N79</f>
        <v>241193.15999999997</v>
      </c>
      <c r="C94" s="120"/>
      <c r="D94" s="120">
        <f>B94+C94</f>
        <v>241193.15999999997</v>
      </c>
      <c r="E94" s="120"/>
      <c r="G94" s="120">
        <f>S79</f>
        <v>243750.34</v>
      </c>
      <c r="H94" s="120"/>
      <c r="I94" s="113">
        <f>B94-G94</f>
        <v>-2557.1800000000221</v>
      </c>
      <c r="K94" s="120">
        <f>W79</f>
        <v>63878.92</v>
      </c>
      <c r="N94" s="557">
        <f>SUM(N11:N92)</f>
        <v>694002526.22000003</v>
      </c>
      <c r="O94" s="562"/>
      <c r="P94" s="562"/>
      <c r="Q94" s="453"/>
      <c r="S94" s="113">
        <f>SUM(S11:S92)</f>
        <v>695662029.82000005</v>
      </c>
      <c r="W94" s="113">
        <f>SUM(W11:W92)</f>
        <v>179230493.03999999</v>
      </c>
    </row>
    <row r="95" spans="1:23">
      <c r="A95" s="556" t="s">
        <v>380</v>
      </c>
      <c r="B95" s="113">
        <f t="shared" ref="B95" si="115">B94</f>
        <v>241193.15999999997</v>
      </c>
      <c r="C95" s="113">
        <f t="shared" ref="C95" si="116">C94</f>
        <v>0</v>
      </c>
      <c r="D95" s="113">
        <f t="shared" ref="D95" si="117">D94</f>
        <v>241193.15999999997</v>
      </c>
      <c r="G95" s="113">
        <f t="shared" ref="G95" si="118">G94</f>
        <v>243750.34</v>
      </c>
      <c r="H95" s="113"/>
      <c r="I95" s="113">
        <f t="shared" ref="I95" si="119">I94</f>
        <v>-2557.1800000000221</v>
      </c>
      <c r="K95" s="113">
        <f t="shared" ref="K95" si="120">K94</f>
        <v>63878.92</v>
      </c>
      <c r="N95" s="557"/>
      <c r="Q95" s="453"/>
      <c r="W95" s="562"/>
    </row>
    <row r="96" spans="1:23">
      <c r="A96" s="556"/>
      <c r="C96" s="565"/>
      <c r="G96" s="113"/>
      <c r="H96" s="113"/>
      <c r="I96" s="113"/>
      <c r="K96" s="113"/>
      <c r="N96" s="557"/>
      <c r="Q96" s="453"/>
      <c r="S96" s="563"/>
      <c r="V96" s="562"/>
    </row>
    <row r="97" spans="1:18">
      <c r="A97" s="561" t="s">
        <v>460</v>
      </c>
      <c r="B97" s="337">
        <f t="shared" ref="B97:D97" si="121">B92+B95</f>
        <v>14005883.759999998</v>
      </c>
      <c r="C97" s="337">
        <f t="shared" si="121"/>
        <v>0</v>
      </c>
      <c r="D97" s="337">
        <f t="shared" si="121"/>
        <v>14005883.759999998</v>
      </c>
      <c r="E97" s="337"/>
      <c r="G97" s="337">
        <f t="shared" ref="G97" si="122">G92+G95</f>
        <v>14053575.529999999</v>
      </c>
      <c r="H97" s="337"/>
      <c r="I97" s="337">
        <f>I92+I95</f>
        <v>-47691.770000001736</v>
      </c>
      <c r="K97" s="337">
        <f t="shared" ref="K97" si="123">K92+K95</f>
        <v>3535801.71</v>
      </c>
      <c r="N97" s="557"/>
      <c r="Q97" s="453"/>
      <c r="R97" s="562"/>
    </row>
    <row r="98" spans="1:18">
      <c r="A98" s="560"/>
      <c r="G98" s="113"/>
      <c r="H98" s="113"/>
      <c r="I98" s="113"/>
      <c r="K98" s="113"/>
      <c r="N98" s="557"/>
      <c r="Q98" s="453"/>
    </row>
    <row r="99" spans="1:18">
      <c r="A99" s="559" t="s">
        <v>448</v>
      </c>
      <c r="B99" s="120">
        <f>N84</f>
        <v>1886414.28</v>
      </c>
      <c r="C99" s="120"/>
      <c r="D99" s="120">
        <f>B99+C99</f>
        <v>1886414.28</v>
      </c>
      <c r="E99" s="120"/>
      <c r="G99" s="120">
        <f>S84</f>
        <v>1882452.93</v>
      </c>
      <c r="H99" s="120"/>
      <c r="I99" s="113">
        <f>B99-G99</f>
        <v>3961.3500000000931</v>
      </c>
      <c r="K99" s="120">
        <f>W84</f>
        <v>507906.66</v>
      </c>
      <c r="N99" s="557"/>
      <c r="Q99" s="453"/>
    </row>
    <row r="100" spans="1:18">
      <c r="A100" s="556" t="s">
        <v>384</v>
      </c>
      <c r="B100" s="113">
        <f t="shared" ref="B100:D100" si="124">B99</f>
        <v>1886414.28</v>
      </c>
      <c r="C100" s="113">
        <f t="shared" si="124"/>
        <v>0</v>
      </c>
      <c r="D100" s="113">
        <f t="shared" si="124"/>
        <v>1886414.28</v>
      </c>
      <c r="G100" s="113">
        <f t="shared" ref="G100" si="125">G99</f>
        <v>1882452.93</v>
      </c>
      <c r="H100" s="113"/>
      <c r="I100" s="113">
        <f t="shared" ref="I100" si="126">I99</f>
        <v>3961.3500000000931</v>
      </c>
      <c r="K100" s="113">
        <f t="shared" ref="K100" si="127">K99</f>
        <v>507906.66</v>
      </c>
      <c r="N100" s="557"/>
      <c r="Q100" s="453"/>
    </row>
    <row r="101" spans="1:18" ht="12.6" customHeight="1">
      <c r="A101" s="560"/>
      <c r="G101" s="113"/>
      <c r="H101" s="113"/>
      <c r="I101" s="113"/>
      <c r="K101" s="113"/>
      <c r="L101" s="562"/>
      <c r="M101" s="562"/>
      <c r="N101" s="564"/>
      <c r="Q101" s="453"/>
    </row>
    <row r="102" spans="1:18">
      <c r="A102" s="556" t="s">
        <v>444</v>
      </c>
      <c r="B102" s="113">
        <f>N80</f>
        <v>3869557.11</v>
      </c>
      <c r="D102" s="113">
        <f>B102+C102</f>
        <v>3869557.11</v>
      </c>
      <c r="G102" s="113">
        <f>S80</f>
        <v>3898745.04</v>
      </c>
      <c r="H102" s="113"/>
      <c r="I102" s="113">
        <f>B102-G102</f>
        <v>-29187.930000000168</v>
      </c>
      <c r="K102" s="113">
        <f>W80</f>
        <v>1016673.94</v>
      </c>
      <c r="N102" s="557"/>
      <c r="Q102" s="453"/>
    </row>
    <row r="103" spans="1:18">
      <c r="A103" s="556" t="s">
        <v>449</v>
      </c>
      <c r="B103" s="113">
        <f>N85</f>
        <v>32134071.349999998</v>
      </c>
      <c r="D103" s="113">
        <f>B103+C103</f>
        <v>32134071.349999998</v>
      </c>
      <c r="G103" s="113">
        <f>S85</f>
        <v>32037515.41</v>
      </c>
      <c r="H103" s="113"/>
      <c r="I103" s="113">
        <f>B103-G103</f>
        <v>96555.939999997616</v>
      </c>
      <c r="K103" s="113">
        <f>W85</f>
        <v>8778688.9399999995</v>
      </c>
      <c r="N103" s="557"/>
      <c r="Q103" s="453"/>
    </row>
    <row r="104" spans="1:18">
      <c r="A104" s="559" t="s">
        <v>452</v>
      </c>
      <c r="B104" s="120">
        <f>N88</f>
        <v>1348357.08</v>
      </c>
      <c r="C104" s="120"/>
      <c r="D104" s="120">
        <f>B104+C104</f>
        <v>1348357.08</v>
      </c>
      <c r="E104" s="120"/>
      <c r="G104" s="120">
        <f>S88</f>
        <v>1348357.08</v>
      </c>
      <c r="H104" s="120"/>
      <c r="I104" s="113">
        <f>B104-G104</f>
        <v>0</v>
      </c>
      <c r="K104" s="120">
        <f>W88</f>
        <v>411181.80000000005</v>
      </c>
      <c r="N104" s="557"/>
      <c r="Q104" s="453"/>
    </row>
    <row r="105" spans="1:18">
      <c r="A105" s="556" t="s">
        <v>381</v>
      </c>
      <c r="B105" s="113">
        <f t="shared" ref="B105:D105" si="128">SUM(B102:B104)</f>
        <v>37351985.539999999</v>
      </c>
      <c r="C105" s="113">
        <f t="shared" si="128"/>
        <v>0</v>
      </c>
      <c r="D105" s="113">
        <f t="shared" si="128"/>
        <v>37351985.539999999</v>
      </c>
      <c r="G105" s="113">
        <f t="shared" ref="G105" si="129">SUM(G102:G104)</f>
        <v>37284617.530000001</v>
      </c>
      <c r="H105" s="113"/>
      <c r="I105" s="113">
        <f t="shared" ref="I105" si="130">SUM(I102:I104)</f>
        <v>67368.009999997448</v>
      </c>
      <c r="K105" s="113">
        <f t="shared" ref="K105" si="131">SUM(K102:K104)</f>
        <v>10206544.68</v>
      </c>
      <c r="N105" s="557"/>
      <c r="Q105" s="453"/>
    </row>
    <row r="106" spans="1:18">
      <c r="A106" s="560"/>
      <c r="G106" s="113"/>
      <c r="H106" s="113"/>
      <c r="I106" s="113"/>
      <c r="K106" s="113"/>
      <c r="N106" s="557"/>
      <c r="Q106" s="453"/>
    </row>
    <row r="107" spans="1:18">
      <c r="A107" s="556" t="s">
        <v>445</v>
      </c>
      <c r="B107" s="113">
        <f>N81</f>
        <v>6736684</v>
      </c>
      <c r="D107" s="113">
        <f>B107+C107</f>
        <v>6736684</v>
      </c>
      <c r="G107" s="113">
        <f>S81</f>
        <v>6736684</v>
      </c>
      <c r="H107" s="113"/>
      <c r="I107" s="113">
        <f>B107-G107</f>
        <v>0</v>
      </c>
      <c r="K107" s="113">
        <f>W81</f>
        <v>0</v>
      </c>
      <c r="N107" s="557"/>
      <c r="Q107" s="453"/>
    </row>
    <row r="108" spans="1:18">
      <c r="A108" s="556" t="s">
        <v>447</v>
      </c>
      <c r="B108" s="113">
        <f>N83</f>
        <v>4494116.87</v>
      </c>
      <c r="D108" s="113">
        <f>B108+C108</f>
        <v>4494116.87</v>
      </c>
      <c r="G108" s="113">
        <f>S83</f>
        <v>4456062.17</v>
      </c>
      <c r="H108" s="113"/>
      <c r="I108" s="113">
        <f>B108-G108</f>
        <v>38054.700000000186</v>
      </c>
      <c r="K108" s="113">
        <f>W83</f>
        <v>1589481.6500000001</v>
      </c>
      <c r="N108" s="557"/>
      <c r="Q108" s="453"/>
    </row>
    <row r="109" spans="1:18">
      <c r="A109" s="556" t="s">
        <v>450</v>
      </c>
      <c r="B109" s="113">
        <f>N86</f>
        <v>29504409.749999996</v>
      </c>
      <c r="D109" s="113">
        <f>B109+C109</f>
        <v>29504409.749999996</v>
      </c>
      <c r="G109" s="113">
        <f>S86</f>
        <v>29464939.75</v>
      </c>
      <c r="H109" s="113"/>
      <c r="I109" s="113">
        <f>B109-G109</f>
        <v>39469.999999996275</v>
      </c>
      <c r="K109" s="113">
        <f>W86</f>
        <v>9339011.2599999998</v>
      </c>
      <c r="N109" s="557"/>
      <c r="Q109" s="453"/>
    </row>
    <row r="110" spans="1:18">
      <c r="A110" s="559" t="s">
        <v>453</v>
      </c>
      <c r="B110" s="120">
        <f>N89</f>
        <v>97969378.969999999</v>
      </c>
      <c r="C110" s="120"/>
      <c r="D110" s="120">
        <f>B110+C110</f>
        <v>97969378.969999999</v>
      </c>
      <c r="E110" s="120"/>
      <c r="G110" s="120">
        <f>S89</f>
        <v>97972553.370000005</v>
      </c>
      <c r="H110" s="120"/>
      <c r="I110" s="113">
        <f>B110-G110</f>
        <v>-3174.4000000059605</v>
      </c>
      <c r="K110" s="120">
        <f>W89</f>
        <v>32042186.540000003</v>
      </c>
      <c r="N110" s="557"/>
      <c r="Q110" s="453"/>
    </row>
    <row r="111" spans="1:18">
      <c r="A111" s="556" t="s">
        <v>382</v>
      </c>
      <c r="B111" s="113">
        <f t="shared" ref="B111:D111" si="132">SUM(B107:B110)</f>
        <v>138704589.59</v>
      </c>
      <c r="C111" s="113">
        <f t="shared" si="132"/>
        <v>0</v>
      </c>
      <c r="D111" s="113">
        <f t="shared" si="132"/>
        <v>138704589.59</v>
      </c>
      <c r="G111" s="113">
        <f t="shared" ref="G111" si="133">SUM(G107:G110)</f>
        <v>138630239.29000002</v>
      </c>
      <c r="H111" s="113"/>
      <c r="I111" s="113">
        <f t="shared" ref="I111" si="134">SUM(I107:I110)</f>
        <v>74350.299999990501</v>
      </c>
      <c r="K111" s="113">
        <f t="shared" ref="K111" si="135">SUM(K107:K110)</f>
        <v>42970679.450000003</v>
      </c>
      <c r="N111" s="557"/>
      <c r="Q111" s="453"/>
    </row>
    <row r="112" spans="1:18">
      <c r="A112" s="560"/>
      <c r="G112" s="113"/>
      <c r="H112" s="113"/>
      <c r="I112" s="113"/>
      <c r="K112" s="113"/>
      <c r="N112" s="557"/>
      <c r="Q112" s="453"/>
    </row>
    <row r="113" spans="1:17">
      <c r="A113" s="556" t="s">
        <v>446</v>
      </c>
      <c r="B113" s="113">
        <f>N82</f>
        <v>1738361.0100000002</v>
      </c>
      <c r="D113" s="113">
        <f>B113+C113</f>
        <v>1738361.0100000002</v>
      </c>
      <c r="G113" s="113">
        <f>S82</f>
        <v>1737003.81</v>
      </c>
      <c r="H113" s="113"/>
      <c r="I113" s="113">
        <f>B113-G113</f>
        <v>1357.2000000001863</v>
      </c>
      <c r="K113" s="113">
        <f>W82</f>
        <v>526794.17999999993</v>
      </c>
      <c r="N113" s="557"/>
      <c r="Q113" s="453"/>
    </row>
    <row r="114" spans="1:17">
      <c r="A114" s="556" t="s">
        <v>451</v>
      </c>
      <c r="B114" s="113">
        <f>N87</f>
        <v>1219717.3</v>
      </c>
      <c r="D114" s="113">
        <f>B114+C114</f>
        <v>1219717.3</v>
      </c>
      <c r="G114" s="113">
        <f>S87</f>
        <v>1219717.3</v>
      </c>
      <c r="H114" s="113"/>
      <c r="I114" s="113">
        <f>B114-G114</f>
        <v>0</v>
      </c>
      <c r="K114" s="113">
        <f>W87</f>
        <v>378511.38</v>
      </c>
      <c r="N114" s="557"/>
      <c r="Q114" s="453"/>
    </row>
    <row r="115" spans="1:17">
      <c r="A115" s="559" t="s">
        <v>454</v>
      </c>
      <c r="B115" s="120">
        <f>N90</f>
        <v>18125391.849999998</v>
      </c>
      <c r="C115" s="120"/>
      <c r="D115" s="120">
        <f>B115+C115</f>
        <v>18125391.849999998</v>
      </c>
      <c r="E115" s="120"/>
      <c r="G115" s="120">
        <f>S90</f>
        <v>17783670.079999998</v>
      </c>
      <c r="H115" s="120"/>
      <c r="I115" s="113">
        <f>B115-G115</f>
        <v>341721.76999999955</v>
      </c>
      <c r="K115" s="120">
        <f>W90</f>
        <v>5810678.7599999998</v>
      </c>
      <c r="N115" s="557"/>
      <c r="Q115" s="453"/>
    </row>
    <row r="116" spans="1:17">
      <c r="A116" s="556" t="s">
        <v>383</v>
      </c>
      <c r="B116" s="113">
        <f t="shared" ref="B116:D116" si="136">SUM(B113:B115)</f>
        <v>21083470.159999996</v>
      </c>
      <c r="C116" s="113">
        <f t="shared" si="136"/>
        <v>0</v>
      </c>
      <c r="D116" s="113">
        <f t="shared" si="136"/>
        <v>21083470.159999996</v>
      </c>
      <c r="G116" s="113">
        <f t="shared" ref="G116" si="137">SUM(G113:G115)</f>
        <v>20740391.189999998</v>
      </c>
      <c r="H116" s="113"/>
      <c r="I116" s="113">
        <f t="shared" ref="I116" si="138">SUM(I113:I115)</f>
        <v>343078.96999999974</v>
      </c>
      <c r="K116" s="113">
        <f t="shared" ref="K116" si="139">SUM(K113:K115)</f>
        <v>6715984.3199999994</v>
      </c>
      <c r="N116" s="557"/>
      <c r="Q116" s="453"/>
    </row>
    <row r="117" spans="1:17">
      <c r="A117" s="560"/>
      <c r="G117" s="113"/>
      <c r="H117" s="113"/>
      <c r="I117" s="113"/>
      <c r="K117" s="113"/>
      <c r="N117" s="557"/>
      <c r="Q117" s="453"/>
    </row>
    <row r="118" spans="1:17">
      <c r="A118" s="561" t="s">
        <v>461</v>
      </c>
      <c r="B118" s="337">
        <f t="shared" ref="B118:D118" si="140">B100+B105+B111+B116</f>
        <v>199026459.56999999</v>
      </c>
      <c r="C118" s="337">
        <f t="shared" si="140"/>
        <v>0</v>
      </c>
      <c r="D118" s="337">
        <f t="shared" si="140"/>
        <v>199026459.56999999</v>
      </c>
      <c r="E118" s="337"/>
      <c r="G118" s="337">
        <f t="shared" ref="G118" si="141">G100+G105+G111+G116</f>
        <v>198537700.94000003</v>
      </c>
      <c r="H118" s="337"/>
      <c r="I118" s="337">
        <f>I100+I105+I111+I116</f>
        <v>488758.62999998778</v>
      </c>
      <c r="K118" s="337">
        <f t="shared" ref="K118" si="142">K100+K105+K111+K116</f>
        <v>60401115.110000007</v>
      </c>
      <c r="N118" s="557"/>
      <c r="Q118" s="453"/>
    </row>
    <row r="119" spans="1:17">
      <c r="A119" s="560"/>
      <c r="G119" s="113"/>
      <c r="H119" s="113"/>
      <c r="I119" s="113"/>
      <c r="K119" s="113"/>
      <c r="N119" s="557"/>
      <c r="Q119" s="453"/>
    </row>
    <row r="120" spans="1:17">
      <c r="A120" s="556" t="s">
        <v>399</v>
      </c>
      <c r="B120" s="113">
        <f>N25</f>
        <v>103052.65000000001</v>
      </c>
      <c r="D120" s="113">
        <f t="shared" ref="D120:D150" si="143">B120+C120</f>
        <v>103052.65000000001</v>
      </c>
      <c r="G120" s="113">
        <f>S25</f>
        <v>103237.57</v>
      </c>
      <c r="H120" s="113"/>
      <c r="I120" s="113">
        <f t="shared" ref="I120:I137" si="144">B120-G120</f>
        <v>-184.91999999999825</v>
      </c>
      <c r="K120" s="113">
        <f>W25</f>
        <v>19020.21</v>
      </c>
      <c r="N120" s="557"/>
      <c r="P120" s="453"/>
      <c r="Q120" s="453"/>
    </row>
    <row r="121" spans="1:17">
      <c r="A121" s="556" t="s">
        <v>400</v>
      </c>
      <c r="B121" s="113">
        <f t="shared" ref="B121:B148" si="145">N26</f>
        <v>2580685.59</v>
      </c>
      <c r="D121" s="113">
        <f t="shared" si="143"/>
        <v>2580685.59</v>
      </c>
      <c r="G121" s="113">
        <f t="shared" ref="G121:G148" si="146">S26</f>
        <v>2588093.7200000002</v>
      </c>
      <c r="H121" s="113"/>
      <c r="I121" s="113">
        <f t="shared" si="144"/>
        <v>-7408.1300000003539</v>
      </c>
      <c r="K121" s="113">
        <f t="shared" ref="K121:K148" si="147">W26</f>
        <v>415008.07999999996</v>
      </c>
      <c r="N121" s="557"/>
      <c r="P121" s="453"/>
      <c r="Q121" s="453"/>
    </row>
    <row r="122" spans="1:17">
      <c r="A122" s="556" t="s">
        <v>401</v>
      </c>
      <c r="B122" s="113">
        <f t="shared" si="145"/>
        <v>26568.15</v>
      </c>
      <c r="D122" s="113">
        <f t="shared" si="143"/>
        <v>26568.15</v>
      </c>
      <c r="G122" s="113">
        <f t="shared" si="146"/>
        <v>26538.03</v>
      </c>
      <c r="H122" s="113"/>
      <c r="I122" s="113">
        <f t="shared" si="144"/>
        <v>30.120000000002619</v>
      </c>
      <c r="K122" s="113">
        <f t="shared" si="147"/>
        <v>5507.62</v>
      </c>
      <c r="N122" s="557"/>
      <c r="P122" s="453"/>
      <c r="Q122" s="453"/>
    </row>
    <row r="123" spans="1:17">
      <c r="A123" s="556" t="s">
        <v>402</v>
      </c>
      <c r="B123" s="113">
        <f t="shared" si="145"/>
        <v>354348.1100000001</v>
      </c>
      <c r="D123" s="113">
        <f t="shared" si="143"/>
        <v>354348.1100000001</v>
      </c>
      <c r="G123" s="113">
        <f t="shared" si="146"/>
        <v>354174.37</v>
      </c>
      <c r="H123" s="113"/>
      <c r="I123" s="113">
        <f t="shared" si="144"/>
        <v>173.7400000001071</v>
      </c>
      <c r="K123" s="113">
        <f t="shared" si="147"/>
        <v>67417.650000000009</v>
      </c>
      <c r="N123" s="557"/>
      <c r="P123" s="453"/>
      <c r="Q123" s="453"/>
    </row>
    <row r="124" spans="1:17">
      <c r="A124" s="556" t="s">
        <v>403</v>
      </c>
      <c r="B124" s="113">
        <f t="shared" si="145"/>
        <v>97450.289999999979</v>
      </c>
      <c r="D124" s="113">
        <f t="shared" si="143"/>
        <v>97450.289999999979</v>
      </c>
      <c r="G124" s="113">
        <f t="shared" si="146"/>
        <v>97082.4</v>
      </c>
      <c r="H124" s="113"/>
      <c r="I124" s="113">
        <f t="shared" si="144"/>
        <v>367.88999999998487</v>
      </c>
      <c r="K124" s="113">
        <f t="shared" si="147"/>
        <v>20124.440000000002</v>
      </c>
      <c r="N124" s="557"/>
      <c r="P124" s="453"/>
      <c r="Q124" s="453"/>
    </row>
    <row r="125" spans="1:17">
      <c r="A125" s="556" t="s">
        <v>404</v>
      </c>
      <c r="B125" s="113">
        <f t="shared" si="145"/>
        <v>1130.8900000000001</v>
      </c>
      <c r="D125" s="113">
        <f t="shared" si="143"/>
        <v>1130.8900000000001</v>
      </c>
      <c r="G125" s="113">
        <f t="shared" si="146"/>
        <v>1128.1600000000001</v>
      </c>
      <c r="H125" s="113"/>
      <c r="I125" s="113">
        <f t="shared" si="144"/>
        <v>2.7300000000000182</v>
      </c>
      <c r="K125" s="113">
        <f t="shared" si="147"/>
        <v>215.22</v>
      </c>
      <c r="N125" s="557"/>
      <c r="P125" s="453"/>
      <c r="Q125" s="453"/>
    </row>
    <row r="126" spans="1:17">
      <c r="A126" s="556" t="s">
        <v>405</v>
      </c>
      <c r="B126" s="113">
        <f t="shared" si="145"/>
        <v>926.04</v>
      </c>
      <c r="D126" s="113">
        <f t="shared" si="143"/>
        <v>926.04</v>
      </c>
      <c r="G126" s="113">
        <f t="shared" si="146"/>
        <v>921.73</v>
      </c>
      <c r="H126" s="113"/>
      <c r="I126" s="113">
        <f t="shared" si="144"/>
        <v>4.3099999999999454</v>
      </c>
      <c r="K126" s="113">
        <f t="shared" si="147"/>
        <v>178.32</v>
      </c>
      <c r="N126" s="557"/>
      <c r="P126" s="453"/>
      <c r="Q126" s="453"/>
    </row>
    <row r="127" spans="1:17" ht="12.6" customHeight="1">
      <c r="A127" s="556" t="s">
        <v>406</v>
      </c>
      <c r="B127" s="113">
        <f t="shared" si="145"/>
        <v>418990.23</v>
      </c>
      <c r="D127" s="113">
        <f t="shared" si="143"/>
        <v>418990.23</v>
      </c>
      <c r="G127" s="113">
        <f t="shared" si="146"/>
        <v>418121.38</v>
      </c>
      <c r="H127" s="113"/>
      <c r="I127" s="113">
        <f t="shared" si="144"/>
        <v>868.84999999997672</v>
      </c>
      <c r="K127" s="113">
        <f t="shared" si="147"/>
        <v>77658.53</v>
      </c>
      <c r="L127" s="562"/>
      <c r="M127" s="562"/>
      <c r="N127" s="564"/>
      <c r="P127" s="453"/>
      <c r="Q127" s="453"/>
    </row>
    <row r="128" spans="1:17">
      <c r="A128" s="556" t="s">
        <v>407</v>
      </c>
      <c r="B128" s="113">
        <f t="shared" si="145"/>
        <v>1537194.9300000002</v>
      </c>
      <c r="D128" s="113">
        <f t="shared" si="143"/>
        <v>1537194.9300000002</v>
      </c>
      <c r="G128" s="113">
        <f t="shared" si="146"/>
        <v>1537770.51</v>
      </c>
      <c r="H128" s="113"/>
      <c r="I128" s="113">
        <f t="shared" si="144"/>
        <v>-575.57999999984168</v>
      </c>
      <c r="K128" s="113">
        <f t="shared" si="147"/>
        <v>316754.66000000003</v>
      </c>
      <c r="N128" s="557"/>
      <c r="P128" s="453"/>
      <c r="Q128" s="453"/>
    </row>
    <row r="129" spans="1:17">
      <c r="A129" s="556" t="s">
        <v>408</v>
      </c>
      <c r="B129" s="113">
        <f t="shared" si="145"/>
        <v>54576.42</v>
      </c>
      <c r="D129" s="113">
        <f t="shared" si="143"/>
        <v>54576.42</v>
      </c>
      <c r="G129" s="113">
        <f t="shared" si="146"/>
        <v>54467.7</v>
      </c>
      <c r="H129" s="113"/>
      <c r="I129" s="113">
        <f t="shared" si="144"/>
        <v>108.72000000000116</v>
      </c>
      <c r="K129" s="113">
        <f t="shared" si="147"/>
        <v>10187.5</v>
      </c>
      <c r="N129" s="557"/>
      <c r="P129" s="453"/>
      <c r="Q129" s="453"/>
    </row>
    <row r="130" spans="1:17">
      <c r="A130" s="556" t="s">
        <v>409</v>
      </c>
      <c r="B130" s="113">
        <f t="shared" si="145"/>
        <v>181047.22000000003</v>
      </c>
      <c r="D130" s="113">
        <f t="shared" si="143"/>
        <v>181047.22000000003</v>
      </c>
      <c r="G130" s="113">
        <f t="shared" si="146"/>
        <v>182208.22</v>
      </c>
      <c r="H130" s="113"/>
      <c r="I130" s="113">
        <f t="shared" si="144"/>
        <v>-1160.9999999999709</v>
      </c>
      <c r="K130" s="113">
        <f t="shared" si="147"/>
        <v>28841.56</v>
      </c>
      <c r="N130" s="557"/>
      <c r="P130" s="453"/>
      <c r="Q130" s="453"/>
    </row>
    <row r="131" spans="1:17">
      <c r="A131" s="556" t="s">
        <v>410</v>
      </c>
      <c r="B131" s="113">
        <f t="shared" si="145"/>
        <v>3099902.4000000004</v>
      </c>
      <c r="D131" s="113">
        <f t="shared" si="143"/>
        <v>3099902.4000000004</v>
      </c>
      <c r="G131" s="113">
        <f t="shared" si="146"/>
        <v>3115385.62</v>
      </c>
      <c r="H131" s="113"/>
      <c r="I131" s="113">
        <f t="shared" si="144"/>
        <v>-15483.219999999739</v>
      </c>
      <c r="K131" s="113">
        <f t="shared" si="147"/>
        <v>540353.25</v>
      </c>
      <c r="N131" s="557"/>
      <c r="P131" s="453"/>
      <c r="Q131" s="453"/>
    </row>
    <row r="132" spans="1:17">
      <c r="A132" s="556" t="s">
        <v>411</v>
      </c>
      <c r="B132" s="113">
        <f t="shared" si="145"/>
        <v>364837.74</v>
      </c>
      <c r="D132" s="113">
        <f t="shared" si="143"/>
        <v>364837.74</v>
      </c>
      <c r="G132" s="113">
        <f t="shared" si="146"/>
        <v>365022.6</v>
      </c>
      <c r="H132" s="113"/>
      <c r="I132" s="113">
        <f t="shared" si="144"/>
        <v>-184.85999999998603</v>
      </c>
      <c r="K132" s="113">
        <f t="shared" si="147"/>
        <v>73100.670000000013</v>
      </c>
      <c r="N132" s="557"/>
      <c r="P132" s="453"/>
      <c r="Q132" s="453"/>
    </row>
    <row r="133" spans="1:17">
      <c r="A133" s="556" t="s">
        <v>412</v>
      </c>
      <c r="B133" s="113">
        <f t="shared" si="145"/>
        <v>945.38</v>
      </c>
      <c r="D133" s="113">
        <f t="shared" si="143"/>
        <v>945.38</v>
      </c>
      <c r="G133" s="113">
        <f t="shared" si="146"/>
        <v>944.26</v>
      </c>
      <c r="H133" s="113"/>
      <c r="I133" s="113">
        <f t="shared" si="144"/>
        <v>1.1200000000000045</v>
      </c>
      <c r="K133" s="113">
        <f t="shared" si="147"/>
        <v>153.12</v>
      </c>
      <c r="N133" s="557"/>
      <c r="P133" s="453"/>
      <c r="Q133" s="453"/>
    </row>
    <row r="134" spans="1:17">
      <c r="A134" s="556" t="s">
        <v>413</v>
      </c>
      <c r="B134" s="113">
        <f t="shared" si="145"/>
        <v>26766.570000000003</v>
      </c>
      <c r="D134" s="113">
        <f t="shared" si="143"/>
        <v>26766.570000000003</v>
      </c>
      <c r="G134" s="113">
        <f t="shared" si="146"/>
        <v>26680.38</v>
      </c>
      <c r="H134" s="113"/>
      <c r="I134" s="113">
        <f t="shared" si="144"/>
        <v>86.190000000002328</v>
      </c>
      <c r="K134" s="113">
        <f t="shared" si="147"/>
        <v>4265.8899999999994</v>
      </c>
      <c r="N134" s="557"/>
      <c r="P134" s="453"/>
      <c r="Q134" s="453"/>
    </row>
    <row r="135" spans="1:17">
      <c r="A135" s="556" t="s">
        <v>414</v>
      </c>
      <c r="B135" s="113">
        <f t="shared" si="145"/>
        <v>2035.4199999999998</v>
      </c>
      <c r="D135" s="113">
        <f t="shared" si="143"/>
        <v>2035.4199999999998</v>
      </c>
      <c r="G135" s="113">
        <f t="shared" si="146"/>
        <v>2018.28</v>
      </c>
      <c r="H135" s="113"/>
      <c r="I135" s="113">
        <f t="shared" si="144"/>
        <v>17.139999999999873</v>
      </c>
      <c r="K135" s="113">
        <f t="shared" si="147"/>
        <v>341.05000000000007</v>
      </c>
      <c r="N135" s="557"/>
      <c r="P135" s="453"/>
      <c r="Q135" s="453"/>
    </row>
    <row r="136" spans="1:17">
      <c r="A136" s="556" t="s">
        <v>415</v>
      </c>
      <c r="B136" s="113">
        <f t="shared" si="145"/>
        <v>2759.08</v>
      </c>
      <c r="D136" s="113">
        <f t="shared" si="143"/>
        <v>2759.08</v>
      </c>
      <c r="G136" s="113">
        <f t="shared" si="146"/>
        <v>2674.24</v>
      </c>
      <c r="H136" s="113"/>
      <c r="I136" s="113">
        <f t="shared" si="144"/>
        <v>84.840000000000146</v>
      </c>
      <c r="K136" s="113">
        <f t="shared" si="147"/>
        <v>416.87</v>
      </c>
      <c r="P136" s="453"/>
      <c r="Q136" s="453"/>
    </row>
    <row r="137" spans="1:17">
      <c r="A137" s="556" t="s">
        <v>416</v>
      </c>
      <c r="B137" s="113">
        <f t="shared" si="145"/>
        <v>80041.98</v>
      </c>
      <c r="D137" s="113">
        <f t="shared" si="143"/>
        <v>80041.98</v>
      </c>
      <c r="G137" s="113">
        <f t="shared" si="146"/>
        <v>80240.600000000006</v>
      </c>
      <c r="H137" s="113"/>
      <c r="I137" s="113">
        <f t="shared" si="144"/>
        <v>-198.6200000000099</v>
      </c>
      <c r="K137" s="113">
        <f t="shared" si="147"/>
        <v>17406.84</v>
      </c>
      <c r="P137" s="453"/>
      <c r="Q137" s="453"/>
    </row>
    <row r="138" spans="1:17">
      <c r="A138" s="556" t="s">
        <v>417</v>
      </c>
      <c r="B138" s="113">
        <f t="shared" si="145"/>
        <v>5505.78</v>
      </c>
      <c r="G138" s="113">
        <f t="shared" si="146"/>
        <v>5483.77</v>
      </c>
      <c r="H138" s="113"/>
      <c r="I138" s="113">
        <f t="shared" ref="I138:I149" si="148">B138-G138</f>
        <v>22.009999999999309</v>
      </c>
      <c r="K138" s="113">
        <f t="shared" si="147"/>
        <v>1019.75</v>
      </c>
      <c r="P138" s="453"/>
      <c r="Q138" s="453"/>
    </row>
    <row r="139" spans="1:17">
      <c r="A139" s="556">
        <v>150</v>
      </c>
      <c r="B139" s="113">
        <f t="shared" si="145"/>
        <v>1034191.33</v>
      </c>
      <c r="G139" s="113">
        <f t="shared" si="146"/>
        <v>1005371.34</v>
      </c>
      <c r="H139" s="113"/>
      <c r="I139" s="113">
        <f t="shared" si="148"/>
        <v>28819.989999999991</v>
      </c>
      <c r="K139" s="113">
        <f t="shared" si="147"/>
        <v>163718.75</v>
      </c>
      <c r="P139" s="453"/>
      <c r="Q139" s="453"/>
    </row>
    <row r="140" spans="1:17">
      <c r="A140" s="556">
        <v>151</v>
      </c>
      <c r="B140" s="113">
        <f t="shared" si="145"/>
        <v>39.269999999999996</v>
      </c>
      <c r="G140" s="113">
        <f t="shared" si="146"/>
        <v>34.04</v>
      </c>
      <c r="H140" s="113"/>
      <c r="I140" s="113">
        <f t="shared" si="148"/>
        <v>5.2299999999999969</v>
      </c>
      <c r="K140" s="113">
        <f t="shared" si="147"/>
        <v>6.2799999999999994</v>
      </c>
      <c r="P140" s="453"/>
      <c r="Q140" s="453"/>
    </row>
    <row r="141" spans="1:17">
      <c r="A141" s="556">
        <v>152</v>
      </c>
      <c r="B141" s="113">
        <f t="shared" si="145"/>
        <v>217.26999999999998</v>
      </c>
      <c r="G141" s="113">
        <f t="shared" si="146"/>
        <v>195.85</v>
      </c>
      <c r="H141" s="113"/>
      <c r="I141" s="113">
        <f t="shared" si="148"/>
        <v>21.419999999999987</v>
      </c>
      <c r="K141" s="113">
        <f t="shared" si="147"/>
        <v>42.25</v>
      </c>
      <c r="P141" s="453"/>
      <c r="Q141" s="453"/>
    </row>
    <row r="142" spans="1:17">
      <c r="A142" s="556">
        <v>153</v>
      </c>
      <c r="B142" s="113">
        <f t="shared" si="145"/>
        <v>87.32</v>
      </c>
      <c r="G142" s="113">
        <f t="shared" si="146"/>
        <v>30.2</v>
      </c>
      <c r="H142" s="113"/>
      <c r="I142" s="113">
        <f t="shared" si="148"/>
        <v>57.11999999999999</v>
      </c>
      <c r="K142" s="113">
        <f t="shared" si="147"/>
        <v>8.52</v>
      </c>
      <c r="P142" s="453"/>
      <c r="Q142" s="453"/>
    </row>
    <row r="143" spans="1:17">
      <c r="A143" s="556">
        <v>160</v>
      </c>
      <c r="B143" s="113">
        <f t="shared" si="145"/>
        <v>1863.23</v>
      </c>
      <c r="G143" s="113">
        <f t="shared" si="146"/>
        <v>1792.06</v>
      </c>
      <c r="H143" s="113"/>
      <c r="I143" s="113">
        <f t="shared" si="148"/>
        <v>71.170000000000073</v>
      </c>
      <c r="K143" s="113">
        <f t="shared" si="147"/>
        <v>233.01</v>
      </c>
      <c r="P143" s="453"/>
      <c r="Q143" s="453"/>
    </row>
    <row r="144" spans="1:17">
      <c r="A144" s="556">
        <v>162</v>
      </c>
      <c r="B144" s="113">
        <f t="shared" si="145"/>
        <v>0</v>
      </c>
      <c r="G144" s="113">
        <f t="shared" si="146"/>
        <v>0</v>
      </c>
      <c r="H144" s="113"/>
      <c r="I144" s="113">
        <f t="shared" si="148"/>
        <v>0</v>
      </c>
      <c r="K144" s="113">
        <f t="shared" si="147"/>
        <v>0</v>
      </c>
      <c r="P144" s="453"/>
      <c r="Q144" s="453"/>
    </row>
    <row r="145" spans="1:17">
      <c r="A145" s="556">
        <v>165</v>
      </c>
      <c r="B145" s="113">
        <f t="shared" si="145"/>
        <v>25906.589999999997</v>
      </c>
      <c r="G145" s="113">
        <f t="shared" si="146"/>
        <v>23073.79</v>
      </c>
      <c r="H145" s="113"/>
      <c r="I145" s="113">
        <f t="shared" si="148"/>
        <v>2832.7999999999956</v>
      </c>
      <c r="K145" s="113">
        <f t="shared" si="147"/>
        <v>3762.89</v>
      </c>
      <c r="P145" s="453"/>
      <c r="Q145" s="453"/>
    </row>
    <row r="146" spans="1:17">
      <c r="A146" s="556">
        <v>166</v>
      </c>
      <c r="B146" s="113">
        <f t="shared" si="145"/>
        <v>17092.990000000002</v>
      </c>
      <c r="G146" s="113">
        <f t="shared" si="146"/>
        <v>16035.11</v>
      </c>
      <c r="H146" s="113"/>
      <c r="I146" s="113">
        <f t="shared" si="148"/>
        <v>1057.880000000001</v>
      </c>
      <c r="K146" s="113">
        <f t="shared" si="147"/>
        <v>2919.1000000000004</v>
      </c>
      <c r="P146" s="453"/>
      <c r="Q146" s="453"/>
    </row>
    <row r="147" spans="1:17">
      <c r="A147" s="556">
        <v>175</v>
      </c>
      <c r="B147" s="113">
        <f t="shared" si="145"/>
        <v>0</v>
      </c>
      <c r="G147" s="113">
        <f t="shared" si="146"/>
        <v>0</v>
      </c>
      <c r="H147" s="113"/>
      <c r="I147" s="113">
        <f t="shared" si="148"/>
        <v>0</v>
      </c>
      <c r="K147" s="113">
        <f t="shared" si="147"/>
        <v>0</v>
      </c>
      <c r="P147" s="453"/>
      <c r="Q147" s="453"/>
    </row>
    <row r="148" spans="1:17">
      <c r="A148" s="556">
        <v>201</v>
      </c>
      <c r="B148" s="113">
        <f t="shared" si="145"/>
        <v>-79.73</v>
      </c>
      <c r="G148" s="113">
        <f t="shared" si="146"/>
        <v>-79.73</v>
      </c>
      <c r="H148" s="113"/>
      <c r="I148" s="113">
        <f t="shared" si="148"/>
        <v>0</v>
      </c>
      <c r="K148" s="113">
        <f t="shared" si="147"/>
        <v>-12.11</v>
      </c>
      <c r="P148" s="453"/>
      <c r="Q148" s="453"/>
    </row>
    <row r="149" spans="1:17">
      <c r="A149" s="556"/>
      <c r="G149" s="113"/>
      <c r="H149" s="113"/>
      <c r="I149" s="113">
        <f t="shared" si="148"/>
        <v>0</v>
      </c>
      <c r="K149" s="113"/>
      <c r="Q149" s="453"/>
    </row>
    <row r="150" spans="1:17">
      <c r="A150" s="559"/>
      <c r="B150" s="120"/>
      <c r="C150" s="120"/>
      <c r="D150" s="120">
        <f t="shared" si="143"/>
        <v>0</v>
      </c>
      <c r="E150" s="120"/>
      <c r="G150" s="120"/>
      <c r="H150" s="120"/>
      <c r="I150" s="120">
        <f>B150-G150</f>
        <v>0</v>
      </c>
      <c r="K150" s="120"/>
      <c r="Q150" s="453"/>
    </row>
    <row r="151" spans="1:17">
      <c r="A151" s="556" t="s">
        <v>35</v>
      </c>
      <c r="B151" s="113">
        <f>SUM(B120:B150)</f>
        <v>10018083.140000002</v>
      </c>
      <c r="C151" s="113">
        <f>SUM(C120:C150)</f>
        <v>0</v>
      </c>
      <c r="D151" s="113">
        <f>SUM(D120:D150)</f>
        <v>8933259.0900000036</v>
      </c>
      <c r="G151" s="113">
        <f>SUM(G120:G150)</f>
        <v>10008646.199999996</v>
      </c>
      <c r="H151" s="113"/>
      <c r="I151" s="113">
        <f>SUM(I120:I150)</f>
        <v>9436.9400000001588</v>
      </c>
      <c r="K151" s="113">
        <f>SUM(K120:K150)</f>
        <v>1768649.9200000002</v>
      </c>
      <c r="Q151" s="453"/>
    </row>
    <row r="152" spans="1:17">
      <c r="A152" s="560"/>
      <c r="G152" s="113"/>
      <c r="H152" s="113"/>
      <c r="I152" s="113"/>
      <c r="K152" s="113"/>
    </row>
    <row r="153" spans="1:17">
      <c r="A153" s="559" t="s">
        <v>455</v>
      </c>
      <c r="B153" s="120">
        <f>N91</f>
        <v>1931844.2000000002</v>
      </c>
      <c r="C153" s="120"/>
      <c r="D153" s="120">
        <f>B153+C153</f>
        <v>1931844.2000000002</v>
      </c>
      <c r="E153" s="120"/>
      <c r="G153" s="120">
        <f>S91</f>
        <v>1931825.08</v>
      </c>
      <c r="H153" s="120"/>
      <c r="I153" s="113">
        <f>B153-G153</f>
        <v>19.120000000111759</v>
      </c>
      <c r="K153" s="120">
        <f>W91</f>
        <v>380506.91000000003</v>
      </c>
    </row>
    <row r="154" spans="1:17">
      <c r="A154" s="556" t="s">
        <v>36</v>
      </c>
      <c r="B154" s="113">
        <f t="shared" ref="B154" si="149">B153</f>
        <v>1931844.2000000002</v>
      </c>
      <c r="C154" s="113">
        <f t="shared" ref="C154" si="150">C153</f>
        <v>0</v>
      </c>
      <c r="D154" s="113">
        <f t="shared" ref="D154" si="151">D153</f>
        <v>1931844.2000000002</v>
      </c>
      <c r="G154" s="113">
        <f t="shared" ref="G154" si="152">G153</f>
        <v>1931825.08</v>
      </c>
      <c r="H154" s="113"/>
      <c r="I154" s="113">
        <f t="shared" ref="I154" si="153">I153</f>
        <v>19.120000000111759</v>
      </c>
      <c r="K154" s="113">
        <f t="shared" ref="K154" si="154">K153</f>
        <v>380506.91000000003</v>
      </c>
    </row>
    <row r="155" spans="1:17">
      <c r="A155" s="560"/>
      <c r="G155" s="113"/>
      <c r="H155" s="113"/>
      <c r="I155" s="113"/>
      <c r="K155" s="113"/>
    </row>
    <row r="156" spans="1:17">
      <c r="A156" s="560"/>
      <c r="G156" s="113"/>
      <c r="H156" s="113"/>
      <c r="I156" s="113"/>
      <c r="K156" s="113"/>
    </row>
    <row r="157" spans="1:17">
      <c r="A157" s="559" t="s">
        <v>456</v>
      </c>
      <c r="B157" s="120">
        <f>N92</f>
        <v>251660.08000000002</v>
      </c>
      <c r="C157" s="120"/>
      <c r="D157" s="120">
        <f>B157+C157</f>
        <v>251660.08000000002</v>
      </c>
      <c r="E157" s="120"/>
      <c r="G157" s="120">
        <f>S92</f>
        <v>252256.79</v>
      </c>
      <c r="H157" s="113"/>
      <c r="I157" s="113">
        <f>B157-G157</f>
        <v>-596.70999999999185</v>
      </c>
      <c r="K157" s="120">
        <f>W92</f>
        <v>63809.719999999994</v>
      </c>
    </row>
    <row r="158" spans="1:17">
      <c r="A158" s="556" t="s">
        <v>34</v>
      </c>
      <c r="B158" s="113">
        <f t="shared" ref="B158" si="155">B157</f>
        <v>251660.08000000002</v>
      </c>
      <c r="C158" s="113">
        <f t="shared" ref="C158" si="156">C157</f>
        <v>0</v>
      </c>
      <c r="D158" s="113">
        <f t="shared" ref="D158" si="157">D157</f>
        <v>251660.08000000002</v>
      </c>
      <c r="G158" s="113">
        <f t="shared" ref="G158" si="158">G157</f>
        <v>252256.79</v>
      </c>
      <c r="H158" s="113"/>
      <c r="I158" s="113">
        <f t="shared" ref="I158" si="159">I157</f>
        <v>-596.70999999999185</v>
      </c>
      <c r="K158" s="113">
        <f t="shared" ref="K158" si="160">K157</f>
        <v>63809.719999999994</v>
      </c>
    </row>
    <row r="159" spans="1:17">
      <c r="G159" s="113"/>
      <c r="H159" s="113"/>
      <c r="I159" s="113"/>
      <c r="K159" s="113"/>
    </row>
    <row r="160" spans="1:17">
      <c r="G160" s="113"/>
      <c r="H160" s="113"/>
      <c r="I160" s="113"/>
      <c r="K160" s="113"/>
    </row>
    <row r="161" spans="1:11" ht="13.5" thickBot="1">
      <c r="A161" s="566" t="s">
        <v>462</v>
      </c>
      <c r="B161" s="567">
        <f>B31+B64+B89+B97+B118+B151+B154+B158</f>
        <v>694002526.22000003</v>
      </c>
      <c r="C161" s="567">
        <f>C31+C64+C89+C97+C118+C151+C154+C158</f>
        <v>0</v>
      </c>
      <c r="D161" s="567">
        <f>D31+D64+D89+D97+D118+D151+D154+D158</f>
        <v>692917702.17000008</v>
      </c>
      <c r="E161" s="567"/>
      <c r="G161" s="567">
        <f>G31+G64+G89+G97+G118+G151+G154+G158</f>
        <v>695662029.82000005</v>
      </c>
      <c r="H161" s="113"/>
      <c r="I161" s="567">
        <f>I31+I64+I89+I97+I118+I151+I154+I158</f>
        <v>-1659503.6000000604</v>
      </c>
      <c r="K161" s="567">
        <f>K31+K64+K89+K97+K118+K151+K154+K158</f>
        <v>179230493.03999999</v>
      </c>
    </row>
    <row r="162" spans="1:11" ht="13.5" thickTop="1"/>
    <row r="165" spans="1:11">
      <c r="B165" s="113">
        <f>B161-N94</f>
        <v>0</v>
      </c>
      <c r="G165" s="455">
        <f>G161-S94</f>
        <v>0</v>
      </c>
      <c r="I165" s="455">
        <f>B161-G161</f>
        <v>-1659503.6000000238</v>
      </c>
      <c r="K165" s="455">
        <f>K161-W94</f>
        <v>0</v>
      </c>
    </row>
    <row r="167" spans="1:11">
      <c r="I167" s="455">
        <f>I165-I161</f>
        <v>3.6554411053657532E-8</v>
      </c>
    </row>
  </sheetData>
  <sortState xmlns:xlrd2="http://schemas.microsoft.com/office/spreadsheetml/2017/richdata2" ref="L11:N135">
    <sortCondition ref="L11:L135"/>
  </sortState>
  <printOptions horizontalCentered="1"/>
  <pageMargins left="0.5" right="0.5" top="0.75" bottom="0.75" header="0.5" footer="0.5"/>
  <pageSetup scale="55" orientation="portrait" r:id="rId1"/>
  <headerFooter alignWithMargins="0"/>
  <ignoredErrors>
    <ignoredError sqref="A11:A19 A22:A29"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M54"/>
  <sheetViews>
    <sheetView workbookViewId="0">
      <selection activeCell="A27" sqref="A27"/>
    </sheetView>
  </sheetViews>
  <sheetFormatPr defaultRowHeight="12.75"/>
  <cols>
    <col min="1" max="1" width="11.85546875" bestFit="1" customWidth="1"/>
    <col min="2" max="2" width="13.42578125" bestFit="1" customWidth="1"/>
    <col min="3" max="3" width="12.7109375" bestFit="1" customWidth="1"/>
    <col min="5" max="5" width="13.42578125" bestFit="1" customWidth="1"/>
    <col min="6" max="6" width="12.7109375" bestFit="1" customWidth="1"/>
    <col min="8" max="8" width="13.42578125" bestFit="1" customWidth="1"/>
    <col min="9" max="9" width="12.7109375" bestFit="1" customWidth="1"/>
    <col min="11" max="11" width="13.42578125" bestFit="1" customWidth="1"/>
    <col min="12" max="12" width="12.7109375" bestFit="1" customWidth="1"/>
  </cols>
  <sheetData>
    <row r="2" spans="1:13">
      <c r="B2" s="582" t="s">
        <v>219</v>
      </c>
      <c r="C2" s="583"/>
      <c r="D2" s="584"/>
      <c r="E2" s="582" t="s">
        <v>221</v>
      </c>
      <c r="F2" s="583"/>
      <c r="G2" s="584"/>
      <c r="H2" s="582" t="s">
        <v>222</v>
      </c>
      <c r="I2" s="583"/>
      <c r="J2" s="584"/>
      <c r="K2" s="583" t="s">
        <v>223</v>
      </c>
      <c r="L2" s="583"/>
      <c r="M2" s="583"/>
    </row>
    <row r="3" spans="1:13">
      <c r="A3" t="s">
        <v>218</v>
      </c>
      <c r="B3" t="s">
        <v>11</v>
      </c>
      <c r="C3" t="s">
        <v>211</v>
      </c>
      <c r="D3" t="s">
        <v>220</v>
      </c>
      <c r="E3" t="s">
        <v>11</v>
      </c>
      <c r="F3" t="s">
        <v>211</v>
      </c>
      <c r="G3" t="s">
        <v>220</v>
      </c>
      <c r="H3" t="s">
        <v>11</v>
      </c>
      <c r="I3" t="s">
        <v>211</v>
      </c>
      <c r="J3" t="s">
        <v>220</v>
      </c>
      <c r="K3" t="s">
        <v>11</v>
      </c>
      <c r="L3" t="s">
        <v>211</v>
      </c>
      <c r="M3" t="s">
        <v>220</v>
      </c>
    </row>
    <row r="4" spans="1:13">
      <c r="A4" s="52" t="s">
        <v>224</v>
      </c>
      <c r="B4" s="37" t="e">
        <f>+RS!#REF!</f>
        <v>#REF!</v>
      </c>
      <c r="C4" s="8" t="e">
        <f>+RS!#REF!</f>
        <v>#REF!</v>
      </c>
      <c r="D4" s="21" t="e">
        <f>+C4/B4</f>
        <v>#REF!</v>
      </c>
      <c r="E4" s="6" t="e">
        <f>+RS!#REF!</f>
        <v>#REF!</v>
      </c>
      <c r="F4" s="8" t="e">
        <f>+RS!#REF!</f>
        <v>#REF!</v>
      </c>
      <c r="G4" s="21" t="e">
        <f>+F4/E4</f>
        <v>#REF!</v>
      </c>
      <c r="H4" s="6" t="e">
        <f>+RS!#REF!</f>
        <v>#REF!</v>
      </c>
      <c r="I4" s="8" t="e">
        <f>+RS!#REF!</f>
        <v>#REF!</v>
      </c>
      <c r="J4" s="21" t="e">
        <f>+I4/H4</f>
        <v>#REF!</v>
      </c>
      <c r="K4" s="6" t="e">
        <f>+RS!#REF!</f>
        <v>#REF!</v>
      </c>
      <c r="L4" s="8">
        <f>+RS!Q53</f>
        <v>227220745.03656688</v>
      </c>
      <c r="M4" s="21" t="e">
        <f>+L4/K4</f>
        <v>#REF!</v>
      </c>
    </row>
    <row r="5" spans="1:13">
      <c r="A5" s="52" t="s">
        <v>225</v>
      </c>
      <c r="B5" s="6" t="e">
        <f>+#REF!</f>
        <v>#REF!</v>
      </c>
      <c r="C5" s="8" t="e">
        <f>+#REF!</f>
        <v>#REF!</v>
      </c>
      <c r="D5" s="21" t="e">
        <f t="shared" ref="D5:D26" si="0">+C5/B5</f>
        <v>#REF!</v>
      </c>
      <c r="E5" s="6" t="e">
        <f>+#REF!</f>
        <v>#REF!</v>
      </c>
      <c r="F5" s="8" t="e">
        <f>+#REF!</f>
        <v>#REF!</v>
      </c>
      <c r="G5" s="21" t="e">
        <f t="shared" ref="G5:G26" si="1">+F5/E5</f>
        <v>#REF!</v>
      </c>
      <c r="H5" s="6" t="e">
        <f>+#REF!</f>
        <v>#REF!</v>
      </c>
      <c r="I5" s="8" t="e">
        <f>+#REF!</f>
        <v>#REF!</v>
      </c>
      <c r="J5" s="21" t="e">
        <f t="shared" ref="J5:J26" si="2">+I5/H5</f>
        <v>#REF!</v>
      </c>
      <c r="K5" s="6" t="e">
        <f>+#REF!</f>
        <v>#REF!</v>
      </c>
      <c r="L5" s="8" t="e">
        <f>+#REF!</f>
        <v>#REF!</v>
      </c>
      <c r="M5" s="21" t="e">
        <f t="shared" ref="M5:M26" si="3">+L5/K5</f>
        <v>#REF!</v>
      </c>
    </row>
    <row r="6" spans="1:13">
      <c r="A6" s="63" t="s">
        <v>226</v>
      </c>
      <c r="B6" s="6" t="e">
        <f>+#REF!</f>
        <v>#REF!</v>
      </c>
      <c r="C6" s="8" t="e">
        <f>+#REF!</f>
        <v>#REF!</v>
      </c>
      <c r="D6" s="21" t="e">
        <f t="shared" si="0"/>
        <v>#REF!</v>
      </c>
      <c r="E6" s="6" t="e">
        <f>+#REF!</f>
        <v>#REF!</v>
      </c>
      <c r="F6" s="8" t="e">
        <f>+#REF!</f>
        <v>#REF!</v>
      </c>
      <c r="G6" s="21" t="e">
        <f t="shared" si="1"/>
        <v>#REF!</v>
      </c>
      <c r="H6" s="6" t="e">
        <f t="shared" ref="H6:I12" si="4">+E6</f>
        <v>#REF!</v>
      </c>
      <c r="I6" s="8" t="e">
        <f t="shared" si="4"/>
        <v>#REF!</v>
      </c>
      <c r="J6" s="21" t="e">
        <f t="shared" si="2"/>
        <v>#REF!</v>
      </c>
      <c r="K6" s="6" t="e">
        <f>+#REF!</f>
        <v>#REF!</v>
      </c>
      <c r="L6" s="8" t="e">
        <f>+#REF!</f>
        <v>#REF!</v>
      </c>
      <c r="M6" s="21" t="e">
        <f t="shared" si="3"/>
        <v>#REF!</v>
      </c>
    </row>
    <row r="7" spans="1:13">
      <c r="A7" s="63" t="s">
        <v>35</v>
      </c>
      <c r="B7" s="6" t="e">
        <f>+#REF!</f>
        <v>#REF!</v>
      </c>
      <c r="C7" s="8" t="e">
        <f>+#REF!</f>
        <v>#REF!</v>
      </c>
      <c r="D7" s="21" t="e">
        <f t="shared" si="0"/>
        <v>#REF!</v>
      </c>
      <c r="E7" s="6" t="e">
        <f>+B7</f>
        <v>#REF!</v>
      </c>
      <c r="F7" s="8" t="e">
        <f>+C7</f>
        <v>#REF!</v>
      </c>
      <c r="G7" s="21" t="e">
        <f t="shared" si="1"/>
        <v>#REF!</v>
      </c>
      <c r="H7" s="6" t="e">
        <f t="shared" si="4"/>
        <v>#REF!</v>
      </c>
      <c r="I7" s="8" t="e">
        <f t="shared" si="4"/>
        <v>#REF!</v>
      </c>
      <c r="J7" s="21" t="e">
        <f t="shared" si="2"/>
        <v>#REF!</v>
      </c>
      <c r="K7" s="6" t="e">
        <f>+#REF!</f>
        <v>#REF!</v>
      </c>
      <c r="L7" s="8" t="e">
        <f>+#REF!</f>
        <v>#REF!</v>
      </c>
      <c r="M7" s="21" t="e">
        <f t="shared" si="3"/>
        <v>#REF!</v>
      </c>
    </row>
    <row r="8" spans="1:13">
      <c r="A8" s="63" t="s">
        <v>227</v>
      </c>
      <c r="B8" s="7" t="e">
        <f>+#REF!</f>
        <v>#REF!</v>
      </c>
      <c r="C8" s="8" t="e">
        <f>+#REF!</f>
        <v>#REF!</v>
      </c>
      <c r="D8" s="21" t="e">
        <f t="shared" si="0"/>
        <v>#REF!</v>
      </c>
      <c r="E8" s="6" t="e">
        <f>+#REF!</f>
        <v>#REF!</v>
      </c>
      <c r="F8" s="8" t="e">
        <f>+#REF!</f>
        <v>#REF!</v>
      </c>
      <c r="G8" s="21" t="e">
        <f t="shared" si="1"/>
        <v>#REF!</v>
      </c>
      <c r="H8" s="6" t="e">
        <f t="shared" si="4"/>
        <v>#REF!</v>
      </c>
      <c r="I8" s="8" t="e">
        <f t="shared" si="4"/>
        <v>#REF!</v>
      </c>
      <c r="J8" s="21" t="e">
        <f t="shared" si="2"/>
        <v>#REF!</v>
      </c>
      <c r="K8" s="6" t="e">
        <f>+#REF!</f>
        <v>#REF!</v>
      </c>
      <c r="L8" s="8" t="e">
        <f>+#REF!</f>
        <v>#REF!</v>
      </c>
      <c r="M8" s="21" t="e">
        <f t="shared" si="3"/>
        <v>#REF!</v>
      </c>
    </row>
    <row r="9" spans="1:13">
      <c r="A9" s="63" t="s">
        <v>228</v>
      </c>
      <c r="B9" s="6" t="e">
        <f>+'SGS TOD NA'!B16</f>
        <v>#REF!</v>
      </c>
      <c r="C9" s="8" t="e">
        <f>+'SGS TOD NA'!H40</f>
        <v>#REF!</v>
      </c>
      <c r="D9" s="21" t="e">
        <f t="shared" si="0"/>
        <v>#REF!</v>
      </c>
      <c r="E9" s="6" t="e">
        <f>+'SGS TOD NA'!#REF!</f>
        <v>#REF!</v>
      </c>
      <c r="F9" s="8" t="e">
        <f>+'SGS TOD NA'!#REF!</f>
        <v>#REF!</v>
      </c>
      <c r="G9" s="21" t="e">
        <f t="shared" si="1"/>
        <v>#REF!</v>
      </c>
      <c r="H9" s="6" t="e">
        <f t="shared" si="4"/>
        <v>#REF!</v>
      </c>
      <c r="I9" s="8" t="e">
        <f t="shared" si="4"/>
        <v>#REF!</v>
      </c>
      <c r="J9" s="21" t="e">
        <f t="shared" si="2"/>
        <v>#REF!</v>
      </c>
      <c r="K9" s="6">
        <f>+'SGS TOD NA'!J16</f>
        <v>0</v>
      </c>
      <c r="L9" s="8" t="e">
        <f>+'SGS TOD NA'!K40</f>
        <v>#REF!</v>
      </c>
      <c r="M9" s="21" t="e">
        <f t="shared" si="3"/>
        <v>#REF!</v>
      </c>
    </row>
    <row r="10" spans="1:13">
      <c r="A10" s="63" t="s">
        <v>229</v>
      </c>
      <c r="B10" s="6" t="e">
        <f>+#REF!</f>
        <v>#REF!</v>
      </c>
      <c r="C10" s="8" t="e">
        <f>+#REF!</f>
        <v>#REF!</v>
      </c>
      <c r="D10" s="21" t="e">
        <f t="shared" si="0"/>
        <v>#REF!</v>
      </c>
      <c r="E10" s="6" t="e">
        <f>+#REF!</f>
        <v>#REF!</v>
      </c>
      <c r="F10" s="8" t="e">
        <f>+#REF!</f>
        <v>#REF!</v>
      </c>
      <c r="G10" s="21" t="e">
        <f t="shared" si="1"/>
        <v>#REF!</v>
      </c>
      <c r="H10" s="6" t="e">
        <f t="shared" si="4"/>
        <v>#REF!</v>
      </c>
      <c r="I10" s="8" t="e">
        <f t="shared" si="4"/>
        <v>#REF!</v>
      </c>
      <c r="J10" s="21" t="e">
        <f t="shared" si="2"/>
        <v>#REF!</v>
      </c>
      <c r="K10" s="6" t="e">
        <f>+#REF!</f>
        <v>#REF!</v>
      </c>
      <c r="L10" s="8" t="e">
        <f>+#REF!</f>
        <v>#REF!</v>
      </c>
      <c r="M10" s="21" t="e">
        <f t="shared" si="3"/>
        <v>#REF!</v>
      </c>
    </row>
    <row r="11" spans="1:13">
      <c r="A11" s="63" t="s">
        <v>202</v>
      </c>
      <c r="B11" s="6" t="e">
        <f>+#REF!</f>
        <v>#REF!</v>
      </c>
      <c r="C11" s="8" t="e">
        <f>+#REF!</f>
        <v>#REF!</v>
      </c>
      <c r="D11" s="21" t="e">
        <f t="shared" si="0"/>
        <v>#REF!</v>
      </c>
      <c r="E11" s="6" t="e">
        <f>+#REF!</f>
        <v>#REF!</v>
      </c>
      <c r="F11" s="8" t="e">
        <f>+#REF!</f>
        <v>#REF!</v>
      </c>
      <c r="G11" s="21" t="e">
        <f t="shared" si="1"/>
        <v>#REF!</v>
      </c>
      <c r="H11" s="6" t="e">
        <f t="shared" si="4"/>
        <v>#REF!</v>
      </c>
      <c r="I11" s="8" t="e">
        <f t="shared" si="4"/>
        <v>#REF!</v>
      </c>
      <c r="J11" s="21" t="e">
        <f t="shared" si="2"/>
        <v>#REF!</v>
      </c>
      <c r="K11" s="6" t="e">
        <f>+#REF!</f>
        <v>#REF!</v>
      </c>
      <c r="L11" s="8" t="e">
        <f>+#REF!</f>
        <v>#REF!</v>
      </c>
      <c r="M11" s="21" t="e">
        <f t="shared" si="3"/>
        <v>#REF!</v>
      </c>
    </row>
    <row r="12" spans="1:13">
      <c r="A12" s="63" t="s">
        <v>230</v>
      </c>
      <c r="B12" s="6" t="e">
        <f>+#REF!</f>
        <v>#REF!</v>
      </c>
      <c r="C12" s="8" t="e">
        <f>+#REF!</f>
        <v>#REF!</v>
      </c>
      <c r="D12" s="21" t="e">
        <f t="shared" si="0"/>
        <v>#REF!</v>
      </c>
      <c r="E12" s="6" t="e">
        <f>+#REF!</f>
        <v>#REF!</v>
      </c>
      <c r="F12" s="8" t="e">
        <f>+#REF!</f>
        <v>#REF!</v>
      </c>
      <c r="G12" s="21" t="e">
        <f t="shared" si="1"/>
        <v>#REF!</v>
      </c>
      <c r="H12" s="6" t="e">
        <f t="shared" si="4"/>
        <v>#REF!</v>
      </c>
      <c r="I12" s="8" t="e">
        <f t="shared" si="4"/>
        <v>#REF!</v>
      </c>
      <c r="J12" s="21" t="e">
        <f t="shared" si="2"/>
        <v>#REF!</v>
      </c>
      <c r="K12" s="6" t="e">
        <f>+#REF!</f>
        <v>#REF!</v>
      </c>
      <c r="L12" s="8" t="e">
        <f>+#REF!</f>
        <v>#REF!</v>
      </c>
      <c r="M12" s="21" t="e">
        <f t="shared" si="3"/>
        <v>#REF!</v>
      </c>
    </row>
    <row r="13" spans="1:13">
      <c r="A13" s="63" t="s">
        <v>231</v>
      </c>
      <c r="B13" s="6" t="e">
        <f>+#REF!</f>
        <v>#REF!</v>
      </c>
      <c r="C13" s="8" t="e">
        <f>+#REF!</f>
        <v>#REF!</v>
      </c>
      <c r="D13" s="21" t="e">
        <f t="shared" si="0"/>
        <v>#REF!</v>
      </c>
      <c r="E13" s="6" t="e">
        <f>+#REF!</f>
        <v>#REF!</v>
      </c>
      <c r="F13" s="8" t="e">
        <f>+#REF!</f>
        <v>#REF!</v>
      </c>
      <c r="G13" s="21" t="e">
        <f t="shared" si="1"/>
        <v>#REF!</v>
      </c>
      <c r="H13" s="6" t="e">
        <f>+#REF!</f>
        <v>#REF!</v>
      </c>
      <c r="I13" s="8" t="e">
        <f>+#REF!+#REF!</f>
        <v>#REF!</v>
      </c>
      <c r="J13" s="21" t="e">
        <f t="shared" si="2"/>
        <v>#REF!</v>
      </c>
      <c r="K13" s="6" t="e">
        <f>+#REF!</f>
        <v>#REF!</v>
      </c>
      <c r="L13" s="8" t="e">
        <f>+#REF!</f>
        <v>#REF!</v>
      </c>
      <c r="M13" s="21" t="e">
        <f t="shared" si="3"/>
        <v>#REF!</v>
      </c>
    </row>
    <row r="14" spans="1:13">
      <c r="A14" s="63" t="s">
        <v>232</v>
      </c>
      <c r="B14" s="6" t="e">
        <f>+#REF!</f>
        <v>#REF!</v>
      </c>
      <c r="C14" s="8" t="e">
        <f>+#REF!</f>
        <v>#REF!</v>
      </c>
      <c r="D14" s="21" t="e">
        <f t="shared" si="0"/>
        <v>#REF!</v>
      </c>
      <c r="E14" s="6" t="e">
        <f>+#REF!</f>
        <v>#REF!</v>
      </c>
      <c r="F14" s="8" t="e">
        <f>+#REF!</f>
        <v>#REF!</v>
      </c>
      <c r="G14" s="21" t="e">
        <f t="shared" si="1"/>
        <v>#REF!</v>
      </c>
      <c r="H14" s="6" t="e">
        <f>+E14</f>
        <v>#REF!</v>
      </c>
      <c r="I14" s="8" t="e">
        <f>+F14</f>
        <v>#REF!</v>
      </c>
      <c r="J14" s="21" t="e">
        <f t="shared" si="2"/>
        <v>#REF!</v>
      </c>
      <c r="K14" s="6" t="e">
        <f>+#REF!</f>
        <v>#REF!</v>
      </c>
      <c r="L14" s="8" t="e">
        <f>+#REF!</f>
        <v>#REF!</v>
      </c>
      <c r="M14" s="21" t="e">
        <f t="shared" si="3"/>
        <v>#REF!</v>
      </c>
    </row>
    <row r="15" spans="1:13">
      <c r="A15" s="63" t="s">
        <v>233</v>
      </c>
      <c r="B15" s="6" t="e">
        <f>+#REF!</f>
        <v>#REF!</v>
      </c>
      <c r="C15" s="8" t="e">
        <f>+#REF!</f>
        <v>#REF!</v>
      </c>
      <c r="D15" s="21" t="e">
        <f t="shared" si="0"/>
        <v>#REF!</v>
      </c>
      <c r="E15" s="6" t="e">
        <f>+#REF!</f>
        <v>#REF!</v>
      </c>
      <c r="F15" s="8" t="e">
        <f>+#REF!</f>
        <v>#REF!</v>
      </c>
      <c r="G15" s="21" t="e">
        <f t="shared" si="1"/>
        <v>#REF!</v>
      </c>
      <c r="H15" s="6" t="e">
        <f>+E15</f>
        <v>#REF!</v>
      </c>
      <c r="I15" s="8" t="e">
        <f>+F15</f>
        <v>#REF!</v>
      </c>
      <c r="J15" s="21" t="e">
        <f t="shared" si="2"/>
        <v>#REF!</v>
      </c>
      <c r="K15" s="6" t="e">
        <f>+#REF!</f>
        <v>#REF!</v>
      </c>
      <c r="L15" s="8" t="e">
        <f>+#REF!</f>
        <v>#REF!</v>
      </c>
      <c r="M15" s="21" t="e">
        <f t="shared" si="3"/>
        <v>#REF!</v>
      </c>
    </row>
    <row r="16" spans="1:13">
      <c r="A16" s="63" t="s">
        <v>234</v>
      </c>
      <c r="B16" s="6" t="e">
        <f>+#REF!</f>
        <v>#REF!</v>
      </c>
      <c r="C16" s="8" t="e">
        <f>+#REF!</f>
        <v>#REF!</v>
      </c>
      <c r="D16" s="21" t="e">
        <f t="shared" si="0"/>
        <v>#REF!</v>
      </c>
      <c r="E16" s="6" t="e">
        <f>+#REF!</f>
        <v>#REF!</v>
      </c>
      <c r="F16" s="8" t="e">
        <f>+#REF!</f>
        <v>#REF!</v>
      </c>
      <c r="G16" s="21" t="e">
        <f t="shared" si="1"/>
        <v>#REF!</v>
      </c>
      <c r="H16" s="6" t="e">
        <f>+#REF!</f>
        <v>#REF!</v>
      </c>
      <c r="I16" s="8" t="e">
        <f>+#REF!+#REF!</f>
        <v>#REF!</v>
      </c>
      <c r="J16" s="21" t="e">
        <f t="shared" si="2"/>
        <v>#REF!</v>
      </c>
      <c r="K16" s="6" t="e">
        <f>+#REF!</f>
        <v>#REF!</v>
      </c>
      <c r="L16" s="8" t="e">
        <f>+#REF!</f>
        <v>#REF!</v>
      </c>
      <c r="M16" s="21" t="e">
        <f t="shared" si="3"/>
        <v>#REF!</v>
      </c>
    </row>
    <row r="17" spans="1:13">
      <c r="A17" s="63" t="s">
        <v>235</v>
      </c>
      <c r="B17" s="6" t="e">
        <f>+#REF!</f>
        <v>#REF!</v>
      </c>
      <c r="C17" s="8" t="e">
        <f>+#REF!</f>
        <v>#REF!</v>
      </c>
      <c r="D17" s="21" t="e">
        <f t="shared" si="0"/>
        <v>#REF!</v>
      </c>
      <c r="E17" s="6" t="e">
        <f>+#REF!</f>
        <v>#REF!</v>
      </c>
      <c r="F17" s="8" t="e">
        <f>+#REF!</f>
        <v>#REF!</v>
      </c>
      <c r="G17" s="21" t="e">
        <f t="shared" si="1"/>
        <v>#REF!</v>
      </c>
      <c r="H17" s="6" t="e">
        <f>+E17</f>
        <v>#REF!</v>
      </c>
      <c r="I17" s="8" t="e">
        <f>+F17</f>
        <v>#REF!</v>
      </c>
      <c r="J17" s="21" t="e">
        <f t="shared" si="2"/>
        <v>#REF!</v>
      </c>
      <c r="K17" s="6" t="e">
        <f>+#REF!</f>
        <v>#REF!</v>
      </c>
      <c r="L17" s="8" t="e">
        <f>+#REF!</f>
        <v>#REF!</v>
      </c>
      <c r="M17" s="21" t="e">
        <f t="shared" si="3"/>
        <v>#REF!</v>
      </c>
    </row>
    <row r="18" spans="1:13">
      <c r="A18" s="63" t="s">
        <v>236</v>
      </c>
      <c r="B18" s="6" t="e">
        <f>+#REF!</f>
        <v>#REF!</v>
      </c>
      <c r="C18" s="8" t="e">
        <f>+#REF!</f>
        <v>#REF!</v>
      </c>
      <c r="D18" s="21" t="e">
        <f t="shared" si="0"/>
        <v>#REF!</v>
      </c>
      <c r="E18" s="6" t="e">
        <f>+#REF!</f>
        <v>#REF!</v>
      </c>
      <c r="F18" s="8" t="e">
        <f>+#REF!</f>
        <v>#REF!</v>
      </c>
      <c r="G18" s="21" t="e">
        <f t="shared" si="1"/>
        <v>#REF!</v>
      </c>
      <c r="H18" s="6" t="e">
        <f>+#REF!</f>
        <v>#REF!</v>
      </c>
      <c r="I18" s="8" t="e">
        <f>+#REF!+#REF!</f>
        <v>#REF!</v>
      </c>
      <c r="J18" s="21" t="e">
        <f t="shared" si="2"/>
        <v>#REF!</v>
      </c>
      <c r="K18" s="6" t="e">
        <f>+#REF!</f>
        <v>#REF!</v>
      </c>
      <c r="L18" s="8" t="e">
        <f>+#REF!</f>
        <v>#REF!</v>
      </c>
      <c r="M18" s="21" t="e">
        <f t="shared" si="3"/>
        <v>#REF!</v>
      </c>
    </row>
    <row r="19" spans="1:13">
      <c r="A19" s="63" t="s">
        <v>237</v>
      </c>
      <c r="B19" s="6" t="e">
        <f>+#REF!</f>
        <v>#REF!</v>
      </c>
      <c r="C19" s="8" t="e">
        <f>+#REF!</f>
        <v>#REF!</v>
      </c>
      <c r="D19" s="21" t="e">
        <f t="shared" si="0"/>
        <v>#REF!</v>
      </c>
      <c r="E19" s="6" t="e">
        <f>+#REF!</f>
        <v>#REF!</v>
      </c>
      <c r="F19" s="8" t="e">
        <f>+#REF!</f>
        <v>#REF!</v>
      </c>
      <c r="G19" s="21" t="e">
        <f t="shared" si="1"/>
        <v>#REF!</v>
      </c>
      <c r="H19" s="6" t="e">
        <f>+E19</f>
        <v>#REF!</v>
      </c>
      <c r="I19" s="8" t="e">
        <f>+F19</f>
        <v>#REF!</v>
      </c>
      <c r="J19" s="21" t="e">
        <f t="shared" si="2"/>
        <v>#REF!</v>
      </c>
      <c r="K19" s="6" t="e">
        <f>+#REF!</f>
        <v>#REF!</v>
      </c>
      <c r="L19" s="8" t="e">
        <f>+#REF!</f>
        <v>#REF!</v>
      </c>
      <c r="M19" s="21" t="e">
        <f t="shared" si="3"/>
        <v>#REF!</v>
      </c>
    </row>
    <row r="20" spans="1:13">
      <c r="A20" s="63" t="s">
        <v>238</v>
      </c>
      <c r="B20" s="6" t="e">
        <f>+#REF!</f>
        <v>#REF!</v>
      </c>
      <c r="C20" s="8" t="e">
        <f>+#REF!</f>
        <v>#REF!</v>
      </c>
      <c r="D20" s="21" t="e">
        <f t="shared" si="0"/>
        <v>#REF!</v>
      </c>
      <c r="E20" s="6" t="e">
        <f>+#REF!</f>
        <v>#REF!</v>
      </c>
      <c r="F20" s="8" t="e">
        <f>+#REF!</f>
        <v>#REF!</v>
      </c>
      <c r="G20" s="21" t="e">
        <f t="shared" si="1"/>
        <v>#REF!</v>
      </c>
      <c r="H20" s="6" t="e">
        <f>+#REF!</f>
        <v>#REF!</v>
      </c>
      <c r="I20" s="8" t="e">
        <f>+#REF!+#REF!</f>
        <v>#REF!</v>
      </c>
      <c r="J20" s="21" t="e">
        <f t="shared" si="2"/>
        <v>#REF!</v>
      </c>
      <c r="K20" s="6" t="e">
        <f>+#REF!</f>
        <v>#REF!</v>
      </c>
      <c r="L20" s="8" t="e">
        <f>+#REF!</f>
        <v>#REF!</v>
      </c>
      <c r="M20" s="21" t="e">
        <f t="shared" si="3"/>
        <v>#REF!</v>
      </c>
    </row>
    <row r="21" spans="1:13">
      <c r="A21" s="63" t="s">
        <v>239</v>
      </c>
      <c r="B21" s="6" t="e">
        <f>+#REF!</f>
        <v>#REF!</v>
      </c>
      <c r="C21" s="8" t="e">
        <f>+#REF!</f>
        <v>#REF!</v>
      </c>
      <c r="D21" s="21" t="e">
        <f t="shared" si="0"/>
        <v>#REF!</v>
      </c>
      <c r="E21" s="6" t="e">
        <f>+#REF!</f>
        <v>#REF!</v>
      </c>
      <c r="F21" s="8" t="e">
        <f>+#REF!</f>
        <v>#REF!</v>
      </c>
      <c r="G21" s="21" t="e">
        <f t="shared" si="1"/>
        <v>#REF!</v>
      </c>
      <c r="H21" s="6" t="e">
        <f>+E21</f>
        <v>#REF!</v>
      </c>
      <c r="I21" s="8" t="e">
        <f>+F21</f>
        <v>#REF!</v>
      </c>
      <c r="J21" s="21" t="e">
        <f t="shared" si="2"/>
        <v>#REF!</v>
      </c>
      <c r="K21" s="6" t="e">
        <f>+#REF!</f>
        <v>#REF!</v>
      </c>
      <c r="L21" s="8" t="e">
        <f>+#REF!</f>
        <v>#REF!</v>
      </c>
      <c r="M21" s="21" t="e">
        <f t="shared" si="3"/>
        <v>#REF!</v>
      </c>
    </row>
    <row r="22" spans="1:13">
      <c r="A22" s="63" t="s">
        <v>240</v>
      </c>
      <c r="B22" s="6" t="e">
        <f>+#REF!</f>
        <v>#REF!</v>
      </c>
      <c r="C22" s="8" t="e">
        <f>+#REF!</f>
        <v>#REF!</v>
      </c>
      <c r="D22" s="21" t="e">
        <f t="shared" si="0"/>
        <v>#REF!</v>
      </c>
      <c r="E22" s="6" t="e">
        <f>+#REF!</f>
        <v>#REF!</v>
      </c>
      <c r="F22" s="8" t="e">
        <f>+#REF!</f>
        <v>#REF!</v>
      </c>
      <c r="G22" s="21" t="e">
        <f t="shared" si="1"/>
        <v>#REF!</v>
      </c>
      <c r="H22" s="6" t="e">
        <f>+#REF!</f>
        <v>#REF!</v>
      </c>
      <c r="I22" s="8" t="e">
        <f>+#REF!+#REF!</f>
        <v>#REF!</v>
      </c>
      <c r="J22" s="21" t="e">
        <f t="shared" si="2"/>
        <v>#REF!</v>
      </c>
      <c r="K22" s="6" t="e">
        <f>+#REF!</f>
        <v>#REF!</v>
      </c>
      <c r="L22" s="8" t="e">
        <f>+#REF!</f>
        <v>#REF!</v>
      </c>
      <c r="M22" s="21" t="e">
        <f t="shared" si="3"/>
        <v>#REF!</v>
      </c>
    </row>
    <row r="23" spans="1:13">
      <c r="A23" s="63" t="s">
        <v>241</v>
      </c>
      <c r="B23" s="6" t="e">
        <f>+#REF!</f>
        <v>#REF!</v>
      </c>
      <c r="C23" s="8" t="e">
        <f>+#REF!</f>
        <v>#REF!</v>
      </c>
      <c r="D23" s="21" t="e">
        <f t="shared" si="0"/>
        <v>#REF!</v>
      </c>
      <c r="E23" s="6" t="e">
        <f>+#REF!</f>
        <v>#REF!</v>
      </c>
      <c r="F23" s="8" t="e">
        <f>+#REF!</f>
        <v>#REF!</v>
      </c>
      <c r="G23" s="21" t="e">
        <f t="shared" si="1"/>
        <v>#REF!</v>
      </c>
      <c r="H23" s="6" t="e">
        <f>+#REF!</f>
        <v>#REF!</v>
      </c>
      <c r="I23" s="8" t="e">
        <f>+#REF!+#REF!</f>
        <v>#REF!</v>
      </c>
      <c r="J23" s="21" t="e">
        <f t="shared" si="2"/>
        <v>#REF!</v>
      </c>
      <c r="K23" s="6" t="e">
        <f>+#REF!</f>
        <v>#REF!</v>
      </c>
      <c r="L23" s="8" t="e">
        <f>+#REF!</f>
        <v>#REF!</v>
      </c>
      <c r="M23" s="21" t="e">
        <f t="shared" si="3"/>
        <v>#REF!</v>
      </c>
    </row>
    <row r="24" spans="1:13">
      <c r="A24" s="63" t="s">
        <v>242</v>
      </c>
      <c r="B24" s="6" t="e">
        <f>+#REF!</f>
        <v>#REF!</v>
      </c>
      <c r="C24" s="8" t="e">
        <f>+#REF!</f>
        <v>#REF!</v>
      </c>
      <c r="D24" s="21" t="e">
        <f t="shared" si="0"/>
        <v>#REF!</v>
      </c>
      <c r="E24" s="6" t="e">
        <f>+#REF!</f>
        <v>#REF!</v>
      </c>
      <c r="F24" s="8" t="e">
        <f>+#REF!</f>
        <v>#REF!</v>
      </c>
      <c r="G24" s="21" t="e">
        <f t="shared" si="1"/>
        <v>#REF!</v>
      </c>
      <c r="H24" s="6" t="e">
        <f>+#REF!</f>
        <v>#REF!</v>
      </c>
      <c r="I24" s="8" t="e">
        <f>+#REF!+#REF!</f>
        <v>#REF!</v>
      </c>
      <c r="J24" s="21" t="e">
        <f t="shared" si="2"/>
        <v>#REF!</v>
      </c>
      <c r="K24" s="6" t="e">
        <f>+#REF!</f>
        <v>#REF!</v>
      </c>
      <c r="L24" s="8" t="e">
        <f>+#REF!</f>
        <v>#REF!</v>
      </c>
      <c r="M24" s="21" t="e">
        <f t="shared" si="3"/>
        <v>#REF!</v>
      </c>
    </row>
    <row r="25" spans="1:13">
      <c r="A25" s="63" t="s">
        <v>34</v>
      </c>
      <c r="B25" s="7" t="e">
        <f>+#REF!</f>
        <v>#REF!</v>
      </c>
      <c r="C25" s="8" t="e">
        <f>+#REF!</f>
        <v>#REF!</v>
      </c>
      <c r="D25" s="21" t="e">
        <f t="shared" si="0"/>
        <v>#REF!</v>
      </c>
      <c r="E25" s="6" t="e">
        <f>+#REF!</f>
        <v>#REF!</v>
      </c>
      <c r="F25" s="8" t="e">
        <f>+#REF!</f>
        <v>#REF!</v>
      </c>
      <c r="G25" s="21" t="e">
        <f t="shared" si="1"/>
        <v>#REF!</v>
      </c>
      <c r="H25" s="6" t="e">
        <f>+E25</f>
        <v>#REF!</v>
      </c>
      <c r="I25" s="8" t="e">
        <f>+F25</f>
        <v>#REF!</v>
      </c>
      <c r="J25" s="21" t="e">
        <f t="shared" si="2"/>
        <v>#REF!</v>
      </c>
      <c r="K25" s="6" t="e">
        <f>+#REF!</f>
        <v>#REF!</v>
      </c>
      <c r="L25" s="8" t="e">
        <f>+#REF!</f>
        <v>#REF!</v>
      </c>
      <c r="M25" s="21" t="e">
        <f t="shared" si="3"/>
        <v>#REF!</v>
      </c>
    </row>
    <row r="26" spans="1:13">
      <c r="A26" s="63" t="s">
        <v>36</v>
      </c>
      <c r="B26" s="6" t="e">
        <f>+#REF!</f>
        <v>#REF!</v>
      </c>
      <c r="C26" s="8" t="e">
        <f>+#REF!</f>
        <v>#REF!</v>
      </c>
      <c r="D26" s="21" t="e">
        <f t="shared" si="0"/>
        <v>#REF!</v>
      </c>
      <c r="E26" s="6" t="e">
        <f>+B26</f>
        <v>#REF!</v>
      </c>
      <c r="F26" s="8" t="e">
        <f>+C26</f>
        <v>#REF!</v>
      </c>
      <c r="G26" s="21" t="e">
        <f t="shared" si="1"/>
        <v>#REF!</v>
      </c>
      <c r="H26" s="6" t="e">
        <f>+E26</f>
        <v>#REF!</v>
      </c>
      <c r="I26" s="8" t="e">
        <f>+F26</f>
        <v>#REF!</v>
      </c>
      <c r="J26" s="21" t="e">
        <f t="shared" si="2"/>
        <v>#REF!</v>
      </c>
      <c r="K26" s="6" t="e">
        <f>+#REF!</f>
        <v>#REF!</v>
      </c>
      <c r="L26" s="8" t="e">
        <f>+#REF!</f>
        <v>#REF!</v>
      </c>
      <c r="M26" s="21" t="e">
        <f t="shared" si="3"/>
        <v>#REF!</v>
      </c>
    </row>
    <row r="31" spans="1:13">
      <c r="A31" t="s">
        <v>218</v>
      </c>
      <c r="B31" s="52" t="s">
        <v>243</v>
      </c>
      <c r="C31" s="52" t="s">
        <v>244</v>
      </c>
      <c r="D31" s="52" t="s">
        <v>245</v>
      </c>
    </row>
    <row r="32" spans="1:13">
      <c r="A32" s="52" t="s">
        <v>224</v>
      </c>
      <c r="B32" s="14" t="e">
        <f t="shared" ref="B32:B54" si="5">+G4/D4-1</f>
        <v>#REF!</v>
      </c>
      <c r="C32" s="14" t="e">
        <f t="shared" ref="C32:C54" si="6">+J4/D4-1</f>
        <v>#REF!</v>
      </c>
      <c r="D32" s="14" t="e">
        <f t="shared" ref="D32:D54" si="7">+M4/D4-1</f>
        <v>#REF!</v>
      </c>
    </row>
    <row r="33" spans="1:4">
      <c r="A33" s="52" t="s">
        <v>225</v>
      </c>
      <c r="B33" s="14" t="e">
        <f t="shared" si="5"/>
        <v>#REF!</v>
      </c>
      <c r="C33" s="14" t="e">
        <f t="shared" si="6"/>
        <v>#REF!</v>
      </c>
      <c r="D33" s="14" t="e">
        <f t="shared" si="7"/>
        <v>#REF!</v>
      </c>
    </row>
    <row r="34" spans="1:4">
      <c r="A34" s="63" t="s">
        <v>226</v>
      </c>
      <c r="B34" s="14" t="e">
        <f t="shared" si="5"/>
        <v>#REF!</v>
      </c>
      <c r="C34" s="14" t="e">
        <f t="shared" si="6"/>
        <v>#REF!</v>
      </c>
      <c r="D34" s="14" t="e">
        <f t="shared" si="7"/>
        <v>#REF!</v>
      </c>
    </row>
    <row r="35" spans="1:4">
      <c r="A35" s="63" t="s">
        <v>35</v>
      </c>
      <c r="B35" s="14" t="e">
        <f t="shared" si="5"/>
        <v>#REF!</v>
      </c>
      <c r="C35" s="14" t="e">
        <f t="shared" si="6"/>
        <v>#REF!</v>
      </c>
      <c r="D35" s="14" t="e">
        <f t="shared" si="7"/>
        <v>#REF!</v>
      </c>
    </row>
    <row r="36" spans="1:4">
      <c r="A36" s="63" t="s">
        <v>227</v>
      </c>
      <c r="B36" s="14" t="e">
        <f t="shared" si="5"/>
        <v>#REF!</v>
      </c>
      <c r="C36" s="14" t="e">
        <f t="shared" si="6"/>
        <v>#REF!</v>
      </c>
      <c r="D36" s="14" t="e">
        <f t="shared" si="7"/>
        <v>#REF!</v>
      </c>
    </row>
    <row r="37" spans="1:4">
      <c r="A37" s="63" t="s">
        <v>228</v>
      </c>
      <c r="B37" s="14" t="e">
        <f t="shared" si="5"/>
        <v>#REF!</v>
      </c>
      <c r="C37" s="14" t="e">
        <f t="shared" si="6"/>
        <v>#REF!</v>
      </c>
      <c r="D37" s="14" t="e">
        <f t="shared" si="7"/>
        <v>#REF!</v>
      </c>
    </row>
    <row r="38" spans="1:4">
      <c r="A38" s="63" t="s">
        <v>229</v>
      </c>
      <c r="B38" s="14" t="e">
        <f t="shared" si="5"/>
        <v>#REF!</v>
      </c>
      <c r="C38" s="14" t="e">
        <f t="shared" si="6"/>
        <v>#REF!</v>
      </c>
      <c r="D38" s="14" t="e">
        <f t="shared" si="7"/>
        <v>#REF!</v>
      </c>
    </row>
    <row r="39" spans="1:4">
      <c r="A39" s="63" t="s">
        <v>202</v>
      </c>
      <c r="B39" s="14" t="e">
        <f t="shared" si="5"/>
        <v>#REF!</v>
      </c>
      <c r="C39" s="14" t="e">
        <f t="shared" si="6"/>
        <v>#REF!</v>
      </c>
      <c r="D39" s="14" t="e">
        <f t="shared" si="7"/>
        <v>#REF!</v>
      </c>
    </row>
    <row r="40" spans="1:4">
      <c r="A40" s="63" t="s">
        <v>230</v>
      </c>
      <c r="B40" s="14" t="e">
        <f t="shared" si="5"/>
        <v>#REF!</v>
      </c>
      <c r="C40" s="14" t="e">
        <f t="shared" si="6"/>
        <v>#REF!</v>
      </c>
      <c r="D40" s="14" t="e">
        <f t="shared" si="7"/>
        <v>#REF!</v>
      </c>
    </row>
    <row r="41" spans="1:4">
      <c r="A41" s="63" t="s">
        <v>231</v>
      </c>
      <c r="B41" s="14" t="e">
        <f t="shared" si="5"/>
        <v>#REF!</v>
      </c>
      <c r="C41" s="14" t="e">
        <f t="shared" si="6"/>
        <v>#REF!</v>
      </c>
      <c r="D41" s="14" t="e">
        <f t="shared" si="7"/>
        <v>#REF!</v>
      </c>
    </row>
    <row r="42" spans="1:4">
      <c r="A42" s="63" t="s">
        <v>232</v>
      </c>
      <c r="B42" s="14" t="e">
        <f t="shared" si="5"/>
        <v>#REF!</v>
      </c>
      <c r="C42" s="14" t="e">
        <f t="shared" si="6"/>
        <v>#REF!</v>
      </c>
      <c r="D42" s="14" t="e">
        <f t="shared" si="7"/>
        <v>#REF!</v>
      </c>
    </row>
    <row r="43" spans="1:4">
      <c r="A43" s="63" t="s">
        <v>233</v>
      </c>
      <c r="B43" s="14" t="e">
        <f t="shared" si="5"/>
        <v>#REF!</v>
      </c>
      <c r="C43" s="14" t="e">
        <f t="shared" si="6"/>
        <v>#REF!</v>
      </c>
      <c r="D43" s="14" t="e">
        <f t="shared" si="7"/>
        <v>#REF!</v>
      </c>
    </row>
    <row r="44" spans="1:4">
      <c r="A44" s="63" t="s">
        <v>234</v>
      </c>
      <c r="B44" s="14" t="e">
        <f t="shared" si="5"/>
        <v>#REF!</v>
      </c>
      <c r="C44" s="14" t="e">
        <f t="shared" si="6"/>
        <v>#REF!</v>
      </c>
      <c r="D44" s="14" t="e">
        <f t="shared" si="7"/>
        <v>#REF!</v>
      </c>
    </row>
    <row r="45" spans="1:4">
      <c r="A45" s="63" t="s">
        <v>235</v>
      </c>
      <c r="B45" s="14" t="e">
        <f t="shared" si="5"/>
        <v>#REF!</v>
      </c>
      <c r="C45" s="14" t="e">
        <f t="shared" si="6"/>
        <v>#REF!</v>
      </c>
      <c r="D45" s="14" t="e">
        <f t="shared" si="7"/>
        <v>#REF!</v>
      </c>
    </row>
    <row r="46" spans="1:4">
      <c r="A46" s="63" t="s">
        <v>236</v>
      </c>
      <c r="B46" s="14" t="e">
        <f t="shared" si="5"/>
        <v>#REF!</v>
      </c>
      <c r="C46" s="14" t="e">
        <f t="shared" si="6"/>
        <v>#REF!</v>
      </c>
      <c r="D46" s="14" t="e">
        <f t="shared" si="7"/>
        <v>#REF!</v>
      </c>
    </row>
    <row r="47" spans="1:4">
      <c r="A47" s="63" t="s">
        <v>237</v>
      </c>
      <c r="B47" s="14" t="e">
        <f t="shared" si="5"/>
        <v>#REF!</v>
      </c>
      <c r="C47" s="14" t="e">
        <f t="shared" si="6"/>
        <v>#REF!</v>
      </c>
      <c r="D47" s="14" t="e">
        <f t="shared" si="7"/>
        <v>#REF!</v>
      </c>
    </row>
    <row r="48" spans="1:4">
      <c r="A48" s="63" t="s">
        <v>238</v>
      </c>
      <c r="B48" s="14" t="e">
        <f t="shared" si="5"/>
        <v>#REF!</v>
      </c>
      <c r="C48" s="14" t="e">
        <f t="shared" si="6"/>
        <v>#REF!</v>
      </c>
      <c r="D48" s="14" t="e">
        <f t="shared" si="7"/>
        <v>#REF!</v>
      </c>
    </row>
    <row r="49" spans="1:4">
      <c r="A49" s="63" t="s">
        <v>239</v>
      </c>
      <c r="B49" s="14" t="e">
        <f t="shared" si="5"/>
        <v>#REF!</v>
      </c>
      <c r="C49" s="14" t="e">
        <f t="shared" si="6"/>
        <v>#REF!</v>
      </c>
      <c r="D49" s="14" t="e">
        <f t="shared" si="7"/>
        <v>#REF!</v>
      </c>
    </row>
    <row r="50" spans="1:4">
      <c r="A50" s="63" t="s">
        <v>240</v>
      </c>
      <c r="B50" s="85" t="e">
        <f t="shared" si="5"/>
        <v>#REF!</v>
      </c>
      <c r="C50" s="85" t="e">
        <f t="shared" si="6"/>
        <v>#REF!</v>
      </c>
      <c r="D50" s="85" t="e">
        <f t="shared" si="7"/>
        <v>#REF!</v>
      </c>
    </row>
    <row r="51" spans="1:4">
      <c r="A51" s="63" t="s">
        <v>241</v>
      </c>
      <c r="B51" s="14" t="e">
        <f t="shared" si="5"/>
        <v>#REF!</v>
      </c>
      <c r="C51" s="14" t="e">
        <f t="shared" si="6"/>
        <v>#REF!</v>
      </c>
      <c r="D51" s="14" t="e">
        <f t="shared" si="7"/>
        <v>#REF!</v>
      </c>
    </row>
    <row r="52" spans="1:4">
      <c r="A52" s="63" t="s">
        <v>242</v>
      </c>
      <c r="B52" s="14" t="e">
        <f t="shared" si="5"/>
        <v>#REF!</v>
      </c>
      <c r="C52" s="14" t="e">
        <f t="shared" si="6"/>
        <v>#REF!</v>
      </c>
      <c r="D52" s="14" t="e">
        <f t="shared" si="7"/>
        <v>#REF!</v>
      </c>
    </row>
    <row r="53" spans="1:4">
      <c r="A53" s="63" t="s">
        <v>34</v>
      </c>
      <c r="B53" s="14" t="e">
        <f t="shared" si="5"/>
        <v>#REF!</v>
      </c>
      <c r="C53" s="14" t="e">
        <f t="shared" si="6"/>
        <v>#REF!</v>
      </c>
      <c r="D53" s="14" t="e">
        <f t="shared" si="7"/>
        <v>#REF!</v>
      </c>
    </row>
    <row r="54" spans="1:4">
      <c r="A54" s="63" t="s">
        <v>36</v>
      </c>
      <c r="B54" s="14" t="e">
        <f t="shared" si="5"/>
        <v>#REF!</v>
      </c>
      <c r="C54" s="14" t="e">
        <f t="shared" si="6"/>
        <v>#REF!</v>
      </c>
      <c r="D54" s="14" t="e">
        <f t="shared" si="7"/>
        <v>#REF!</v>
      </c>
    </row>
  </sheetData>
  <mergeCells count="4">
    <mergeCell ref="B2:D2"/>
    <mergeCell ref="E2:G2"/>
    <mergeCell ref="H2:J2"/>
    <mergeCell ref="K2:M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3"/>
  <sheetViews>
    <sheetView zoomScale="85" zoomScaleNormal="85" workbookViewId="0">
      <pane xSplit="1" ySplit="9" topLeftCell="B10" activePane="bottomRight" state="frozen"/>
      <selection pane="topRight" activeCell="B1" sqref="B1"/>
      <selection pane="bottomLeft" activeCell="A10" sqref="A10"/>
      <selection pane="bottomRight" activeCell="C10" sqref="C10"/>
    </sheetView>
  </sheetViews>
  <sheetFormatPr defaultRowHeight="12.75"/>
  <cols>
    <col min="1" max="1" width="22.7109375" customWidth="1"/>
    <col min="2" max="2" width="21.85546875" customWidth="1"/>
    <col min="3" max="3" width="16.85546875" customWidth="1"/>
    <col min="4" max="5" width="12.5703125" customWidth="1"/>
    <col min="9" max="9" width="21.5703125" bestFit="1" customWidth="1"/>
  </cols>
  <sheetData>
    <row r="1" spans="1:9">
      <c r="A1" t="str">
        <f>+RS!B2</f>
        <v>KENTUCKY POWER BILLING ANALYSIS</v>
      </c>
    </row>
    <row r="2" spans="1:9">
      <c r="A2" t="str">
        <f>+RS!B4</f>
        <v>TEST YEAR ENDED MARCH 31, 2023</v>
      </c>
    </row>
    <row r="3" spans="1:9">
      <c r="A3" t="s">
        <v>137</v>
      </c>
    </row>
    <row r="4" spans="1:9">
      <c r="D4" s="67"/>
    </row>
    <row r="5" spans="1:9">
      <c r="B5" s="68"/>
      <c r="D5" s="67"/>
    </row>
    <row r="6" spans="1:9">
      <c r="A6" s="1"/>
      <c r="B6" s="1" t="s">
        <v>73</v>
      </c>
      <c r="C6" s="1" t="s">
        <v>73</v>
      </c>
      <c r="D6" s="1"/>
      <c r="E6" s="1"/>
    </row>
    <row r="7" spans="1:9">
      <c r="A7" s="1"/>
      <c r="B7" s="1" t="s">
        <v>74</v>
      </c>
      <c r="C7" s="1" t="s">
        <v>75</v>
      </c>
      <c r="D7" s="1"/>
      <c r="E7" s="1" t="s">
        <v>77</v>
      </c>
    </row>
    <row r="8" spans="1:9">
      <c r="A8" s="3" t="s">
        <v>2</v>
      </c>
      <c r="B8" s="3" t="s">
        <v>6</v>
      </c>
      <c r="C8" s="3" t="s">
        <v>6</v>
      </c>
      <c r="D8" s="3" t="s">
        <v>76</v>
      </c>
      <c r="E8" s="3" t="s">
        <v>76</v>
      </c>
      <c r="I8" s="81"/>
    </row>
    <row r="9" spans="1:9">
      <c r="A9" s="3"/>
      <c r="B9" s="3"/>
      <c r="C9" s="3"/>
      <c r="D9" s="3"/>
      <c r="E9" s="3"/>
    </row>
    <row r="10" spans="1:9">
      <c r="A10" t="s">
        <v>80</v>
      </c>
      <c r="B10" s="8" t="e">
        <f>+#REF!</f>
        <v>#REF!</v>
      </c>
      <c r="C10" s="8">
        <f>RS!G53</f>
        <v>301101949.16364413</v>
      </c>
      <c r="D10" s="10" t="e">
        <f>+C10-B10</f>
        <v>#REF!</v>
      </c>
      <c r="E10" s="14" t="e">
        <f>+D10/B10</f>
        <v>#REF!</v>
      </c>
      <c r="F10" s="52"/>
      <c r="I10" s="79"/>
    </row>
    <row r="11" spans="1:9">
      <c r="B11" s="8"/>
      <c r="C11" s="8"/>
      <c r="D11" s="10"/>
      <c r="I11" s="79"/>
    </row>
    <row r="12" spans="1:9">
      <c r="A12" t="s">
        <v>81</v>
      </c>
      <c r="B12" s="8" t="e">
        <f>+#REF!</f>
        <v>#REF!</v>
      </c>
      <c r="C12" s="8" t="e">
        <f>#REF!</f>
        <v>#REF!</v>
      </c>
      <c r="D12" s="10" t="e">
        <f>+C12-B12</f>
        <v>#REF!</v>
      </c>
      <c r="E12" s="14" t="e">
        <f>+D12/B12</f>
        <v>#REF!</v>
      </c>
      <c r="F12" s="52"/>
      <c r="I12" s="79"/>
    </row>
    <row r="13" spans="1:9">
      <c r="B13" s="8"/>
      <c r="C13" s="8"/>
      <c r="D13" s="10"/>
      <c r="E13" s="14"/>
      <c r="I13" s="79"/>
    </row>
    <row r="14" spans="1:9">
      <c r="A14" t="s">
        <v>160</v>
      </c>
      <c r="B14" s="8" t="e">
        <f>+#REF!</f>
        <v>#REF!</v>
      </c>
      <c r="C14" s="8" t="e">
        <f>#REF!</f>
        <v>#REF!</v>
      </c>
      <c r="D14" s="10" t="e">
        <f>+C14-B14</f>
        <v>#REF!</v>
      </c>
      <c r="E14" s="14" t="e">
        <f>+D14/B14</f>
        <v>#REF!</v>
      </c>
      <c r="F14" s="52"/>
      <c r="I14" s="79"/>
    </row>
    <row r="15" spans="1:9">
      <c r="B15" s="8"/>
      <c r="C15" s="8"/>
      <c r="D15" s="10"/>
      <c r="I15" s="79"/>
    </row>
    <row r="16" spans="1:9">
      <c r="A16" t="s">
        <v>82</v>
      </c>
      <c r="B16" s="8" t="e">
        <f>+#REF!</f>
        <v>#REF!</v>
      </c>
      <c r="C16" s="8" t="e">
        <f>#REF!</f>
        <v>#REF!</v>
      </c>
      <c r="D16" s="89" t="e">
        <f>+C16-B16</f>
        <v>#REF!</v>
      </c>
      <c r="E16" s="14" t="e">
        <f>+D16/B16</f>
        <v>#REF!</v>
      </c>
      <c r="F16" s="52"/>
      <c r="I16" s="79"/>
    </row>
    <row r="17" spans="1:10">
      <c r="B17" s="8"/>
      <c r="C17" s="8"/>
      <c r="D17" s="10"/>
      <c r="I17" s="79"/>
    </row>
    <row r="18" spans="1:10">
      <c r="A18" t="s">
        <v>83</v>
      </c>
      <c r="B18" s="8" t="e">
        <f>+#REF!</f>
        <v>#REF!</v>
      </c>
      <c r="C18" s="8" t="e">
        <f>#REF!</f>
        <v>#REF!</v>
      </c>
      <c r="D18" s="89" t="e">
        <f>+C18-B18</f>
        <v>#REF!</v>
      </c>
      <c r="E18" s="14" t="e">
        <f>+D18/B18</f>
        <v>#REF!</v>
      </c>
      <c r="F18" s="52"/>
      <c r="I18" s="79"/>
    </row>
    <row r="19" spans="1:10">
      <c r="B19" s="8"/>
      <c r="C19" s="8"/>
      <c r="D19" s="10"/>
      <c r="I19" s="79"/>
    </row>
    <row r="20" spans="1:10">
      <c r="A20" t="s">
        <v>195</v>
      </c>
      <c r="B20" s="8" t="e">
        <f>+#REF!</f>
        <v>#REF!</v>
      </c>
      <c r="C20" s="8" t="e">
        <f>'SGS TOD NA'!F40</f>
        <v>#REF!</v>
      </c>
      <c r="D20" s="10" t="e">
        <f>+C20-B20</f>
        <v>#REF!</v>
      </c>
      <c r="E20" s="14" t="e">
        <f>+D20/B20</f>
        <v>#REF!</v>
      </c>
      <c r="F20" s="52"/>
      <c r="I20" s="79"/>
    </row>
    <row r="21" spans="1:10">
      <c r="B21" s="8"/>
      <c r="C21" s="8"/>
      <c r="D21" s="10"/>
      <c r="I21" s="79"/>
    </row>
    <row r="22" spans="1:10">
      <c r="A22" t="s">
        <v>84</v>
      </c>
      <c r="B22" s="8" t="e">
        <f>+#REF!</f>
        <v>#REF!</v>
      </c>
      <c r="C22" s="8" t="e">
        <f>#REF!</f>
        <v>#REF!</v>
      </c>
      <c r="D22" s="10" t="e">
        <f>+C22-B22</f>
        <v>#REF!</v>
      </c>
      <c r="E22" s="14" t="e">
        <f>+D22/B22</f>
        <v>#REF!</v>
      </c>
      <c r="F22" s="52"/>
      <c r="I22" s="79"/>
    </row>
    <row r="23" spans="1:10">
      <c r="B23" s="8"/>
      <c r="C23" s="8"/>
      <c r="D23" s="10"/>
      <c r="E23" s="14"/>
      <c r="I23" s="79"/>
    </row>
    <row r="24" spans="1:10">
      <c r="A24" t="s">
        <v>203</v>
      </c>
      <c r="B24" s="8" t="e">
        <f>+#REF!</f>
        <v>#REF!</v>
      </c>
      <c r="C24" s="8" t="e">
        <f>+#REF!</f>
        <v>#REF!</v>
      </c>
      <c r="D24" s="89" t="e">
        <f>+C24-B24</f>
        <v>#REF!</v>
      </c>
      <c r="E24" s="85" t="e">
        <f>+D24/B24</f>
        <v>#REF!</v>
      </c>
      <c r="I24" s="79"/>
    </row>
    <row r="25" spans="1:10">
      <c r="B25" s="8"/>
      <c r="C25" s="8"/>
      <c r="D25" s="10"/>
      <c r="I25" s="79"/>
    </row>
    <row r="26" spans="1:10">
      <c r="A26" t="s">
        <v>85</v>
      </c>
      <c r="B26" s="8" t="e">
        <f>+#REF!</f>
        <v>#REF!</v>
      </c>
      <c r="C26" s="8" t="e">
        <f>#REF!</f>
        <v>#REF!</v>
      </c>
      <c r="D26" s="10" t="e">
        <f>+C26-B26</f>
        <v>#REF!</v>
      </c>
      <c r="E26" s="14" t="e">
        <f>+D26/B26</f>
        <v>#REF!</v>
      </c>
      <c r="I26" s="79"/>
    </row>
    <row r="27" spans="1:10">
      <c r="B27" s="8"/>
      <c r="C27" s="8"/>
      <c r="D27" s="10"/>
      <c r="I27" s="79"/>
    </row>
    <row r="28" spans="1:10">
      <c r="A28" t="s">
        <v>86</v>
      </c>
      <c r="B28" s="8" t="e">
        <f>+#REF!</f>
        <v>#REF!</v>
      </c>
      <c r="C28" s="8" t="e">
        <f>#REF!</f>
        <v>#REF!</v>
      </c>
      <c r="D28" s="10" t="e">
        <f>+C28-B28</f>
        <v>#REF!</v>
      </c>
      <c r="E28" s="14" t="e">
        <f>+D28/B28</f>
        <v>#REF!</v>
      </c>
      <c r="I28" s="79"/>
    </row>
    <row r="29" spans="1:10">
      <c r="B29" s="8"/>
      <c r="C29" s="8"/>
      <c r="D29" s="10"/>
      <c r="G29" s="28"/>
      <c r="H29" s="28"/>
      <c r="I29" s="83"/>
      <c r="J29" s="28"/>
    </row>
    <row r="30" spans="1:10">
      <c r="A30" t="s">
        <v>87</v>
      </c>
      <c r="B30" s="8" t="e">
        <f>+#REF!</f>
        <v>#REF!</v>
      </c>
      <c r="C30" s="8" t="e">
        <f>#REF!</f>
        <v>#REF!</v>
      </c>
      <c r="D30" s="10" t="e">
        <f>+C30-B30</f>
        <v>#REF!</v>
      </c>
      <c r="E30" s="14" t="e">
        <f>+D30/B30</f>
        <v>#REF!</v>
      </c>
      <c r="G30" s="28"/>
      <c r="H30" s="28"/>
      <c r="I30" s="83"/>
      <c r="J30" s="28"/>
    </row>
    <row r="31" spans="1:10">
      <c r="B31" s="8"/>
      <c r="C31" s="8"/>
      <c r="D31" s="10"/>
      <c r="G31" s="28"/>
      <c r="H31" s="28"/>
      <c r="I31" s="83"/>
      <c r="J31" s="28"/>
    </row>
    <row r="32" spans="1:10">
      <c r="A32" t="s">
        <v>88</v>
      </c>
      <c r="B32" s="8" t="e">
        <f>+#REF!</f>
        <v>#REF!</v>
      </c>
      <c r="C32" s="8" t="e">
        <f>#REF!</f>
        <v>#REF!</v>
      </c>
      <c r="D32" s="10" t="e">
        <f>+C32-B32</f>
        <v>#REF!</v>
      </c>
      <c r="E32" s="14" t="e">
        <f>+D32/B32</f>
        <v>#REF!</v>
      </c>
      <c r="G32" s="28"/>
      <c r="H32" s="28"/>
      <c r="I32" s="83"/>
      <c r="J32" s="28"/>
    </row>
    <row r="33" spans="1:10">
      <c r="B33" s="8"/>
      <c r="C33" s="8"/>
      <c r="D33" s="10"/>
      <c r="G33" s="28"/>
      <c r="H33" s="28"/>
      <c r="I33" s="83"/>
      <c r="J33" s="28"/>
    </row>
    <row r="34" spans="1:10">
      <c r="A34" t="s">
        <v>89</v>
      </c>
      <c r="B34" s="8" t="e">
        <f>+#REF!</f>
        <v>#REF!</v>
      </c>
      <c r="C34" s="8" t="e">
        <f>#REF!</f>
        <v>#REF!</v>
      </c>
      <c r="D34" s="10" t="e">
        <f>+C34-B34</f>
        <v>#REF!</v>
      </c>
      <c r="E34" s="14" t="e">
        <f>+D34/B34</f>
        <v>#REF!</v>
      </c>
      <c r="G34" s="28"/>
      <c r="H34" s="28"/>
      <c r="I34" s="83"/>
      <c r="J34" s="28"/>
    </row>
    <row r="35" spans="1:10">
      <c r="B35" s="8"/>
      <c r="C35" s="8"/>
      <c r="D35" s="10"/>
      <c r="G35" s="28"/>
      <c r="H35" s="28"/>
      <c r="I35" s="83"/>
      <c r="J35" s="28"/>
    </row>
    <row r="36" spans="1:10">
      <c r="A36" t="s">
        <v>90</v>
      </c>
      <c r="B36" s="8" t="e">
        <f>+#REF!</f>
        <v>#REF!</v>
      </c>
      <c r="C36" s="8" t="e">
        <f>#REF!</f>
        <v>#REF!</v>
      </c>
      <c r="D36" s="10" t="e">
        <f>+C36-B36</f>
        <v>#REF!</v>
      </c>
      <c r="E36" s="14" t="e">
        <f>+D36/B36</f>
        <v>#REF!</v>
      </c>
      <c r="G36" s="28"/>
      <c r="H36" s="28"/>
      <c r="I36" s="83"/>
      <c r="J36" s="28"/>
    </row>
    <row r="37" spans="1:10">
      <c r="B37" s="8"/>
      <c r="C37" s="8"/>
      <c r="D37" s="10"/>
      <c r="G37" s="28"/>
      <c r="H37" s="28"/>
      <c r="I37" s="83"/>
      <c r="J37" s="28"/>
    </row>
    <row r="38" spans="1:10">
      <c r="A38" t="s">
        <v>91</v>
      </c>
      <c r="B38" s="8" t="e">
        <f>+#REF!</f>
        <v>#REF!</v>
      </c>
      <c r="C38" s="8" t="e">
        <f>#REF!</f>
        <v>#REF!</v>
      </c>
      <c r="D38" s="10" t="e">
        <f>+C38-B38</f>
        <v>#REF!</v>
      </c>
      <c r="E38" s="14" t="e">
        <f>+D38/B38</f>
        <v>#REF!</v>
      </c>
      <c r="G38" s="28"/>
      <c r="H38" s="28"/>
      <c r="I38" s="83"/>
      <c r="J38" s="28"/>
    </row>
    <row r="39" spans="1:10">
      <c r="B39" s="8"/>
      <c r="C39" s="8"/>
      <c r="D39" s="10"/>
      <c r="G39" s="28"/>
      <c r="H39" s="28"/>
      <c r="I39" s="83"/>
      <c r="J39" s="28"/>
    </row>
    <row r="40" spans="1:10">
      <c r="A40" t="s">
        <v>92</v>
      </c>
      <c r="B40" s="8" t="e">
        <f>+#REF!</f>
        <v>#REF!</v>
      </c>
      <c r="C40" s="8" t="e">
        <f>#REF!</f>
        <v>#REF!</v>
      </c>
      <c r="D40" s="10" t="e">
        <f>+C40-B40</f>
        <v>#REF!</v>
      </c>
      <c r="E40" s="14" t="e">
        <f>+D40/B40</f>
        <v>#REF!</v>
      </c>
      <c r="G40" s="28"/>
      <c r="H40" s="28"/>
      <c r="I40" s="83"/>
      <c r="J40" s="28"/>
    </row>
    <row r="41" spans="1:10">
      <c r="B41" s="8"/>
      <c r="C41" s="8"/>
      <c r="D41" s="10"/>
      <c r="E41" s="14"/>
      <c r="G41" s="28"/>
      <c r="H41" s="28"/>
      <c r="I41" s="83"/>
      <c r="J41" s="28"/>
    </row>
    <row r="42" spans="1:10">
      <c r="A42" s="28" t="s">
        <v>282</v>
      </c>
      <c r="B42" s="30" t="e">
        <f>#REF!</f>
        <v>#REF!</v>
      </c>
      <c r="C42" s="30" t="e">
        <f>#REF!</f>
        <v>#REF!</v>
      </c>
      <c r="D42" s="10" t="e">
        <f>+C42-B42</f>
        <v>#REF!</v>
      </c>
      <c r="E42" s="14" t="e">
        <f>+D42/B42</f>
        <v>#REF!</v>
      </c>
      <c r="G42" s="28"/>
      <c r="H42" s="28"/>
      <c r="I42" s="83"/>
      <c r="J42" s="28"/>
    </row>
    <row r="43" spans="1:10">
      <c r="A43" s="28"/>
      <c r="B43" s="30"/>
      <c r="C43" s="30"/>
      <c r="D43" s="10"/>
      <c r="G43" s="28"/>
      <c r="H43" s="28"/>
      <c r="I43" s="83"/>
      <c r="J43" s="28"/>
    </row>
    <row r="44" spans="1:10">
      <c r="A44" s="28" t="s">
        <v>96</v>
      </c>
      <c r="B44" s="30" t="e">
        <f>#REF!</f>
        <v>#REF!</v>
      </c>
      <c r="C44" s="30" t="e">
        <f>#REF!</f>
        <v>#REF!</v>
      </c>
      <c r="D44" s="10" t="e">
        <f>+C44-B44</f>
        <v>#REF!</v>
      </c>
      <c r="E44" s="14" t="e">
        <f>+D44/B44</f>
        <v>#REF!</v>
      </c>
      <c r="G44" s="28"/>
      <c r="H44" s="28"/>
      <c r="I44" s="83"/>
      <c r="J44" s="28"/>
    </row>
    <row r="45" spans="1:10">
      <c r="A45" s="28"/>
      <c r="B45" s="30"/>
      <c r="C45" s="30"/>
      <c r="D45" s="10"/>
      <c r="G45" s="28"/>
      <c r="H45" s="28"/>
      <c r="I45" s="83"/>
      <c r="J45" s="28"/>
    </row>
    <row r="46" spans="1:10">
      <c r="A46" s="28" t="s">
        <v>93</v>
      </c>
      <c r="B46" s="30" t="e">
        <f>+#REF!</f>
        <v>#REF!</v>
      </c>
      <c r="C46" s="30" t="e">
        <f>#REF!</f>
        <v>#REF!</v>
      </c>
      <c r="D46" s="10" t="e">
        <f>+C46-B46</f>
        <v>#REF!</v>
      </c>
      <c r="E46" s="14" t="e">
        <f>+D46/B46</f>
        <v>#REF!</v>
      </c>
      <c r="G46" s="28"/>
      <c r="H46" s="28"/>
      <c r="I46" s="83"/>
      <c r="J46" s="28"/>
    </row>
    <row r="47" spans="1:10">
      <c r="A47" s="28"/>
      <c r="B47" s="30"/>
      <c r="C47" s="30"/>
      <c r="D47" s="10"/>
      <c r="E47" s="14"/>
      <c r="G47" s="28"/>
      <c r="H47" s="28"/>
      <c r="I47" s="83"/>
      <c r="J47" s="28"/>
    </row>
    <row r="48" spans="1:10">
      <c r="A48" s="28" t="s">
        <v>198</v>
      </c>
      <c r="B48" s="30" t="e">
        <f>+#REF!</f>
        <v>#REF!</v>
      </c>
      <c r="C48" s="30" t="e">
        <f>+#REF!</f>
        <v>#REF!</v>
      </c>
      <c r="D48" s="10" t="e">
        <f>+C48-B48</f>
        <v>#REF!</v>
      </c>
      <c r="E48" s="14" t="e">
        <f>+D48/B48</f>
        <v>#REF!</v>
      </c>
      <c r="G48" s="28"/>
      <c r="H48" s="28"/>
      <c r="I48" s="83"/>
      <c r="J48" s="28"/>
    </row>
    <row r="49" spans="1:10">
      <c r="A49" s="28"/>
      <c r="B49" s="30"/>
      <c r="C49" s="30"/>
      <c r="D49" s="10"/>
      <c r="G49" s="28"/>
      <c r="H49" s="28"/>
      <c r="I49" s="83"/>
      <c r="J49" s="28"/>
    </row>
    <row r="50" spans="1:10">
      <c r="A50" s="83" t="s">
        <v>283</v>
      </c>
      <c r="B50" s="30" t="e">
        <f>#REF!</f>
        <v>#REF!</v>
      </c>
      <c r="C50" s="30" t="e">
        <f>#REF!</f>
        <v>#REF!</v>
      </c>
      <c r="D50" s="10" t="e">
        <f>+C50-B50</f>
        <v>#REF!</v>
      </c>
      <c r="E50" s="14" t="e">
        <f>+D50/B50</f>
        <v>#REF!</v>
      </c>
      <c r="G50" s="28"/>
      <c r="H50" s="28"/>
      <c r="I50" s="83"/>
      <c r="J50" s="28"/>
    </row>
    <row r="51" spans="1:10">
      <c r="A51" s="83"/>
      <c r="B51" s="30"/>
      <c r="C51" s="30"/>
      <c r="D51" s="10"/>
      <c r="G51" s="28"/>
      <c r="H51" s="28"/>
      <c r="I51" s="83"/>
      <c r="J51" s="28"/>
    </row>
    <row r="52" spans="1:10">
      <c r="A52" s="83" t="s">
        <v>284</v>
      </c>
      <c r="B52" s="30" t="e">
        <f>#REF!</f>
        <v>#REF!</v>
      </c>
      <c r="C52" s="30" t="e">
        <f>#REF!</f>
        <v>#REF!</v>
      </c>
      <c r="D52" s="10" t="e">
        <f>+C52-B52</f>
        <v>#REF!</v>
      </c>
      <c r="E52" s="14" t="e">
        <f>+D52/B52</f>
        <v>#REF!</v>
      </c>
      <c r="G52" s="28"/>
      <c r="H52" s="28"/>
      <c r="I52" s="83"/>
      <c r="J52" s="28"/>
    </row>
    <row r="53" spans="1:10">
      <c r="A53" s="83"/>
      <c r="B53" s="30"/>
      <c r="C53" s="30"/>
      <c r="D53" s="10"/>
      <c r="G53" s="28"/>
      <c r="H53" s="28"/>
      <c r="I53" s="83"/>
      <c r="J53" s="28"/>
    </row>
    <row r="54" spans="1:10">
      <c r="A54" s="83" t="s">
        <v>322</v>
      </c>
      <c r="B54" s="30" t="e">
        <f>#REF!</f>
        <v>#REF!</v>
      </c>
      <c r="C54" s="30" t="e">
        <f>'CS-IRP TRAN 321'!D48</f>
        <v>#REF!</v>
      </c>
      <c r="D54" s="89" t="e">
        <f>+C54-B54</f>
        <v>#REF!</v>
      </c>
      <c r="E54" s="85" t="e">
        <f>+D54/B54</f>
        <v>#REF!</v>
      </c>
      <c r="G54" s="28"/>
      <c r="H54" s="28"/>
      <c r="I54" s="83"/>
      <c r="J54" s="28"/>
    </row>
    <row r="55" spans="1:10">
      <c r="A55" s="83"/>
      <c r="B55" s="30"/>
      <c r="C55" s="30"/>
      <c r="D55" s="89"/>
      <c r="E55" s="28"/>
      <c r="G55" s="28"/>
      <c r="H55" s="28"/>
      <c r="I55" s="83"/>
      <c r="J55" s="28"/>
    </row>
    <row r="56" spans="1:10">
      <c r="A56" s="83" t="s">
        <v>323</v>
      </c>
      <c r="B56" s="30" t="e">
        <f>#REF!</f>
        <v>#REF!</v>
      </c>
      <c r="C56" s="30">
        <f>'CS-IRP SUB 331'!D48</f>
        <v>4184864.9087767745</v>
      </c>
      <c r="D56" s="89" t="e">
        <f>+C56-B56</f>
        <v>#REF!</v>
      </c>
      <c r="E56" s="85" t="e">
        <f>+D56/B56</f>
        <v>#REF!</v>
      </c>
      <c r="G56" s="28"/>
      <c r="H56" s="28"/>
      <c r="I56" s="83"/>
      <c r="J56" s="28"/>
    </row>
    <row r="57" spans="1:10">
      <c r="A57" s="83"/>
      <c r="B57" s="30"/>
      <c r="C57" s="30"/>
      <c r="D57" s="10"/>
      <c r="E57" s="14"/>
      <c r="G57" s="28"/>
      <c r="H57" s="28"/>
      <c r="I57" s="83"/>
      <c r="J57" s="28"/>
    </row>
    <row r="58" spans="1:10">
      <c r="A58" s="83" t="s">
        <v>285</v>
      </c>
      <c r="B58" s="30" t="e">
        <f>#REF!</f>
        <v>#REF!</v>
      </c>
      <c r="C58" s="30" t="e">
        <f>#REF!</f>
        <v>#REF!</v>
      </c>
      <c r="D58" s="10" t="e">
        <f>+C58-B58</f>
        <v>#REF!</v>
      </c>
      <c r="E58" s="14" t="e">
        <f>+D58/B58</f>
        <v>#REF!</v>
      </c>
      <c r="G58" s="28"/>
      <c r="H58" s="28"/>
      <c r="I58" s="83"/>
      <c r="J58" s="28"/>
    </row>
    <row r="59" spans="1:10">
      <c r="A59" s="83"/>
      <c r="B59" s="30"/>
      <c r="C59" s="30"/>
      <c r="D59" s="10"/>
      <c r="G59" s="28"/>
      <c r="H59" s="28"/>
      <c r="I59" s="83"/>
      <c r="J59" s="28"/>
    </row>
    <row r="60" spans="1:10">
      <c r="A60" s="83" t="s">
        <v>286</v>
      </c>
      <c r="B60" s="30" t="e">
        <f>#REF!</f>
        <v>#REF!</v>
      </c>
      <c r="C60" s="30" t="e">
        <f>#REF!</f>
        <v>#REF!</v>
      </c>
      <c r="D60" s="10" t="e">
        <f>+C60-B60</f>
        <v>#REF!</v>
      </c>
      <c r="E60" s="14" t="e">
        <f>+D60/B60</f>
        <v>#REF!</v>
      </c>
      <c r="G60" s="28"/>
      <c r="H60" s="28"/>
      <c r="I60" s="83"/>
      <c r="J60" s="28"/>
    </row>
    <row r="61" spans="1:10">
      <c r="A61" s="83"/>
      <c r="B61" s="30"/>
      <c r="C61" s="30"/>
      <c r="D61" s="10"/>
      <c r="E61" s="14"/>
      <c r="G61" s="28"/>
      <c r="H61" s="28"/>
      <c r="I61" s="83"/>
      <c r="J61" s="28"/>
    </row>
    <row r="62" spans="1:10">
      <c r="A62" s="83" t="s">
        <v>287</v>
      </c>
      <c r="B62" s="30" t="e">
        <f>#REF!</f>
        <v>#REF!</v>
      </c>
      <c r="C62" s="30" t="e">
        <f>#REF!</f>
        <v>#REF!</v>
      </c>
      <c r="D62" s="109" t="e">
        <f t="shared" ref="D62" si="0">+C62-B62</f>
        <v>#REF!</v>
      </c>
      <c r="E62" s="86" t="e">
        <f t="shared" ref="E62" si="1">+D62/B62</f>
        <v>#REF!</v>
      </c>
      <c r="G62" s="28"/>
      <c r="H62" s="28"/>
      <c r="I62" s="83"/>
      <c r="J62" s="28"/>
    </row>
    <row r="63" spans="1:10">
      <c r="A63" s="83"/>
      <c r="B63" s="30"/>
      <c r="C63" s="30"/>
      <c r="D63" s="10"/>
      <c r="E63" s="14"/>
      <c r="G63" s="28"/>
      <c r="H63" s="28"/>
      <c r="I63" s="83"/>
      <c r="J63" s="28"/>
    </row>
    <row r="64" spans="1:10">
      <c r="A64" s="83" t="s">
        <v>288</v>
      </c>
      <c r="B64" s="30" t="e">
        <f>#REF!</f>
        <v>#REF!</v>
      </c>
      <c r="C64" s="30" t="e">
        <f>#REF!</f>
        <v>#REF!</v>
      </c>
      <c r="D64" s="89" t="e">
        <f t="shared" ref="D64" si="2">+C64-B64</f>
        <v>#REF!</v>
      </c>
      <c r="E64" s="85" t="e">
        <f t="shared" ref="E64" si="3">+D64/B64</f>
        <v>#REF!</v>
      </c>
      <c r="G64" s="28"/>
      <c r="H64" s="28"/>
      <c r="I64" s="83"/>
      <c r="J64" s="28"/>
    </row>
    <row r="65" spans="1:10">
      <c r="A65" s="28"/>
      <c r="B65" s="30"/>
      <c r="C65" s="30"/>
      <c r="D65" s="10"/>
      <c r="E65" s="14"/>
      <c r="G65" s="28"/>
      <c r="H65" s="28"/>
      <c r="I65" s="83"/>
      <c r="J65" s="28"/>
    </row>
    <row r="66" spans="1:10">
      <c r="A66" s="28" t="s">
        <v>94</v>
      </c>
      <c r="B66" s="30" t="e">
        <f>+#REF!</f>
        <v>#REF!</v>
      </c>
      <c r="C66" s="30" t="e">
        <f>#REF!</f>
        <v>#REF!</v>
      </c>
      <c r="D66" s="10" t="e">
        <f>+C66-B66</f>
        <v>#REF!</v>
      </c>
      <c r="E66" s="14" t="e">
        <f>+D66/B66</f>
        <v>#REF!</v>
      </c>
      <c r="G66" s="28"/>
      <c r="H66" s="28"/>
      <c r="I66" s="83"/>
      <c r="J66" s="28"/>
    </row>
    <row r="67" spans="1:10">
      <c r="A67" s="28"/>
      <c r="B67" s="30"/>
      <c r="C67" s="30"/>
      <c r="D67" s="10"/>
      <c r="G67" s="28"/>
      <c r="H67" s="28"/>
      <c r="I67" s="83"/>
      <c r="J67" s="28"/>
    </row>
    <row r="68" spans="1:10">
      <c r="A68" s="28" t="s">
        <v>95</v>
      </c>
      <c r="B68" s="30" t="e">
        <f>+#REF!</f>
        <v>#REF!</v>
      </c>
      <c r="C68" s="30" t="e">
        <f>#REF!</f>
        <v>#REF!</v>
      </c>
      <c r="D68" s="10" t="e">
        <f>+C68-B68</f>
        <v>#REF!</v>
      </c>
      <c r="E68" s="14" t="e">
        <f>+D68/B68</f>
        <v>#REF!</v>
      </c>
      <c r="G68" s="28"/>
      <c r="H68" s="28"/>
      <c r="I68" s="83"/>
      <c r="J68" s="28"/>
    </row>
    <row r="69" spans="1:10">
      <c r="B69" s="8"/>
      <c r="C69" s="8"/>
      <c r="D69" s="10"/>
      <c r="G69" s="28"/>
      <c r="H69" s="28"/>
      <c r="I69" s="28"/>
      <c r="J69" s="28"/>
    </row>
    <row r="70" spans="1:10">
      <c r="A70" t="s">
        <v>17</v>
      </c>
      <c r="B70" s="8" t="e">
        <f>SUM(B10:B68)</f>
        <v>#REF!</v>
      </c>
      <c r="C70" s="8" t="e">
        <f>SUM(C10:C68)</f>
        <v>#REF!</v>
      </c>
      <c r="D70" s="10" t="e">
        <f>+C70-B70</f>
        <v>#REF!</v>
      </c>
      <c r="E70" s="14" t="e">
        <f>+D70/B70</f>
        <v>#REF!</v>
      </c>
      <c r="G70" s="28"/>
      <c r="H70" s="28"/>
      <c r="I70" s="28"/>
      <c r="J70" s="28"/>
    </row>
    <row r="73" spans="1:10">
      <c r="B73" s="102"/>
    </row>
    <row r="74" spans="1:10">
      <c r="A74" s="54"/>
      <c r="B74" s="30"/>
    </row>
    <row r="75" spans="1:10">
      <c r="A75" s="54"/>
      <c r="B75" s="30"/>
    </row>
    <row r="76" spans="1:10">
      <c r="A76" s="54"/>
      <c r="B76" s="102"/>
    </row>
    <row r="77" spans="1:10">
      <c r="A77" s="54"/>
      <c r="B77" s="28"/>
    </row>
    <row r="78" spans="1:10">
      <c r="A78" s="54"/>
    </row>
    <row r="79" spans="1:10">
      <c r="A79" s="60"/>
      <c r="B79" s="53"/>
    </row>
    <row r="80" spans="1:10">
      <c r="A80" s="61"/>
      <c r="B80" s="53"/>
    </row>
    <row r="81" spans="1:2">
      <c r="A81" s="61"/>
      <c r="B81" s="53"/>
    </row>
    <row r="82" spans="1:2">
      <c r="A82" s="54"/>
    </row>
    <row r="83" spans="1:2">
      <c r="A83" s="54"/>
      <c r="B83" s="53"/>
    </row>
  </sheetData>
  <phoneticPr fontId="0" type="noConversion"/>
  <printOptions horizontalCentered="1"/>
  <pageMargins left="0.75" right="0.75" top="0.5" bottom="0.5" header="0.5" footer="0.5"/>
  <pageSetup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78"/>
  <sheetViews>
    <sheetView zoomScale="85" zoomScaleNormal="85" workbookViewId="0">
      <selection activeCell="C10" sqref="C10"/>
    </sheetView>
  </sheetViews>
  <sheetFormatPr defaultRowHeight="12.75"/>
  <cols>
    <col min="1" max="1" width="19" customWidth="1"/>
    <col min="2" max="2" width="24.5703125" customWidth="1"/>
    <col min="3" max="3" width="16.85546875" customWidth="1"/>
    <col min="4" max="4" width="16" bestFit="1" customWidth="1"/>
    <col min="5" max="5" width="12.5703125" customWidth="1"/>
    <col min="8" max="8" width="21.5703125" bestFit="1" customWidth="1"/>
  </cols>
  <sheetData>
    <row r="1" spans="1:6">
      <c r="A1" t="str">
        <f>+RS!B2</f>
        <v>KENTUCKY POWER BILLING ANALYSIS</v>
      </c>
    </row>
    <row r="2" spans="1:6">
      <c r="A2" t="str">
        <f>+RS!B4</f>
        <v>TEST YEAR ENDED MARCH 31, 2023</v>
      </c>
    </row>
    <row r="3" spans="1:6">
      <c r="A3" t="s">
        <v>145</v>
      </c>
    </row>
    <row r="6" spans="1:6">
      <c r="A6" s="1"/>
      <c r="B6" s="1" t="s">
        <v>6</v>
      </c>
      <c r="C6" s="1" t="s">
        <v>6</v>
      </c>
      <c r="D6" s="1"/>
      <c r="E6" s="1"/>
    </row>
    <row r="7" spans="1:6">
      <c r="A7" s="1"/>
      <c r="B7" s="1" t="s">
        <v>146</v>
      </c>
      <c r="C7" s="1" t="s">
        <v>146</v>
      </c>
      <c r="D7" s="1"/>
      <c r="E7" s="1" t="s">
        <v>77</v>
      </c>
    </row>
    <row r="8" spans="1:6">
      <c r="A8" s="3" t="s">
        <v>2</v>
      </c>
      <c r="B8" s="3" t="s">
        <v>311</v>
      </c>
      <c r="C8" s="3" t="s">
        <v>109</v>
      </c>
      <c r="D8" s="3" t="s">
        <v>76</v>
      </c>
      <c r="E8" s="3" t="s">
        <v>76</v>
      </c>
    </row>
    <row r="9" spans="1:6">
      <c r="A9" s="3"/>
      <c r="B9" s="3"/>
      <c r="C9" s="3"/>
      <c r="D9" s="3"/>
      <c r="E9" s="3"/>
    </row>
    <row r="10" spans="1:6">
      <c r="A10" t="s">
        <v>80</v>
      </c>
      <c r="B10" s="8" t="e">
        <f>'PB - ED'!D10</f>
        <v>#REF!</v>
      </c>
      <c r="C10" s="8" t="e">
        <f>RS!#REF!</f>
        <v>#REF!</v>
      </c>
      <c r="D10" s="8" t="e">
        <f>+C10-B10</f>
        <v>#REF!</v>
      </c>
      <c r="E10" s="14" t="e">
        <f>+D10/B10</f>
        <v>#REF!</v>
      </c>
    </row>
    <row r="11" spans="1:6">
      <c r="B11" s="8"/>
      <c r="C11" s="8"/>
      <c r="D11" s="8"/>
    </row>
    <row r="12" spans="1:6">
      <c r="A12" t="s">
        <v>81</v>
      </c>
      <c r="B12" s="8" t="e">
        <f>'PB - ED'!D12</f>
        <v>#REF!</v>
      </c>
      <c r="C12" s="8" t="e">
        <f>#REF!</f>
        <v>#REF!</v>
      </c>
      <c r="D12" s="8" t="e">
        <f>+C12-B12</f>
        <v>#REF!</v>
      </c>
      <c r="E12" s="14" t="e">
        <f>+D12/B12</f>
        <v>#REF!</v>
      </c>
      <c r="F12" s="8"/>
    </row>
    <row r="13" spans="1:6">
      <c r="B13" s="8"/>
      <c r="C13" s="8"/>
      <c r="D13" s="8"/>
      <c r="F13" s="8"/>
    </row>
    <row r="14" spans="1:6">
      <c r="A14" t="s">
        <v>160</v>
      </c>
      <c r="B14" s="8" t="e">
        <f>'PB - ED'!D14</f>
        <v>#REF!</v>
      </c>
      <c r="C14" s="8" t="e">
        <f>#REF!</f>
        <v>#REF!</v>
      </c>
      <c r="D14" s="8" t="e">
        <f>+C14-B14</f>
        <v>#REF!</v>
      </c>
      <c r="E14" s="14" t="e">
        <f>+D14/B14</f>
        <v>#REF!</v>
      </c>
      <c r="F14" s="8"/>
    </row>
    <row r="15" spans="1:6">
      <c r="B15" s="8"/>
      <c r="C15" s="8"/>
      <c r="D15" s="8"/>
      <c r="F15" s="8"/>
    </row>
    <row r="16" spans="1:6">
      <c r="A16" t="s">
        <v>82</v>
      </c>
      <c r="B16" s="8" t="e">
        <f>'PB - ED'!D16</f>
        <v>#REF!</v>
      </c>
      <c r="C16" s="8" t="e">
        <f>#REF!</f>
        <v>#REF!</v>
      </c>
      <c r="D16" s="8" t="e">
        <f>+C16-B16</f>
        <v>#REF!</v>
      </c>
      <c r="E16" s="14" t="e">
        <f>+D16/B16</f>
        <v>#REF!</v>
      </c>
      <c r="F16" s="8"/>
    </row>
    <row r="17" spans="1:6">
      <c r="B17" s="8"/>
      <c r="C17" s="8"/>
      <c r="D17" s="8"/>
      <c r="F17" s="8"/>
    </row>
    <row r="18" spans="1:6">
      <c r="A18" t="s">
        <v>83</v>
      </c>
      <c r="B18" s="8" t="e">
        <f>'PB - ED'!D18</f>
        <v>#REF!</v>
      </c>
      <c r="C18" s="8" t="e">
        <f>#REF!</f>
        <v>#REF!</v>
      </c>
      <c r="D18" s="8" t="e">
        <f>+C18-B18</f>
        <v>#REF!</v>
      </c>
      <c r="E18" s="14" t="e">
        <f>+D18/B18</f>
        <v>#REF!</v>
      </c>
      <c r="F18" s="8"/>
    </row>
    <row r="19" spans="1:6">
      <c r="B19" s="8"/>
      <c r="C19" s="8"/>
      <c r="D19" s="8"/>
      <c r="F19" s="8"/>
    </row>
    <row r="20" spans="1:6">
      <c r="A20" t="s">
        <v>195</v>
      </c>
      <c r="B20" s="8" t="e">
        <f>'PB - ED'!D20</f>
        <v>#REF!</v>
      </c>
      <c r="C20" s="8" t="e">
        <f>'SGS TOD NA'!#REF!</f>
        <v>#REF!</v>
      </c>
      <c r="D20" s="8" t="e">
        <f>+C20-B20</f>
        <v>#REF!</v>
      </c>
      <c r="E20" s="14" t="e">
        <f>+D20/B20</f>
        <v>#REF!</v>
      </c>
      <c r="F20" s="8"/>
    </row>
    <row r="21" spans="1:6">
      <c r="B21" s="8"/>
      <c r="C21" s="8"/>
      <c r="D21" s="8"/>
      <c r="F21" s="8"/>
    </row>
    <row r="22" spans="1:6">
      <c r="A22" t="s">
        <v>84</v>
      </c>
      <c r="B22" s="8" t="e">
        <f>'PB - ED'!D22</f>
        <v>#REF!</v>
      </c>
      <c r="C22" s="8" t="e">
        <f>#REF!</f>
        <v>#REF!</v>
      </c>
      <c r="D22" s="8" t="e">
        <f>+C22-B22</f>
        <v>#REF!</v>
      </c>
      <c r="E22" s="14" t="e">
        <f>+D22/B22</f>
        <v>#REF!</v>
      </c>
      <c r="F22" s="8"/>
    </row>
    <row r="23" spans="1:6">
      <c r="B23" s="8"/>
      <c r="C23" s="8"/>
      <c r="D23" s="8"/>
      <c r="E23" s="14"/>
      <c r="F23" s="8"/>
    </row>
    <row r="24" spans="1:6">
      <c r="A24" t="s">
        <v>203</v>
      </c>
      <c r="B24" s="46" t="e">
        <f>'PB - ED'!D24</f>
        <v>#REF!</v>
      </c>
      <c r="C24" s="8" t="e">
        <f>+#REF!</f>
        <v>#REF!</v>
      </c>
      <c r="D24" s="8" t="e">
        <f>+C24-B24</f>
        <v>#REF!</v>
      </c>
      <c r="E24" s="14" t="e">
        <f>+D24/B24</f>
        <v>#REF!</v>
      </c>
      <c r="F24" s="8"/>
    </row>
    <row r="25" spans="1:6">
      <c r="B25" s="8"/>
      <c r="C25" s="8"/>
      <c r="D25" s="8"/>
      <c r="F25" s="8"/>
    </row>
    <row r="26" spans="1:6">
      <c r="A26" t="s">
        <v>85</v>
      </c>
      <c r="B26" s="8" t="e">
        <f>'PB - ED'!D26</f>
        <v>#REF!</v>
      </c>
      <c r="C26" s="8" t="e">
        <f>#REF!</f>
        <v>#REF!</v>
      </c>
      <c r="D26" s="8" t="e">
        <f>+C26-B26</f>
        <v>#REF!</v>
      </c>
      <c r="E26" s="14" t="e">
        <f>+D26/B26</f>
        <v>#REF!</v>
      </c>
      <c r="F26" s="8"/>
    </row>
    <row r="27" spans="1:6">
      <c r="B27" s="8"/>
      <c r="C27" s="8"/>
      <c r="D27" s="8"/>
      <c r="F27" s="8"/>
    </row>
    <row r="28" spans="1:6">
      <c r="A28" t="s">
        <v>86</v>
      </c>
      <c r="B28" s="8" t="e">
        <f>'PB - ED'!D28</f>
        <v>#REF!</v>
      </c>
      <c r="C28" s="8" t="e">
        <f>#REF!</f>
        <v>#REF!</v>
      </c>
      <c r="D28" s="8" t="e">
        <f>+C28-B28</f>
        <v>#REF!</v>
      </c>
      <c r="E28" s="14" t="e">
        <f>+D28/B28</f>
        <v>#REF!</v>
      </c>
      <c r="F28" s="8"/>
    </row>
    <row r="29" spans="1:6">
      <c r="B29" s="8"/>
      <c r="C29" s="8"/>
      <c r="D29" s="8"/>
      <c r="F29" s="8"/>
    </row>
    <row r="30" spans="1:6">
      <c r="A30" t="s">
        <v>87</v>
      </c>
      <c r="B30" s="8" t="e">
        <f>'PB - ED'!D30</f>
        <v>#REF!</v>
      </c>
      <c r="C30" s="8" t="e">
        <f>#REF!</f>
        <v>#REF!</v>
      </c>
      <c r="D30" s="8" t="e">
        <f>+C30-B30</f>
        <v>#REF!</v>
      </c>
      <c r="E30" s="14" t="e">
        <f>+D30/B30</f>
        <v>#REF!</v>
      </c>
      <c r="F30" s="8"/>
    </row>
    <row r="31" spans="1:6">
      <c r="B31" s="8"/>
      <c r="C31" s="8"/>
      <c r="D31" s="8"/>
      <c r="F31" s="8"/>
    </row>
    <row r="32" spans="1:6">
      <c r="A32" t="s">
        <v>88</v>
      </c>
      <c r="B32" s="8" t="e">
        <f>'PB - ED'!D32</f>
        <v>#REF!</v>
      </c>
      <c r="C32" s="8" t="e">
        <f>#REF!</f>
        <v>#REF!</v>
      </c>
      <c r="D32" s="8" t="e">
        <f>+C32-B32</f>
        <v>#REF!</v>
      </c>
      <c r="E32" s="14" t="e">
        <f>+D32/B32</f>
        <v>#REF!</v>
      </c>
      <c r="F32" s="8"/>
    </row>
    <row r="33" spans="1:6">
      <c r="B33" s="8"/>
      <c r="C33" s="8"/>
      <c r="D33" s="8"/>
      <c r="F33" s="8"/>
    </row>
    <row r="34" spans="1:6">
      <c r="A34" t="s">
        <v>89</v>
      </c>
      <c r="B34" s="8" t="e">
        <f>'PB - ED'!D34</f>
        <v>#REF!</v>
      </c>
      <c r="C34" s="8" t="e">
        <f>#REF!</f>
        <v>#REF!</v>
      </c>
      <c r="D34" s="8" t="e">
        <f>+C34-B34</f>
        <v>#REF!</v>
      </c>
      <c r="E34" s="14" t="e">
        <f>+D34/B34</f>
        <v>#REF!</v>
      </c>
      <c r="F34" s="8"/>
    </row>
    <row r="35" spans="1:6">
      <c r="B35" s="8"/>
      <c r="C35" s="8"/>
      <c r="D35" s="8"/>
      <c r="F35" s="8"/>
    </row>
    <row r="36" spans="1:6">
      <c r="A36" t="s">
        <v>90</v>
      </c>
      <c r="B36" s="8" t="e">
        <f>'PB - ED'!D36</f>
        <v>#REF!</v>
      </c>
      <c r="C36" s="8" t="e">
        <f>#REF!</f>
        <v>#REF!</v>
      </c>
      <c r="D36" s="8" t="e">
        <f>+C36-B36</f>
        <v>#REF!</v>
      </c>
      <c r="E36" s="14" t="e">
        <f>+D36/B36</f>
        <v>#REF!</v>
      </c>
      <c r="F36" s="8"/>
    </row>
    <row r="37" spans="1:6">
      <c r="B37" s="8"/>
      <c r="C37" s="8"/>
      <c r="D37" s="8"/>
      <c r="F37" s="8"/>
    </row>
    <row r="38" spans="1:6">
      <c r="A38" t="s">
        <v>91</v>
      </c>
      <c r="B38" s="8" t="e">
        <f>'PB - ED'!D38</f>
        <v>#REF!</v>
      </c>
      <c r="C38" s="8" t="e">
        <f>#REF!</f>
        <v>#REF!</v>
      </c>
      <c r="D38" s="8" t="e">
        <f>+C38-B38</f>
        <v>#REF!</v>
      </c>
      <c r="E38" s="14" t="e">
        <f>+D38/B38</f>
        <v>#REF!</v>
      </c>
      <c r="F38" s="8"/>
    </row>
    <row r="39" spans="1:6">
      <c r="B39" s="8"/>
      <c r="C39" s="8"/>
      <c r="D39" s="8"/>
      <c r="F39" s="8"/>
    </row>
    <row r="40" spans="1:6">
      <c r="A40" t="s">
        <v>92</v>
      </c>
      <c r="B40" s="8" t="e">
        <f>'PB - ED'!D40</f>
        <v>#REF!</v>
      </c>
      <c r="C40" s="8" t="e">
        <f>#REF!</f>
        <v>#REF!</v>
      </c>
      <c r="D40" s="8" t="e">
        <f>+C40-B40</f>
        <v>#REF!</v>
      </c>
      <c r="E40" s="14" t="e">
        <f>+D40/B40</f>
        <v>#REF!</v>
      </c>
      <c r="F40" s="8"/>
    </row>
    <row r="41" spans="1:6">
      <c r="A41" s="28"/>
      <c r="B41" s="30"/>
      <c r="C41" s="30"/>
      <c r="D41" s="8"/>
      <c r="E41" s="14"/>
      <c r="F41" s="8"/>
    </row>
    <row r="42" spans="1:6">
      <c r="A42" s="28" t="s">
        <v>282</v>
      </c>
      <c r="B42" s="30" t="e">
        <f>'PB - ED'!D42</f>
        <v>#REF!</v>
      </c>
      <c r="C42" s="30" t="e">
        <f>#REF!</f>
        <v>#REF!</v>
      </c>
      <c r="D42" s="8" t="e">
        <f>+C42-B42</f>
        <v>#REF!</v>
      </c>
      <c r="E42" s="14" t="e">
        <f>+D42/B42</f>
        <v>#REF!</v>
      </c>
      <c r="F42" s="8"/>
    </row>
    <row r="43" spans="1:6">
      <c r="A43" s="28"/>
      <c r="B43" s="30"/>
      <c r="C43" s="30"/>
      <c r="D43" s="8"/>
      <c r="F43" s="8"/>
    </row>
    <row r="44" spans="1:6">
      <c r="A44" s="28" t="s">
        <v>96</v>
      </c>
      <c r="B44" s="30" t="e">
        <f>'PB - ED'!D44</f>
        <v>#REF!</v>
      </c>
      <c r="C44" s="30" t="e">
        <f>#REF!</f>
        <v>#REF!</v>
      </c>
      <c r="D44" s="8" t="e">
        <f>+C44-B44</f>
        <v>#REF!</v>
      </c>
      <c r="E44" s="14" t="e">
        <f>+D44/B44</f>
        <v>#REF!</v>
      </c>
      <c r="F44" s="8"/>
    </row>
    <row r="45" spans="1:6">
      <c r="A45" s="28"/>
      <c r="B45" s="30"/>
      <c r="C45" s="30"/>
      <c r="D45" s="8"/>
      <c r="F45" s="8"/>
    </row>
    <row r="46" spans="1:6">
      <c r="A46" s="28" t="s">
        <v>93</v>
      </c>
      <c r="B46" s="30" t="e">
        <f>'PB - ED'!D46</f>
        <v>#REF!</v>
      </c>
      <c r="C46" s="30" t="e">
        <f>#REF!</f>
        <v>#REF!</v>
      </c>
      <c r="D46" s="8" t="e">
        <f>+C46-B46</f>
        <v>#REF!</v>
      </c>
      <c r="E46" s="14" t="e">
        <f>+D46/B46</f>
        <v>#REF!</v>
      </c>
      <c r="F46" s="8"/>
    </row>
    <row r="47" spans="1:6">
      <c r="A47" s="28"/>
      <c r="B47" s="30"/>
      <c r="C47" s="30"/>
      <c r="D47" s="8"/>
      <c r="E47" s="14"/>
      <c r="F47" s="8"/>
    </row>
    <row r="48" spans="1:6">
      <c r="A48" s="28" t="s">
        <v>198</v>
      </c>
      <c r="B48" s="30" t="e">
        <f>'PB - ED'!D48</f>
        <v>#REF!</v>
      </c>
      <c r="C48" s="30" t="e">
        <f>#REF!</f>
        <v>#REF!</v>
      </c>
      <c r="D48" s="8" t="e">
        <f>+C48-B48</f>
        <v>#REF!</v>
      </c>
      <c r="E48" s="14" t="e">
        <f>+D48/B48</f>
        <v>#REF!</v>
      </c>
      <c r="F48" s="8"/>
    </row>
    <row r="49" spans="1:6">
      <c r="A49" s="28"/>
      <c r="B49" s="30"/>
      <c r="C49" s="30"/>
      <c r="D49" s="8"/>
      <c r="F49" s="8"/>
    </row>
    <row r="50" spans="1:6">
      <c r="A50" s="83" t="s">
        <v>283</v>
      </c>
      <c r="B50" s="30" t="e">
        <f>'PB - ED'!D50</f>
        <v>#REF!</v>
      </c>
      <c r="C50" s="30" t="e">
        <f>#REF!</f>
        <v>#REF!</v>
      </c>
      <c r="D50" s="8" t="e">
        <f>+C50-B50</f>
        <v>#REF!</v>
      </c>
      <c r="E50" s="14" t="e">
        <f>+D50/B50</f>
        <v>#REF!</v>
      </c>
      <c r="F50" s="8"/>
    </row>
    <row r="51" spans="1:6">
      <c r="A51" s="83"/>
      <c r="B51" s="30"/>
      <c r="C51" s="30"/>
      <c r="D51" s="8"/>
      <c r="F51" s="8"/>
    </row>
    <row r="52" spans="1:6">
      <c r="A52" s="83" t="s">
        <v>284</v>
      </c>
      <c r="B52" s="30" t="e">
        <f>'PB - ED'!D52</f>
        <v>#REF!</v>
      </c>
      <c r="C52" s="30" t="e">
        <f>#REF!</f>
        <v>#REF!</v>
      </c>
      <c r="D52" s="8" t="e">
        <f>+C52-B52</f>
        <v>#REF!</v>
      </c>
      <c r="E52" s="14" t="e">
        <f>+D52/B52</f>
        <v>#REF!</v>
      </c>
      <c r="F52" s="8"/>
    </row>
    <row r="53" spans="1:6">
      <c r="A53" s="83"/>
      <c r="B53" s="30"/>
      <c r="C53" s="30"/>
      <c r="D53" s="8"/>
      <c r="F53" s="8"/>
    </row>
    <row r="54" spans="1:6">
      <c r="A54" s="83" t="s">
        <v>322</v>
      </c>
      <c r="B54" s="30" t="e">
        <f>'PB - ED'!D54</f>
        <v>#REF!</v>
      </c>
      <c r="C54" s="30" t="e">
        <f>'CS-IRP TRAN 321'!F48</f>
        <v>#REF!</v>
      </c>
      <c r="D54" s="8" t="e">
        <f>+C54-B54</f>
        <v>#REF!</v>
      </c>
      <c r="E54" s="14" t="e">
        <f>+D54/B54</f>
        <v>#REF!</v>
      </c>
      <c r="F54" s="8"/>
    </row>
    <row r="55" spans="1:6">
      <c r="A55" s="83"/>
      <c r="B55" s="30"/>
      <c r="C55" s="30"/>
      <c r="D55" s="8"/>
      <c r="F55" s="8"/>
    </row>
    <row r="56" spans="1:6">
      <c r="A56" s="83" t="s">
        <v>323</v>
      </c>
      <c r="B56" s="30">
        <f>'PB - ED'!D56</f>
        <v>4184863.8587767747</v>
      </c>
      <c r="C56" s="30">
        <f>'CS-IRP SUB 331'!F48</f>
        <v>4185429.8887767745</v>
      </c>
      <c r="D56" s="8">
        <f>+C56-B56</f>
        <v>566.02999999979511</v>
      </c>
      <c r="E56" s="14">
        <f>+D56/B56</f>
        <v>1.3525649079663114E-4</v>
      </c>
      <c r="F56" s="8"/>
    </row>
    <row r="57" spans="1:6">
      <c r="A57" s="83"/>
      <c r="B57" s="30"/>
      <c r="C57" s="30"/>
      <c r="D57" s="8"/>
      <c r="E57" s="14"/>
      <c r="F57" s="8"/>
    </row>
    <row r="58" spans="1:6">
      <c r="A58" s="83" t="s">
        <v>285</v>
      </c>
      <c r="B58" s="30" t="e">
        <f>'PB - ED'!D58</f>
        <v>#REF!</v>
      </c>
      <c r="C58" s="30" t="e">
        <f>#REF!</f>
        <v>#REF!</v>
      </c>
      <c r="D58" s="8" t="e">
        <f>+C58-B58</f>
        <v>#REF!</v>
      </c>
      <c r="E58" s="14" t="e">
        <f>+D58/B58</f>
        <v>#REF!</v>
      </c>
      <c r="F58" s="8"/>
    </row>
    <row r="59" spans="1:6">
      <c r="A59" s="83"/>
      <c r="B59" s="30"/>
      <c r="C59" s="30"/>
      <c r="D59" s="8"/>
      <c r="F59" s="8"/>
    </row>
    <row r="60" spans="1:6">
      <c r="A60" s="83" t="s">
        <v>286</v>
      </c>
      <c r="B60" s="30" t="e">
        <f>'PB - ED'!D60</f>
        <v>#REF!</v>
      </c>
      <c r="C60" s="30" t="e">
        <f>#REF!</f>
        <v>#REF!</v>
      </c>
      <c r="D60" s="8" t="e">
        <f>+C60-B60</f>
        <v>#REF!</v>
      </c>
      <c r="E60" s="14" t="e">
        <f>+D60/B60</f>
        <v>#REF!</v>
      </c>
      <c r="F60" s="8"/>
    </row>
    <row r="61" spans="1:6">
      <c r="A61" s="83"/>
      <c r="B61" s="30"/>
      <c r="C61" s="30"/>
      <c r="D61" s="8"/>
      <c r="E61" s="14"/>
      <c r="F61" s="8"/>
    </row>
    <row r="62" spans="1:6">
      <c r="A62" s="83" t="s">
        <v>287</v>
      </c>
      <c r="B62" s="30" t="e">
        <f>'PB - ED'!D62</f>
        <v>#REF!</v>
      </c>
      <c r="C62" s="30" t="e">
        <f>#REF!</f>
        <v>#REF!</v>
      </c>
      <c r="D62" s="8" t="e">
        <f>+C62-B62</f>
        <v>#REF!</v>
      </c>
      <c r="E62" s="14" t="e">
        <f>+D62/B62</f>
        <v>#REF!</v>
      </c>
      <c r="F62" s="8"/>
    </row>
    <row r="63" spans="1:6">
      <c r="A63" s="83"/>
      <c r="B63" s="30"/>
      <c r="C63" s="30"/>
      <c r="D63" s="8"/>
      <c r="E63" s="14"/>
      <c r="F63" s="8"/>
    </row>
    <row r="64" spans="1:6">
      <c r="A64" s="83" t="s">
        <v>288</v>
      </c>
      <c r="B64" s="30" t="e">
        <f>'PB - ED'!D64</f>
        <v>#REF!</v>
      </c>
      <c r="C64" s="30" t="e">
        <f>#REF!</f>
        <v>#REF!</v>
      </c>
      <c r="D64" s="8" t="e">
        <f>+C64-B64</f>
        <v>#REF!</v>
      </c>
      <c r="E64" s="14" t="e">
        <f>+D64/B64</f>
        <v>#REF!</v>
      </c>
      <c r="F64" s="8"/>
    </row>
    <row r="65" spans="1:6">
      <c r="A65" s="28"/>
      <c r="B65" s="30"/>
      <c r="C65" s="30"/>
      <c r="D65" s="8"/>
      <c r="E65" s="14"/>
      <c r="F65" s="8"/>
    </row>
    <row r="66" spans="1:6">
      <c r="A66" t="s">
        <v>94</v>
      </c>
      <c r="B66" s="8" t="e">
        <f>'PB - ED'!D66</f>
        <v>#REF!</v>
      </c>
      <c r="C66" s="8" t="e">
        <f>#REF!</f>
        <v>#REF!</v>
      </c>
      <c r="D66" s="8" t="e">
        <f>+C66-B66</f>
        <v>#REF!</v>
      </c>
      <c r="E66" s="14" t="e">
        <f>+D66/B66</f>
        <v>#REF!</v>
      </c>
      <c r="F66" s="8"/>
    </row>
    <row r="67" spans="1:6">
      <c r="B67" s="8"/>
      <c r="C67" s="8"/>
      <c r="D67" s="8"/>
      <c r="F67" s="8"/>
    </row>
    <row r="68" spans="1:6">
      <c r="A68" t="s">
        <v>95</v>
      </c>
      <c r="B68" s="8" t="e">
        <f>'PB - ED'!D68</f>
        <v>#REF!</v>
      </c>
      <c r="C68" s="8" t="e">
        <f>#REF!</f>
        <v>#REF!</v>
      </c>
      <c r="D68" s="8" t="e">
        <f>+C68-B68</f>
        <v>#REF!</v>
      </c>
      <c r="E68" s="14" t="e">
        <f>+D68/B68</f>
        <v>#REF!</v>
      </c>
      <c r="F68" s="8"/>
    </row>
    <row r="69" spans="1:6">
      <c r="B69" s="8"/>
      <c r="C69" s="8"/>
    </row>
    <row r="70" spans="1:6">
      <c r="A70" t="s">
        <v>17</v>
      </c>
      <c r="B70" s="8" t="e">
        <f>SUM(B10:B68)</f>
        <v>#REF!</v>
      </c>
      <c r="C70" s="8" t="e">
        <f>SUM(C10:C68)</f>
        <v>#REF!</v>
      </c>
      <c r="D70" s="64" t="e">
        <f>SUM(D10:D68)</f>
        <v>#REF!</v>
      </c>
      <c r="E70" s="14" t="e">
        <f>+D70/B70</f>
        <v>#REF!</v>
      </c>
    </row>
    <row r="72" spans="1:6" s="29" customFormat="1">
      <c r="D72" s="62"/>
    </row>
    <row r="73" spans="1:6" s="29" customFormat="1">
      <c r="A73" s="91"/>
      <c r="D73" s="62"/>
    </row>
    <row r="74" spans="1:6" s="29" customFormat="1"/>
    <row r="75" spans="1:6" s="29" customFormat="1">
      <c r="A75" s="91"/>
      <c r="D75" s="62"/>
    </row>
    <row r="76" spans="1:6" s="29" customFormat="1"/>
    <row r="77" spans="1:6" s="29" customFormat="1">
      <c r="A77" s="91"/>
      <c r="D77" s="62"/>
    </row>
    <row r="78" spans="1:6" s="29" customFormat="1"/>
  </sheetData>
  <phoneticPr fontId="0" type="noConversion"/>
  <printOptions horizontalCentered="1"/>
  <pageMargins left="0.75" right="0.75" top="0.5" bottom="0.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78"/>
  <sheetViews>
    <sheetView zoomScale="85" zoomScaleNormal="85" workbookViewId="0">
      <selection activeCell="C14" sqref="C14"/>
    </sheetView>
  </sheetViews>
  <sheetFormatPr defaultRowHeight="12.75"/>
  <cols>
    <col min="1" max="1" width="19" customWidth="1"/>
    <col min="2" max="2" width="21.85546875" customWidth="1"/>
    <col min="3" max="3" width="16.85546875" customWidth="1"/>
    <col min="4" max="4" width="16" bestFit="1" customWidth="1"/>
    <col min="5" max="5" width="12.5703125" customWidth="1"/>
  </cols>
  <sheetData>
    <row r="1" spans="1:5">
      <c r="A1" t="str">
        <f>+RS!B2</f>
        <v>KENTUCKY POWER BILLING ANALYSIS</v>
      </c>
    </row>
    <row r="2" spans="1:5">
      <c r="A2" t="str">
        <f>+RS!B4</f>
        <v>TEST YEAR ENDED MARCH 31, 2023</v>
      </c>
    </row>
    <row r="3" spans="1:5">
      <c r="A3" s="52" t="s">
        <v>246</v>
      </c>
    </row>
    <row r="6" spans="1:5">
      <c r="A6" s="1"/>
      <c r="B6" s="1" t="s">
        <v>6</v>
      </c>
      <c r="C6" s="1" t="s">
        <v>6</v>
      </c>
      <c r="D6" s="1"/>
      <c r="E6" s="1"/>
    </row>
    <row r="7" spans="1:5">
      <c r="A7" s="1"/>
      <c r="B7" s="1" t="s">
        <v>146</v>
      </c>
      <c r="C7" s="1" t="s">
        <v>146</v>
      </c>
      <c r="D7" s="1"/>
      <c r="E7" s="1" t="s">
        <v>77</v>
      </c>
    </row>
    <row r="8" spans="1:5">
      <c r="A8" s="3" t="s">
        <v>2</v>
      </c>
      <c r="B8" s="3" t="s">
        <v>161</v>
      </c>
      <c r="C8" s="3" t="s">
        <v>247</v>
      </c>
      <c r="D8" s="3" t="s">
        <v>76</v>
      </c>
      <c r="E8" s="3" t="s">
        <v>76</v>
      </c>
    </row>
    <row r="9" spans="1:5">
      <c r="A9" s="3"/>
      <c r="B9" s="3"/>
      <c r="C9" s="3"/>
      <c r="D9" s="3"/>
      <c r="E9" s="3"/>
    </row>
    <row r="10" spans="1:5">
      <c r="A10" t="s">
        <v>80</v>
      </c>
      <c r="B10" s="8">
        <f>+'CC Summary OLD'!C10</f>
        <v>-6866563.3322959663</v>
      </c>
      <c r="C10" s="30">
        <f>RS!L53</f>
        <v>-9055052.5186105724</v>
      </c>
      <c r="D10" s="8">
        <f>+C10-B10</f>
        <v>-2188489.1863146061</v>
      </c>
      <c r="E10" s="14">
        <f>+D10/B10</f>
        <v>0.31871681369650212</v>
      </c>
    </row>
    <row r="11" spans="1:5">
      <c r="B11" s="8"/>
      <c r="C11" s="30"/>
      <c r="D11" s="8"/>
    </row>
    <row r="12" spans="1:5">
      <c r="A12" t="s">
        <v>81</v>
      </c>
      <c r="B12" s="8">
        <f>+'CC Summary OLD'!C12</f>
        <v>-389.3919405217398</v>
      </c>
      <c r="C12" s="30" t="e">
        <f>#REF!</f>
        <v>#REF!</v>
      </c>
      <c r="D12" s="8" t="e">
        <f>+C12-B12</f>
        <v>#REF!</v>
      </c>
      <c r="E12" s="14" t="e">
        <f>+D12/B12</f>
        <v>#REF!</v>
      </c>
    </row>
    <row r="13" spans="1:5">
      <c r="B13" s="8"/>
      <c r="C13" s="30"/>
      <c r="D13" s="8"/>
    </row>
    <row r="14" spans="1:5">
      <c r="A14" t="s">
        <v>160</v>
      </c>
      <c r="B14" s="8">
        <f>+'CC Summary OLD'!C14</f>
        <v>0</v>
      </c>
      <c r="C14" s="30" t="e">
        <f>#REF!</f>
        <v>#REF!</v>
      </c>
      <c r="D14" s="8" t="e">
        <f>+C14-B14</f>
        <v>#REF!</v>
      </c>
      <c r="E14" s="14" t="e">
        <f>+D14/B14</f>
        <v>#REF!</v>
      </c>
    </row>
    <row r="15" spans="1:5">
      <c r="B15" s="8"/>
      <c r="C15" s="30"/>
      <c r="D15" s="8"/>
    </row>
    <row r="16" spans="1:5">
      <c r="A16" t="s">
        <v>82</v>
      </c>
      <c r="B16" s="8">
        <f>+'CC Summary OLD'!C16</f>
        <v>-1807607.519175085</v>
      </c>
      <c r="C16" s="30" t="e">
        <f>#REF!</f>
        <v>#REF!</v>
      </c>
      <c r="D16" s="8" t="e">
        <f>+C16-B16</f>
        <v>#REF!</v>
      </c>
      <c r="E16" s="14" t="e">
        <f>+D16/B16</f>
        <v>#REF!</v>
      </c>
    </row>
    <row r="17" spans="1:5">
      <c r="B17" s="8"/>
      <c r="C17" s="30"/>
      <c r="D17" s="8"/>
    </row>
    <row r="18" spans="1:5">
      <c r="A18" t="s">
        <v>83</v>
      </c>
      <c r="B18" s="8">
        <f>+'CC Summary OLD'!C18</f>
        <v>-25384.113511785668</v>
      </c>
      <c r="C18" s="30" t="e">
        <f>#REF!</f>
        <v>#REF!</v>
      </c>
      <c r="D18" s="8" t="e">
        <f>+C18-B18</f>
        <v>#REF!</v>
      </c>
      <c r="E18" s="14" t="e">
        <f>+D18/B18</f>
        <v>#REF!</v>
      </c>
    </row>
    <row r="19" spans="1:5">
      <c r="B19" s="8"/>
      <c r="C19" s="30"/>
      <c r="D19" s="8"/>
    </row>
    <row r="20" spans="1:5">
      <c r="A20" t="s">
        <v>195</v>
      </c>
      <c r="B20" s="8">
        <f>+'CC Summary OLD'!C20</f>
        <v>-5079.9220196913639</v>
      </c>
      <c r="C20" s="30">
        <f>'SGS TOD NA'!G40</f>
        <v>-3194329.7713817013</v>
      </c>
      <c r="D20" s="8">
        <f>+C20-B20</f>
        <v>-3189249.8493620101</v>
      </c>
      <c r="E20" s="14">
        <f>+D20/B20</f>
        <v>627.8147256984422</v>
      </c>
    </row>
    <row r="21" spans="1:5">
      <c r="B21" s="8"/>
      <c r="C21" s="30"/>
      <c r="D21" s="8"/>
    </row>
    <row r="22" spans="1:5">
      <c r="A22" t="s">
        <v>84</v>
      </c>
      <c r="B22" s="8">
        <f>+'CC Summary OLD'!C22</f>
        <v>-25664.191920383779</v>
      </c>
      <c r="C22" s="30" t="e">
        <f>#REF!</f>
        <v>#REF!</v>
      </c>
      <c r="D22" s="8" t="e">
        <f>+C22-B22</f>
        <v>#REF!</v>
      </c>
      <c r="E22" s="14" t="e">
        <f>+D22/B22</f>
        <v>#REF!</v>
      </c>
    </row>
    <row r="23" spans="1:5">
      <c r="B23" s="8"/>
      <c r="C23" s="30"/>
      <c r="D23" s="8"/>
      <c r="E23" s="14"/>
    </row>
    <row r="24" spans="1:5">
      <c r="A24" t="s">
        <v>203</v>
      </c>
      <c r="B24" s="8">
        <f>+'CC Summary OLD'!C24</f>
        <v>-1905423.540258223</v>
      </c>
      <c r="C24" s="30" t="e">
        <f>+#REF!</f>
        <v>#REF!</v>
      </c>
      <c r="D24" s="8" t="e">
        <f>+C24-B24</f>
        <v>#REF!</v>
      </c>
      <c r="E24" s="14" t="e">
        <f>+D24/B24</f>
        <v>#REF!</v>
      </c>
    </row>
    <row r="25" spans="1:5">
      <c r="B25" s="8"/>
      <c r="C25" s="30"/>
      <c r="D25" s="8"/>
    </row>
    <row r="26" spans="1:5">
      <c r="A26" t="s">
        <v>85</v>
      </c>
      <c r="B26" s="8">
        <f>+'CC Summary OLD'!C26</f>
        <v>-774453.2179053718</v>
      </c>
      <c r="C26" s="30" t="e">
        <f>#REF!</f>
        <v>#REF!</v>
      </c>
      <c r="D26" s="8" t="e">
        <f>+C26-B26</f>
        <v>#REF!</v>
      </c>
      <c r="E26" s="14" t="e">
        <f>+D26/B26</f>
        <v>#REF!</v>
      </c>
    </row>
    <row r="27" spans="1:5">
      <c r="B27" s="8"/>
      <c r="C27" s="30"/>
      <c r="D27" s="8"/>
    </row>
    <row r="28" spans="1:5">
      <c r="A28" t="s">
        <v>86</v>
      </c>
      <c r="B28" s="8">
        <f>+'CC Summary OLD'!C28</f>
        <v>-8818.3985676344037</v>
      </c>
      <c r="C28" s="30" t="e">
        <f>#REF!</f>
        <v>#REF!</v>
      </c>
      <c r="D28" s="8" t="e">
        <f>+C28-B28</f>
        <v>#REF!</v>
      </c>
      <c r="E28" s="14" t="e">
        <f>+D28/B28</f>
        <v>#REF!</v>
      </c>
    </row>
    <row r="29" spans="1:5">
      <c r="B29" s="8"/>
      <c r="C29" s="30"/>
      <c r="D29" s="8"/>
    </row>
    <row r="30" spans="1:5">
      <c r="A30" t="s">
        <v>87</v>
      </c>
      <c r="B30" s="8">
        <f>+'CC Summary OLD'!C30</f>
        <v>-294147.56738875015</v>
      </c>
      <c r="C30" s="30" t="e">
        <f>#REF!</f>
        <v>#REF!</v>
      </c>
      <c r="D30" s="8" t="e">
        <f>+C30-B30</f>
        <v>#REF!</v>
      </c>
      <c r="E30" s="14" t="e">
        <f>+D30/B30</f>
        <v>#REF!</v>
      </c>
    </row>
    <row r="31" spans="1:5">
      <c r="B31" s="8"/>
      <c r="C31" s="30"/>
      <c r="D31" s="8"/>
    </row>
    <row r="32" spans="1:5">
      <c r="A32" t="s">
        <v>88</v>
      </c>
      <c r="B32" s="8">
        <f>+'CC Summary OLD'!C32</f>
        <v>0</v>
      </c>
      <c r="C32" s="30" t="e">
        <f>#REF!</f>
        <v>#REF!</v>
      </c>
      <c r="D32" s="8" t="e">
        <f>+C32-B32</f>
        <v>#REF!</v>
      </c>
      <c r="E32" s="14" t="e">
        <f>+D32/B32</f>
        <v>#REF!</v>
      </c>
    </row>
    <row r="33" spans="1:5">
      <c r="B33" s="8"/>
      <c r="C33" s="30"/>
      <c r="D33" s="8"/>
    </row>
    <row r="34" spans="1:5">
      <c r="A34" t="s">
        <v>89</v>
      </c>
      <c r="B34" s="8">
        <f>+'CC Summary OLD'!C34</f>
        <v>0</v>
      </c>
      <c r="C34" s="30" t="e">
        <f>#REF!</f>
        <v>#REF!</v>
      </c>
      <c r="D34" s="8" t="e">
        <f>+C34-B34</f>
        <v>#REF!</v>
      </c>
      <c r="E34" s="14" t="e">
        <f>+D34/B34</f>
        <v>#REF!</v>
      </c>
    </row>
    <row r="35" spans="1:5">
      <c r="B35" s="8"/>
      <c r="C35" s="30"/>
      <c r="D35" s="8"/>
    </row>
    <row r="36" spans="1:5">
      <c r="A36" t="s">
        <v>90</v>
      </c>
      <c r="B36" s="8">
        <f>+'CC Summary OLD'!C36</f>
        <v>-5864.9216410964318</v>
      </c>
      <c r="C36" s="30" t="e">
        <f>#REF!</f>
        <v>#REF!</v>
      </c>
      <c r="D36" s="8" t="e">
        <f>+C36-B36</f>
        <v>#REF!</v>
      </c>
      <c r="E36" s="14" t="e">
        <f>+D36/B36</f>
        <v>#REF!</v>
      </c>
    </row>
    <row r="37" spans="1:5">
      <c r="B37" s="8"/>
      <c r="C37" s="30"/>
      <c r="D37" s="8"/>
    </row>
    <row r="38" spans="1:5">
      <c r="A38" t="s">
        <v>91</v>
      </c>
      <c r="B38" s="8">
        <f>+'CC Summary OLD'!C38</f>
        <v>0</v>
      </c>
      <c r="C38" s="30" t="e">
        <f>#REF!</f>
        <v>#REF!</v>
      </c>
      <c r="D38" s="8" t="e">
        <f>+C38-B38</f>
        <v>#REF!</v>
      </c>
      <c r="E38" s="14" t="e">
        <f>+D38/B38</f>
        <v>#REF!</v>
      </c>
    </row>
    <row r="39" spans="1:5">
      <c r="B39" s="8"/>
      <c r="C39" s="30"/>
      <c r="D39" s="8"/>
    </row>
    <row r="40" spans="1:5">
      <c r="A40" t="s">
        <v>92</v>
      </c>
      <c r="B40" s="8">
        <f>+'CC Summary OLD'!C40</f>
        <v>-876968.66960660554</v>
      </c>
      <c r="C40" s="30" t="e">
        <f>#REF!</f>
        <v>#REF!</v>
      </c>
      <c r="D40" s="8" t="e">
        <f>+C40-B40</f>
        <v>#REF!</v>
      </c>
      <c r="E40" s="14" t="e">
        <f>+D40/B40</f>
        <v>#REF!</v>
      </c>
    </row>
    <row r="41" spans="1:5">
      <c r="B41" s="8"/>
      <c r="C41" s="30"/>
      <c r="D41" s="8"/>
      <c r="E41" s="14"/>
    </row>
    <row r="42" spans="1:5">
      <c r="A42" s="28" t="s">
        <v>282</v>
      </c>
      <c r="B42" s="30">
        <f>+'CC Summary OLD'!C42</f>
        <v>-509947.09816766909</v>
      </c>
      <c r="C42" s="30" t="e">
        <f>#REF!</f>
        <v>#REF!</v>
      </c>
      <c r="D42" s="30" t="e">
        <f>+C42-B42</f>
        <v>#REF!</v>
      </c>
      <c r="E42" s="14" t="e">
        <f>+D42/B42</f>
        <v>#REF!</v>
      </c>
    </row>
    <row r="43" spans="1:5">
      <c r="A43" s="28"/>
      <c r="B43" s="30"/>
      <c r="C43" s="30"/>
      <c r="D43" s="30"/>
    </row>
    <row r="44" spans="1:5">
      <c r="A44" s="28" t="s">
        <v>96</v>
      </c>
      <c r="B44" s="30">
        <f>+'CC Summary OLD'!C44</f>
        <v>0</v>
      </c>
      <c r="C44" s="30" t="e">
        <f>#REF!</f>
        <v>#REF!</v>
      </c>
      <c r="D44" s="30" t="e">
        <f>+C44-B44</f>
        <v>#REF!</v>
      </c>
      <c r="E44" s="14" t="e">
        <f>+D44/B44</f>
        <v>#REF!</v>
      </c>
    </row>
    <row r="45" spans="1:5">
      <c r="A45" s="28"/>
      <c r="B45" s="30"/>
      <c r="C45" s="30"/>
      <c r="D45" s="30"/>
    </row>
    <row r="46" spans="1:5">
      <c r="A46" s="28" t="s">
        <v>93</v>
      </c>
      <c r="B46" s="30">
        <f>+'CC Summary OLD'!C46</f>
        <v>-4360.0726980534282</v>
      </c>
      <c r="C46" s="30" t="e">
        <f>#REF!</f>
        <v>#REF!</v>
      </c>
      <c r="D46" s="30" t="e">
        <f>+C46-B46</f>
        <v>#REF!</v>
      </c>
      <c r="E46" s="14" t="e">
        <f>+D46/B46</f>
        <v>#REF!</v>
      </c>
    </row>
    <row r="47" spans="1:5">
      <c r="A47" s="28"/>
      <c r="B47" s="30"/>
      <c r="C47" s="30"/>
      <c r="D47" s="30"/>
      <c r="E47" s="14"/>
    </row>
    <row r="48" spans="1:5">
      <c r="A48" s="28" t="s">
        <v>198</v>
      </c>
      <c r="B48" s="30">
        <f>+'CC Summary OLD'!C48</f>
        <v>-3838.264719439916</v>
      </c>
      <c r="C48" s="30" t="e">
        <f>#REF!</f>
        <v>#REF!</v>
      </c>
      <c r="D48" s="30" t="e">
        <f>+C48-B48</f>
        <v>#REF!</v>
      </c>
      <c r="E48" s="14" t="e">
        <f>+D48/B48</f>
        <v>#REF!</v>
      </c>
    </row>
    <row r="49" spans="1:5">
      <c r="A49" s="28"/>
      <c r="B49" s="30"/>
      <c r="C49" s="30"/>
      <c r="D49" s="30"/>
    </row>
    <row r="50" spans="1:5">
      <c r="A50" s="83" t="s">
        <v>283</v>
      </c>
      <c r="B50" s="30">
        <f>+'CC Summary OLD'!C50</f>
        <v>-15087104.965336777</v>
      </c>
      <c r="C50" s="30" t="e">
        <f>#REF!</f>
        <v>#REF!</v>
      </c>
      <c r="D50" s="30" t="e">
        <f>+C50-B50</f>
        <v>#REF!</v>
      </c>
      <c r="E50" s="14" t="e">
        <f>+D50/B50</f>
        <v>#REF!</v>
      </c>
    </row>
    <row r="51" spans="1:5">
      <c r="A51" s="83"/>
      <c r="B51" s="30"/>
      <c r="C51" s="30"/>
      <c r="D51" s="30"/>
    </row>
    <row r="52" spans="1:5">
      <c r="A52" s="83" t="s">
        <v>284</v>
      </c>
      <c r="B52" s="30">
        <f>+'CC Summary OLD'!C52</f>
        <v>-15087104.965336777</v>
      </c>
      <c r="C52" s="30" t="e">
        <f>#REF!</f>
        <v>#REF!</v>
      </c>
      <c r="D52" s="30" t="e">
        <f>+C52-B52</f>
        <v>#REF!</v>
      </c>
      <c r="E52" s="14" t="e">
        <f>+D52/B52</f>
        <v>#REF!</v>
      </c>
    </row>
    <row r="53" spans="1:5">
      <c r="A53" s="83"/>
      <c r="B53" s="30"/>
      <c r="C53" s="30"/>
      <c r="D53" s="30"/>
    </row>
    <row r="54" spans="1:5">
      <c r="A54" s="83" t="s">
        <v>322</v>
      </c>
      <c r="B54" s="30">
        <f>+'CC Summary OLD'!C54</f>
        <v>0</v>
      </c>
      <c r="C54" s="30" t="e">
        <f>'CS-IRP TRAN 321'!H48</f>
        <v>#REF!</v>
      </c>
      <c r="D54" s="30" t="e">
        <f>+C54-B54</f>
        <v>#REF!</v>
      </c>
      <c r="E54" s="14" t="e">
        <f>+D54/B54</f>
        <v>#REF!</v>
      </c>
    </row>
    <row r="55" spans="1:5">
      <c r="A55" s="83"/>
      <c r="B55" s="30"/>
      <c r="C55" s="30"/>
      <c r="D55" s="30"/>
    </row>
    <row r="56" spans="1:5">
      <c r="A56" s="83" t="s">
        <v>323</v>
      </c>
      <c r="B56" s="30">
        <f>+'CC Summary OLD'!C56</f>
        <v>0</v>
      </c>
      <c r="C56" s="30">
        <f>'CS-IRP SUB 331'!H48</f>
        <v>3819976.8451110744</v>
      </c>
      <c r="D56" s="30">
        <f>+C56-B56</f>
        <v>3819976.8451110744</v>
      </c>
      <c r="E56" s="14" t="e">
        <f>+D56/B56</f>
        <v>#DIV/0!</v>
      </c>
    </row>
    <row r="57" spans="1:5">
      <c r="A57" s="83"/>
      <c r="B57" s="30"/>
      <c r="C57" s="30"/>
      <c r="D57" s="30"/>
      <c r="E57" s="14"/>
    </row>
    <row r="58" spans="1:5">
      <c r="A58" s="83" t="s">
        <v>285</v>
      </c>
      <c r="B58" s="30">
        <f>+'CC Summary OLD'!C58</f>
        <v>0</v>
      </c>
      <c r="C58" s="30" t="e">
        <f>#REF!</f>
        <v>#REF!</v>
      </c>
      <c r="D58" s="30" t="e">
        <f>+C58-B58</f>
        <v>#REF!</v>
      </c>
      <c r="E58" s="14" t="e">
        <f>+D58/B58</f>
        <v>#REF!</v>
      </c>
    </row>
    <row r="59" spans="1:5">
      <c r="A59" s="83"/>
      <c r="B59" s="30"/>
      <c r="C59" s="30"/>
      <c r="D59" s="30"/>
    </row>
    <row r="60" spans="1:5">
      <c r="A60" s="83" t="s">
        <v>286</v>
      </c>
      <c r="B60" s="30">
        <f>+'CC Summary OLD'!C60</f>
        <v>0</v>
      </c>
      <c r="C60" s="30" t="e">
        <f>#REF!</f>
        <v>#REF!</v>
      </c>
      <c r="D60" s="30" t="e">
        <f>+C60-B60</f>
        <v>#REF!</v>
      </c>
      <c r="E60" s="14" t="e">
        <f>+D60/B60</f>
        <v>#REF!</v>
      </c>
    </row>
    <row r="61" spans="1:5">
      <c r="A61" s="83"/>
      <c r="B61" s="30"/>
      <c r="C61" s="30"/>
      <c r="D61" s="30"/>
      <c r="E61" s="14"/>
    </row>
    <row r="62" spans="1:5">
      <c r="A62" s="83" t="s">
        <v>287</v>
      </c>
      <c r="B62" s="30">
        <f>+'CC Summary OLD'!C62</f>
        <v>0</v>
      </c>
      <c r="C62" s="30" t="e">
        <f>#REF!</f>
        <v>#REF!</v>
      </c>
      <c r="D62" s="30" t="e">
        <f>+C62-B62</f>
        <v>#REF!</v>
      </c>
      <c r="E62" s="14" t="e">
        <f>+D62/B62</f>
        <v>#REF!</v>
      </c>
    </row>
    <row r="63" spans="1:5">
      <c r="A63" s="83"/>
      <c r="B63" s="30"/>
      <c r="C63" s="30"/>
      <c r="D63" s="30"/>
      <c r="E63" s="14"/>
    </row>
    <row r="64" spans="1:5">
      <c r="A64" s="83" t="s">
        <v>288</v>
      </c>
      <c r="B64" s="30">
        <f>+'CC Summary OLD'!C64</f>
        <v>0</v>
      </c>
      <c r="C64" s="30" t="e">
        <f>#REF!</f>
        <v>#REF!</v>
      </c>
      <c r="D64" s="30" t="e">
        <f>+C64-B64</f>
        <v>#REF!</v>
      </c>
      <c r="E64" s="14" t="e">
        <f>+D64/B64</f>
        <v>#REF!</v>
      </c>
    </row>
    <row r="65" spans="1:6">
      <c r="A65" s="28"/>
      <c r="B65" s="30"/>
      <c r="C65" s="30"/>
      <c r="D65" s="30"/>
    </row>
    <row r="66" spans="1:6">
      <c r="A66" t="s">
        <v>94</v>
      </c>
      <c r="B66" s="8">
        <f>+'CC Summary OLD'!C66</f>
        <v>0</v>
      </c>
      <c r="C66" s="30" t="e">
        <f>#REF!</f>
        <v>#REF!</v>
      </c>
      <c r="D66" s="8" t="e">
        <f>+C66-B66</f>
        <v>#REF!</v>
      </c>
      <c r="E66" s="14" t="e">
        <f>+D66/B66</f>
        <v>#REF!</v>
      </c>
    </row>
    <row r="67" spans="1:6">
      <c r="B67" s="8"/>
      <c r="C67" s="30"/>
      <c r="D67" s="8"/>
    </row>
    <row r="68" spans="1:6">
      <c r="A68" t="s">
        <v>95</v>
      </c>
      <c r="B68" s="8">
        <f>+'CC Summary OLD'!C68</f>
        <v>0</v>
      </c>
      <c r="C68" s="30" t="e">
        <f>#REF!</f>
        <v>#REF!</v>
      </c>
      <c r="D68" s="8" t="e">
        <f>+C68-B68</f>
        <v>#REF!</v>
      </c>
      <c r="E68" s="14" t="e">
        <f>+D68/B68</f>
        <v>#REF!</v>
      </c>
    </row>
    <row r="69" spans="1:6">
      <c r="B69" s="8"/>
      <c r="C69" s="8"/>
    </row>
    <row r="70" spans="1:6">
      <c r="A70" t="s">
        <v>17</v>
      </c>
      <c r="B70" s="8">
        <f>SUM(B10:B68)</f>
        <v>-43288720.152489834</v>
      </c>
      <c r="C70" s="8" t="e">
        <f>SUM(C10:C68)</f>
        <v>#REF!</v>
      </c>
      <c r="D70" s="64" t="e">
        <f>SUM(D10:D68)</f>
        <v>#REF!</v>
      </c>
      <c r="E70" s="14" t="e">
        <f>+D70/B70</f>
        <v>#REF!</v>
      </c>
    </row>
    <row r="72" spans="1:6" s="17" customFormat="1"/>
    <row r="73" spans="1:6" s="17" customFormat="1">
      <c r="A73" s="84"/>
      <c r="D73" s="39"/>
      <c r="F73" s="39"/>
    </row>
    <row r="74" spans="1:6" s="17" customFormat="1">
      <c r="D74" s="39"/>
    </row>
    <row r="75" spans="1:6" s="17" customFormat="1">
      <c r="A75" s="84"/>
      <c r="D75" s="39"/>
    </row>
    <row r="76" spans="1:6" s="17" customFormat="1">
      <c r="D76" s="39"/>
    </row>
    <row r="77" spans="1:6" s="17" customFormat="1">
      <c r="A77" s="84"/>
      <c r="D77" s="39"/>
    </row>
    <row r="78" spans="1:6" s="17" customFormat="1"/>
  </sheetData>
  <printOptions horizontalCentered="1"/>
  <pageMargins left="0.75" right="0.75" top="0.5" bottom="0.5" header="0.5" footer="0.5"/>
  <pageSetup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77"/>
  <sheetViews>
    <sheetView topLeftCell="A31" zoomScale="85" zoomScaleNormal="85" workbookViewId="0">
      <selection activeCell="D70" sqref="D70"/>
    </sheetView>
  </sheetViews>
  <sheetFormatPr defaultRowHeight="12.75"/>
  <cols>
    <col min="1" max="1" width="19" customWidth="1"/>
    <col min="2" max="2" width="21.85546875" customWidth="1"/>
    <col min="3" max="3" width="16.85546875" customWidth="1"/>
    <col min="4" max="4" width="16" bestFit="1" customWidth="1"/>
    <col min="5" max="5" width="12.5703125" customWidth="1"/>
  </cols>
  <sheetData>
    <row r="1" spans="1:5">
      <c r="A1" t="str">
        <f>+RS!B2</f>
        <v>KENTUCKY POWER BILLING ANALYSIS</v>
      </c>
    </row>
    <row r="2" spans="1:5">
      <c r="A2" t="str">
        <f>+RS!B4</f>
        <v>TEST YEAR ENDED MARCH 31, 2023</v>
      </c>
    </row>
    <row r="3" spans="1:5">
      <c r="A3" s="52" t="s">
        <v>312</v>
      </c>
    </row>
    <row r="6" spans="1:5">
      <c r="A6" s="1"/>
      <c r="B6" s="1" t="s">
        <v>6</v>
      </c>
      <c r="C6" s="1" t="s">
        <v>6</v>
      </c>
      <c r="D6" s="1"/>
      <c r="E6" s="1"/>
    </row>
    <row r="7" spans="1:5">
      <c r="A7" s="1"/>
      <c r="B7" s="1" t="s">
        <v>146</v>
      </c>
      <c r="C7" s="1" t="s">
        <v>146</v>
      </c>
      <c r="D7" s="1"/>
      <c r="E7" s="1" t="s">
        <v>77</v>
      </c>
    </row>
    <row r="8" spans="1:5">
      <c r="A8" s="3" t="s">
        <v>2</v>
      </c>
      <c r="B8" s="3" t="s">
        <v>161</v>
      </c>
      <c r="C8" s="3" t="s">
        <v>313</v>
      </c>
      <c r="D8" s="3" t="s">
        <v>76</v>
      </c>
      <c r="E8" s="3" t="s">
        <v>76</v>
      </c>
    </row>
    <row r="9" spans="1:5">
      <c r="A9" s="3"/>
      <c r="B9" s="3"/>
      <c r="C9" s="3"/>
      <c r="D9" s="3"/>
      <c r="E9" s="3"/>
    </row>
    <row r="10" spans="1:5">
      <c r="A10" t="s">
        <v>80</v>
      </c>
      <c r="B10" s="8">
        <f>'PB - ES'!C10</f>
        <v>-9055052.5186105724</v>
      </c>
      <c r="C10" s="30" t="e">
        <f>RS!#REF!</f>
        <v>#REF!</v>
      </c>
      <c r="D10" s="8" t="e">
        <f>+C10-B10</f>
        <v>#REF!</v>
      </c>
      <c r="E10" s="14" t="e">
        <f>+D10/B10</f>
        <v>#REF!</v>
      </c>
    </row>
    <row r="11" spans="1:5">
      <c r="B11" s="8"/>
      <c r="C11" s="30"/>
      <c r="D11" s="8"/>
    </row>
    <row r="12" spans="1:5">
      <c r="A12" t="s">
        <v>81</v>
      </c>
      <c r="B12" s="8" t="e">
        <f>'PB - ES'!C12</f>
        <v>#REF!</v>
      </c>
      <c r="C12" s="30" t="e">
        <f>#REF!</f>
        <v>#REF!</v>
      </c>
      <c r="D12" s="8" t="e">
        <f>+C12-B12</f>
        <v>#REF!</v>
      </c>
      <c r="E12" s="14" t="e">
        <f>+D12/B12</f>
        <v>#REF!</v>
      </c>
    </row>
    <row r="13" spans="1:5">
      <c r="B13" s="8"/>
      <c r="C13" s="30"/>
      <c r="D13" s="8"/>
    </row>
    <row r="14" spans="1:5">
      <c r="A14" t="s">
        <v>160</v>
      </c>
      <c r="B14" s="8" t="e">
        <f>'PB - ES'!C14</f>
        <v>#REF!</v>
      </c>
      <c r="C14" s="30" t="e">
        <f>#REF!</f>
        <v>#REF!</v>
      </c>
      <c r="D14" s="8" t="e">
        <f>+C14-B14</f>
        <v>#REF!</v>
      </c>
      <c r="E14" s="14" t="e">
        <f>+D14/B14</f>
        <v>#REF!</v>
      </c>
    </row>
    <row r="15" spans="1:5">
      <c r="B15" s="8"/>
      <c r="C15" s="30"/>
      <c r="D15" s="8"/>
    </row>
    <row r="16" spans="1:5">
      <c r="A16" t="s">
        <v>82</v>
      </c>
      <c r="B16" s="8" t="e">
        <f>'PB - ES'!C16</f>
        <v>#REF!</v>
      </c>
      <c r="C16" s="30" t="e">
        <f>#REF!</f>
        <v>#REF!</v>
      </c>
      <c r="D16" s="8" t="e">
        <f>+C16-B16</f>
        <v>#REF!</v>
      </c>
      <c r="E16" s="14" t="e">
        <f>+D16/B16</f>
        <v>#REF!</v>
      </c>
    </row>
    <row r="17" spans="1:5">
      <c r="B17" s="8"/>
      <c r="C17" s="30"/>
      <c r="D17" s="8"/>
    </row>
    <row r="18" spans="1:5">
      <c r="A18" t="s">
        <v>83</v>
      </c>
      <c r="B18" s="8" t="e">
        <f>'PB - ES'!C18</f>
        <v>#REF!</v>
      </c>
      <c r="C18" s="30" t="e">
        <f>#REF!</f>
        <v>#REF!</v>
      </c>
      <c r="D18" s="8" t="e">
        <f>+C18-B18</f>
        <v>#REF!</v>
      </c>
      <c r="E18" s="14" t="e">
        <f>+D18/B18</f>
        <v>#REF!</v>
      </c>
    </row>
    <row r="19" spans="1:5">
      <c r="B19" s="8"/>
      <c r="C19" s="30"/>
      <c r="D19" s="8"/>
    </row>
    <row r="20" spans="1:5">
      <c r="A20" t="s">
        <v>195</v>
      </c>
      <c r="B20" s="8">
        <f>'PB - ES'!C20</f>
        <v>-3194329.7713817013</v>
      </c>
      <c r="C20" s="30" t="e">
        <f>'SGS TOD NA'!#REF!</f>
        <v>#REF!</v>
      </c>
      <c r="D20" s="8" t="e">
        <f>+C20-B20</f>
        <v>#REF!</v>
      </c>
      <c r="E20" s="14" t="e">
        <f>+D20/B20</f>
        <v>#REF!</v>
      </c>
    </row>
    <row r="21" spans="1:5">
      <c r="B21" s="8"/>
      <c r="C21" s="30"/>
      <c r="D21" s="8"/>
    </row>
    <row r="22" spans="1:5">
      <c r="A22" t="s">
        <v>84</v>
      </c>
      <c r="B22" s="8" t="e">
        <f>'PB - ES'!C22</f>
        <v>#REF!</v>
      </c>
      <c r="C22" s="30" t="e">
        <f>#REF!</f>
        <v>#REF!</v>
      </c>
      <c r="D22" s="8" t="e">
        <f>+C22-B22</f>
        <v>#REF!</v>
      </c>
      <c r="E22" s="14" t="e">
        <f>+D22/B22</f>
        <v>#REF!</v>
      </c>
    </row>
    <row r="23" spans="1:5">
      <c r="B23" s="8"/>
      <c r="C23" s="30"/>
      <c r="D23" s="8"/>
      <c r="E23" s="14"/>
    </row>
    <row r="24" spans="1:5">
      <c r="A24" t="s">
        <v>203</v>
      </c>
      <c r="B24" s="8" t="e">
        <f>'PB - ES'!C24</f>
        <v>#REF!</v>
      </c>
      <c r="C24" s="30" t="e">
        <f>#REF!</f>
        <v>#REF!</v>
      </c>
      <c r="D24" s="8" t="e">
        <f>+C24-B24</f>
        <v>#REF!</v>
      </c>
      <c r="E24" s="14" t="e">
        <f>+D24/B24</f>
        <v>#REF!</v>
      </c>
    </row>
    <row r="25" spans="1:5">
      <c r="B25" s="8"/>
      <c r="C25" s="30"/>
      <c r="D25" s="8"/>
    </row>
    <row r="26" spans="1:5">
      <c r="A26" t="s">
        <v>85</v>
      </c>
      <c r="B26" s="8" t="e">
        <f>'PB - ES'!C26</f>
        <v>#REF!</v>
      </c>
      <c r="C26" s="30" t="e">
        <f>#REF!</f>
        <v>#REF!</v>
      </c>
      <c r="D26" s="8" t="e">
        <f>+C26-B26</f>
        <v>#REF!</v>
      </c>
      <c r="E26" s="14" t="e">
        <f>+D26/B26</f>
        <v>#REF!</v>
      </c>
    </row>
    <row r="27" spans="1:5">
      <c r="B27" s="8"/>
      <c r="C27" s="30"/>
      <c r="D27" s="8"/>
    </row>
    <row r="28" spans="1:5">
      <c r="A28" t="s">
        <v>86</v>
      </c>
      <c r="B28" s="8" t="e">
        <f>'PB - ES'!C28</f>
        <v>#REF!</v>
      </c>
      <c r="C28" s="30" t="e">
        <f>#REF!</f>
        <v>#REF!</v>
      </c>
      <c r="D28" s="8" t="e">
        <f>+C28-B28</f>
        <v>#REF!</v>
      </c>
      <c r="E28" s="14" t="e">
        <f>+D28/B28</f>
        <v>#REF!</v>
      </c>
    </row>
    <row r="29" spans="1:5">
      <c r="B29" s="8"/>
      <c r="C29" s="30"/>
      <c r="D29" s="8"/>
    </row>
    <row r="30" spans="1:5">
      <c r="A30" t="s">
        <v>87</v>
      </c>
      <c r="B30" s="8" t="e">
        <f>'PB - ES'!C30</f>
        <v>#REF!</v>
      </c>
      <c r="C30" s="30" t="e">
        <f>#REF!</f>
        <v>#REF!</v>
      </c>
      <c r="D30" s="8" t="e">
        <f>+C30-B30</f>
        <v>#REF!</v>
      </c>
      <c r="E30" s="14" t="e">
        <f>+D30/B30</f>
        <v>#REF!</v>
      </c>
    </row>
    <row r="31" spans="1:5">
      <c r="B31" s="8"/>
      <c r="C31" s="30"/>
      <c r="D31" s="8"/>
    </row>
    <row r="32" spans="1:5">
      <c r="A32" t="s">
        <v>88</v>
      </c>
      <c r="B32" s="8" t="e">
        <f>'PB - ES'!C32</f>
        <v>#REF!</v>
      </c>
      <c r="C32" s="30" t="e">
        <f>#REF!</f>
        <v>#REF!</v>
      </c>
      <c r="D32" s="8" t="e">
        <f>+C32-B32</f>
        <v>#REF!</v>
      </c>
      <c r="E32" s="14" t="e">
        <f>+D32/B32</f>
        <v>#REF!</v>
      </c>
    </row>
    <row r="33" spans="1:5">
      <c r="B33" s="8"/>
      <c r="C33" s="30"/>
      <c r="D33" s="8"/>
    </row>
    <row r="34" spans="1:5">
      <c r="A34" t="s">
        <v>89</v>
      </c>
      <c r="B34" s="8" t="e">
        <f>'PB - ES'!C34</f>
        <v>#REF!</v>
      </c>
      <c r="C34" s="30" t="e">
        <f>#REF!</f>
        <v>#REF!</v>
      </c>
      <c r="D34" s="8" t="e">
        <f>+C34-B34</f>
        <v>#REF!</v>
      </c>
      <c r="E34" s="14" t="e">
        <f>+D34/B34</f>
        <v>#REF!</v>
      </c>
    </row>
    <row r="35" spans="1:5">
      <c r="B35" s="8"/>
      <c r="C35" s="30"/>
      <c r="D35" s="8"/>
    </row>
    <row r="36" spans="1:5">
      <c r="A36" t="s">
        <v>90</v>
      </c>
      <c r="B36" s="8" t="e">
        <f>'PB - ES'!C36</f>
        <v>#REF!</v>
      </c>
      <c r="C36" s="30" t="e">
        <f>#REF!</f>
        <v>#REF!</v>
      </c>
      <c r="D36" s="8" t="e">
        <f>+C36-B36</f>
        <v>#REF!</v>
      </c>
      <c r="E36" s="14" t="e">
        <f>+D36/B36</f>
        <v>#REF!</v>
      </c>
    </row>
    <row r="37" spans="1:5">
      <c r="B37" s="8"/>
      <c r="C37" s="30"/>
      <c r="D37" s="8"/>
    </row>
    <row r="38" spans="1:5">
      <c r="A38" t="s">
        <v>91</v>
      </c>
      <c r="B38" s="8" t="e">
        <f>'PB - ES'!C38</f>
        <v>#REF!</v>
      </c>
      <c r="C38" s="30" t="e">
        <f>#REF!</f>
        <v>#REF!</v>
      </c>
      <c r="D38" s="8" t="e">
        <f>+C38-B38</f>
        <v>#REF!</v>
      </c>
      <c r="E38" s="14" t="e">
        <f>+D38/B38</f>
        <v>#REF!</v>
      </c>
    </row>
    <row r="39" spans="1:5">
      <c r="B39" s="8"/>
      <c r="C39" s="30"/>
      <c r="D39" s="8"/>
    </row>
    <row r="40" spans="1:5">
      <c r="A40" t="s">
        <v>92</v>
      </c>
      <c r="B40" s="8" t="e">
        <f>'PB - ES'!C40</f>
        <v>#REF!</v>
      </c>
      <c r="C40" s="30" t="e">
        <f>#REF!</f>
        <v>#REF!</v>
      </c>
      <c r="D40" s="8" t="e">
        <f>+C40-B40</f>
        <v>#REF!</v>
      </c>
      <c r="E40" s="14" t="e">
        <f>+D40/B40</f>
        <v>#REF!</v>
      </c>
    </row>
    <row r="41" spans="1:5">
      <c r="B41" s="8"/>
      <c r="C41" s="30"/>
      <c r="D41" s="8"/>
      <c r="E41" s="14"/>
    </row>
    <row r="42" spans="1:5">
      <c r="A42" s="28" t="s">
        <v>282</v>
      </c>
      <c r="B42" s="30" t="e">
        <f>'PB - ES'!C42</f>
        <v>#REF!</v>
      </c>
      <c r="C42" s="30" t="e">
        <f>#REF!</f>
        <v>#REF!</v>
      </c>
      <c r="D42" s="30" t="e">
        <f>+C42-B42</f>
        <v>#REF!</v>
      </c>
      <c r="E42" s="14" t="e">
        <f>+D42/B42</f>
        <v>#REF!</v>
      </c>
    </row>
    <row r="43" spans="1:5">
      <c r="A43" s="28"/>
      <c r="B43" s="30"/>
      <c r="C43" s="30"/>
      <c r="D43" s="30"/>
    </row>
    <row r="44" spans="1:5">
      <c r="A44" s="28" t="s">
        <v>96</v>
      </c>
      <c r="B44" s="30" t="e">
        <f>'PB - ES'!C44</f>
        <v>#REF!</v>
      </c>
      <c r="C44" s="30" t="e">
        <f>#REF!</f>
        <v>#REF!</v>
      </c>
      <c r="D44" s="30" t="e">
        <f>+C44-B44</f>
        <v>#REF!</v>
      </c>
      <c r="E44" s="14" t="e">
        <f>+D44/B44</f>
        <v>#REF!</v>
      </c>
    </row>
    <row r="45" spans="1:5">
      <c r="A45" s="28"/>
      <c r="B45" s="30"/>
      <c r="C45" s="30"/>
      <c r="D45" s="30"/>
    </row>
    <row r="46" spans="1:5">
      <c r="A46" s="28" t="s">
        <v>93</v>
      </c>
      <c r="B46" s="30" t="e">
        <f>'PB - ES'!C46</f>
        <v>#REF!</v>
      </c>
      <c r="C46" s="30" t="e">
        <f>#REF!</f>
        <v>#REF!</v>
      </c>
      <c r="D46" s="30" t="e">
        <f>+C46-B46</f>
        <v>#REF!</v>
      </c>
      <c r="E46" s="14" t="e">
        <f>+D46/B46</f>
        <v>#REF!</v>
      </c>
    </row>
    <row r="47" spans="1:5">
      <c r="A47" s="28"/>
      <c r="B47" s="30"/>
      <c r="C47" s="30"/>
      <c r="D47" s="30"/>
      <c r="E47" s="14"/>
    </row>
    <row r="48" spans="1:5">
      <c r="A48" s="28" t="s">
        <v>198</v>
      </c>
      <c r="B48" s="30" t="e">
        <f>'PB - ES'!C48</f>
        <v>#REF!</v>
      </c>
      <c r="C48" s="30" t="e">
        <f>#REF!</f>
        <v>#REF!</v>
      </c>
      <c r="D48" s="30" t="e">
        <f>+C48-B48</f>
        <v>#REF!</v>
      </c>
      <c r="E48" s="14" t="e">
        <f>+D48/B48</f>
        <v>#REF!</v>
      </c>
    </row>
    <row r="49" spans="1:5">
      <c r="A49" s="28"/>
      <c r="B49" s="30"/>
      <c r="C49" s="30"/>
      <c r="D49" s="30"/>
    </row>
    <row r="50" spans="1:5">
      <c r="A50" s="83" t="s">
        <v>283</v>
      </c>
      <c r="B50" s="30" t="e">
        <f>'PB - ES'!C50</f>
        <v>#REF!</v>
      </c>
      <c r="C50" s="30" t="e">
        <f>#REF!</f>
        <v>#REF!</v>
      </c>
      <c r="D50" s="30" t="e">
        <f>+C50-B50</f>
        <v>#REF!</v>
      </c>
      <c r="E50" s="14" t="e">
        <f>+D50/B50</f>
        <v>#REF!</v>
      </c>
    </row>
    <row r="51" spans="1:5">
      <c r="A51" s="83"/>
      <c r="B51" s="30"/>
      <c r="C51" s="30"/>
      <c r="D51" s="30"/>
    </row>
    <row r="52" spans="1:5">
      <c r="A52" s="83" t="s">
        <v>284</v>
      </c>
      <c r="B52" s="30" t="e">
        <f>'PB - ES'!C52</f>
        <v>#REF!</v>
      </c>
      <c r="C52" s="30" t="e">
        <f>#REF!</f>
        <v>#REF!</v>
      </c>
      <c r="D52" s="30" t="e">
        <f>+C52-B52</f>
        <v>#REF!</v>
      </c>
      <c r="E52" s="14" t="e">
        <f>+D52/B52</f>
        <v>#REF!</v>
      </c>
    </row>
    <row r="53" spans="1:5">
      <c r="A53" s="83"/>
      <c r="B53" s="30"/>
      <c r="C53" s="30"/>
      <c r="D53" s="30"/>
    </row>
    <row r="54" spans="1:5">
      <c r="A54" s="83" t="s">
        <v>322</v>
      </c>
      <c r="B54" s="30" t="e">
        <f>'PB - ES'!C54</f>
        <v>#REF!</v>
      </c>
      <c r="C54" s="30" t="e">
        <f>'CS-IRP TRAN 321'!I48</f>
        <v>#REF!</v>
      </c>
      <c r="D54" s="30" t="e">
        <f>+C54-B54</f>
        <v>#REF!</v>
      </c>
      <c r="E54" s="14" t="e">
        <f>+D54/B54</f>
        <v>#REF!</v>
      </c>
    </row>
    <row r="55" spans="1:5">
      <c r="A55" s="83"/>
      <c r="B55" s="30"/>
      <c r="C55" s="30"/>
      <c r="D55" s="30"/>
    </row>
    <row r="56" spans="1:5">
      <c r="A56" s="83" t="s">
        <v>323</v>
      </c>
      <c r="B56" s="30">
        <f>'PB - ES'!C56</f>
        <v>3819976.8451110744</v>
      </c>
      <c r="C56" s="30">
        <f>'CS-IRP SUB 331'!I48</f>
        <v>3809505.1051110742</v>
      </c>
      <c r="D56" s="30">
        <f>+C56-B56</f>
        <v>-10471.740000000224</v>
      </c>
      <c r="E56" s="14">
        <f>+D56/B56</f>
        <v>-2.7413098101372745E-3</v>
      </c>
    </row>
    <row r="57" spans="1:5">
      <c r="A57" s="83"/>
      <c r="B57" s="30"/>
      <c r="C57" s="30"/>
      <c r="D57" s="30"/>
      <c r="E57" s="14"/>
    </row>
    <row r="58" spans="1:5">
      <c r="A58" s="83" t="s">
        <v>285</v>
      </c>
      <c r="B58" s="30" t="e">
        <f>'PB - ES'!C58</f>
        <v>#REF!</v>
      </c>
      <c r="C58" s="30" t="e">
        <f>#REF!</f>
        <v>#REF!</v>
      </c>
      <c r="D58" s="30" t="e">
        <f>+C58-B58</f>
        <v>#REF!</v>
      </c>
      <c r="E58" s="14" t="e">
        <f>+D58/B58</f>
        <v>#REF!</v>
      </c>
    </row>
    <row r="59" spans="1:5">
      <c r="A59" s="83"/>
      <c r="B59" s="30"/>
      <c r="C59" s="30"/>
      <c r="D59" s="30"/>
    </row>
    <row r="60" spans="1:5">
      <c r="A60" s="83" t="s">
        <v>286</v>
      </c>
      <c r="B60" s="30" t="e">
        <f>'PB - ES'!C60</f>
        <v>#REF!</v>
      </c>
      <c r="C60" s="30" t="e">
        <f>#REF!</f>
        <v>#REF!</v>
      </c>
      <c r="D60" s="30" t="e">
        <f>+C60-B60</f>
        <v>#REF!</v>
      </c>
      <c r="E60" s="14" t="e">
        <f>+D60/B60</f>
        <v>#REF!</v>
      </c>
    </row>
    <row r="61" spans="1:5">
      <c r="A61" s="83"/>
      <c r="B61" s="30"/>
      <c r="C61" s="30"/>
      <c r="D61" s="30"/>
      <c r="E61" s="14"/>
    </row>
    <row r="62" spans="1:5">
      <c r="A62" s="83" t="s">
        <v>287</v>
      </c>
      <c r="B62" s="30" t="e">
        <f>'PB - ES'!C62</f>
        <v>#REF!</v>
      </c>
      <c r="C62" s="30" t="e">
        <f>#REF!</f>
        <v>#REF!</v>
      </c>
      <c r="D62" s="30" t="e">
        <f>+C62-B62</f>
        <v>#REF!</v>
      </c>
      <c r="E62" s="14" t="e">
        <f>+D62/B62</f>
        <v>#REF!</v>
      </c>
    </row>
    <row r="63" spans="1:5">
      <c r="A63" s="83"/>
      <c r="B63" s="30"/>
      <c r="C63" s="30"/>
      <c r="D63" s="30"/>
      <c r="E63" s="14"/>
    </row>
    <row r="64" spans="1:5">
      <c r="A64" s="83" t="s">
        <v>288</v>
      </c>
      <c r="B64" s="30" t="e">
        <f>'PB - ES'!C64</f>
        <v>#REF!</v>
      </c>
      <c r="C64" s="30" t="e">
        <f>#REF!</f>
        <v>#REF!</v>
      </c>
      <c r="D64" s="30" t="e">
        <f>+C64-B64</f>
        <v>#REF!</v>
      </c>
      <c r="E64" s="14" t="e">
        <f>+D64/B64</f>
        <v>#REF!</v>
      </c>
    </row>
    <row r="65" spans="1:6">
      <c r="A65" s="28"/>
      <c r="B65" s="30"/>
      <c r="C65" s="30"/>
      <c r="D65" s="30"/>
    </row>
    <row r="66" spans="1:6">
      <c r="A66" s="28" t="s">
        <v>94</v>
      </c>
      <c r="B66" s="30" t="e">
        <f>'PB - ES'!C66</f>
        <v>#REF!</v>
      </c>
      <c r="C66" s="30" t="e">
        <f>#REF!</f>
        <v>#REF!</v>
      </c>
      <c r="D66" s="30" t="e">
        <f>+C66-B66</f>
        <v>#REF!</v>
      </c>
      <c r="E66" s="14" t="e">
        <f>+D66/B66</f>
        <v>#REF!</v>
      </c>
    </row>
    <row r="67" spans="1:6">
      <c r="A67" s="28"/>
      <c r="B67" s="30"/>
      <c r="C67" s="30"/>
      <c r="D67" s="30"/>
    </row>
    <row r="68" spans="1:6">
      <c r="A68" s="28" t="s">
        <v>95</v>
      </c>
      <c r="B68" s="30" t="e">
        <f>'PB - ES'!C68</f>
        <v>#REF!</v>
      </c>
      <c r="C68" s="30" t="e">
        <f>#REF!</f>
        <v>#REF!</v>
      </c>
      <c r="D68" s="30" t="e">
        <f>+C68-B68</f>
        <v>#REF!</v>
      </c>
      <c r="E68" s="14" t="e">
        <f>+D68/B68</f>
        <v>#REF!</v>
      </c>
    </row>
    <row r="69" spans="1:6">
      <c r="A69" s="28"/>
      <c r="B69" s="30"/>
      <c r="C69" s="30"/>
      <c r="D69" s="28"/>
    </row>
    <row r="70" spans="1:6">
      <c r="A70" s="28" t="s">
        <v>17</v>
      </c>
      <c r="B70" s="30" t="e">
        <f>SUM(B10:B68)</f>
        <v>#REF!</v>
      </c>
      <c r="C70" s="30" t="e">
        <f>SUM(C10:C68)</f>
        <v>#REF!</v>
      </c>
      <c r="D70" s="94" t="e">
        <f>SUM(D10:D68)</f>
        <v>#REF!</v>
      </c>
      <c r="E70" s="14" t="e">
        <f>+D70/B70</f>
        <v>#REF!</v>
      </c>
    </row>
    <row r="71" spans="1:6">
      <c r="A71" s="28"/>
      <c r="B71" s="28"/>
      <c r="C71" s="28"/>
      <c r="D71" s="28"/>
    </row>
    <row r="72" spans="1:6">
      <c r="A72" s="28"/>
      <c r="B72" s="28"/>
      <c r="C72" s="28"/>
      <c r="D72" s="28"/>
    </row>
    <row r="73" spans="1:6">
      <c r="A73" s="9"/>
      <c r="D73" s="8"/>
      <c r="F73" s="8"/>
    </row>
    <row r="74" spans="1:6">
      <c r="D74" s="8"/>
    </row>
    <row r="75" spans="1:6">
      <c r="A75" s="9"/>
      <c r="D75" s="8"/>
    </row>
    <row r="76" spans="1:6">
      <c r="D76" s="39"/>
    </row>
    <row r="77" spans="1:6">
      <c r="A77" s="9"/>
      <c r="D77" s="39"/>
    </row>
  </sheetData>
  <printOptions horizontalCentered="1"/>
  <pageMargins left="0.75" right="0.75" top="0.5" bottom="0.5" header="0.5"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Q09SUFxzMjkyNzk5PC9Vc2VyTmFtZT48RGF0ZVRpbWU+NC8xMS8yMDIzIDM6Mzk6MTIgUE08L0RhdGVUaW1lPjxMYWJlbFN0cmluZz5VbmNhdGVnb3JpemVk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B0574759-2D9F-4E2B-A76E-469E4F7AEF6F}">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4A0A6DE-A40F-47A5-8CB8-A7AFA25EE93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8</vt:i4>
      </vt:variant>
    </vt:vector>
  </HeadingPairs>
  <TitlesOfParts>
    <vt:vector size="64" baseType="lpstr">
      <vt:lpstr>HEAP</vt:lpstr>
      <vt:lpstr>Exhibit I</vt:lpstr>
      <vt:lpstr>Exhibit K</vt:lpstr>
      <vt:lpstr>Revenue Summary</vt:lpstr>
      <vt:lpstr>PB - ED</vt:lpstr>
      <vt:lpstr>PB Sum</vt:lpstr>
      <vt:lpstr>PB - SS</vt:lpstr>
      <vt:lpstr>PB - ES</vt:lpstr>
      <vt:lpstr>PB - BSRR</vt:lpstr>
      <vt:lpstr>PB - AF</vt:lpstr>
      <vt:lpstr>YEM</vt:lpstr>
      <vt:lpstr>Annualization Adj. P1</vt:lpstr>
      <vt:lpstr>Annualization Adj. P2</vt:lpstr>
      <vt:lpstr>SGS TOD NA</vt:lpstr>
      <vt:lpstr>CC Summary OLD</vt:lpstr>
      <vt:lpstr>RS</vt:lpstr>
      <vt:lpstr>RS LMTOD</vt:lpstr>
      <vt:lpstr>RS TOD</vt:lpstr>
      <vt:lpstr>SGS TOD</vt:lpstr>
      <vt:lpstr>GS-SEC</vt:lpstr>
      <vt:lpstr>GS-AF</vt:lpstr>
      <vt:lpstr>GS-NM</vt:lpstr>
      <vt:lpstr>GSLMTOD</vt:lpstr>
      <vt:lpstr>MGSTOD</vt:lpstr>
      <vt:lpstr>GS-PRI</vt:lpstr>
      <vt:lpstr>GS-SUB</vt:lpstr>
      <vt:lpstr>LGS-SEC</vt:lpstr>
      <vt:lpstr>LGSLMTOD</vt:lpstr>
      <vt:lpstr>LGS-PRI</vt:lpstr>
      <vt:lpstr>LGS-PRI TOD</vt:lpstr>
      <vt:lpstr>LGS-SUB</vt:lpstr>
      <vt:lpstr>LGS-TRAN</vt:lpstr>
      <vt:lpstr>LGS-SEC TOD</vt:lpstr>
      <vt:lpstr>PS-SEC</vt:lpstr>
      <vt:lpstr>PS-PRI</vt:lpstr>
      <vt:lpstr>IGS-SEC</vt:lpstr>
      <vt:lpstr>IGS-PRI</vt:lpstr>
      <vt:lpstr>IGS-SUB</vt:lpstr>
      <vt:lpstr>IGS-TRAN</vt:lpstr>
      <vt:lpstr>MW</vt:lpstr>
      <vt:lpstr>CS-IRP TRAN 321</vt:lpstr>
      <vt:lpstr>CS-IRP SUB 331</vt:lpstr>
      <vt:lpstr>OL</vt:lpstr>
      <vt:lpstr>SL</vt:lpstr>
      <vt:lpstr>Bill Units</vt:lpstr>
      <vt:lpstr>Rate Input</vt:lpstr>
      <vt:lpstr>Book2Bill</vt:lpstr>
      <vt:lpstr>Monthly # of Customers</vt:lpstr>
      <vt:lpstr>Envir FGD adj</vt:lpstr>
      <vt:lpstr>B&amp;A Surcharges</vt:lpstr>
      <vt:lpstr>Proposed Rates</vt:lpstr>
      <vt:lpstr>Fuel Summary</vt:lpstr>
      <vt:lpstr>kW Demands</vt:lpstr>
      <vt:lpstr>WNLA</vt:lpstr>
      <vt:lpstr>12 Months TS</vt:lpstr>
      <vt:lpstr>Realizations</vt:lpstr>
      <vt:lpstr>'12 Months TS'!Print_Area</vt:lpstr>
      <vt:lpstr>'Exhibit I'!Print_Area</vt:lpstr>
      <vt:lpstr>OL!Print_Area</vt:lpstr>
      <vt:lpstr>'PB Sum'!Print_Area</vt:lpstr>
      <vt:lpstr>SL!Print_Area</vt:lpstr>
      <vt:lpstr>'12 Months TS'!Print_Titles</vt:lpstr>
      <vt:lpstr>'Monthly # of Customers'!Print_Titles</vt:lpstr>
      <vt:lpstr>Rate_Class</vt:lpstr>
    </vt:vector>
  </TitlesOfParts>
  <Company>IT-CPS-6/6/2-(Help#=8-835-3050) Full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s003217</dc:creator>
  <cp:keywords/>
  <cp:lastModifiedBy>s262368</cp:lastModifiedBy>
  <cp:lastPrinted>2020-06-03T12:04:13Z</cp:lastPrinted>
  <dcterms:created xsi:type="dcterms:W3CDTF">2005-07-05T21:09:12Z</dcterms:created>
  <dcterms:modified xsi:type="dcterms:W3CDTF">2023-06-27T14:38:07Z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49f923da-144e-4ac2-88ca-204f091da32f</vt:lpwstr>
  </property>
  <property fmtid="{D5CDD505-2E9C-101B-9397-08002B2CF9AE}" pid="3" name="bjSaver">
    <vt:lpwstr>N1DSBWDQZIeY/VRw0Xy3fwx0B1BRPR0Y</vt:lpwstr>
  </property>
  <property fmtid="{D5CDD505-2E9C-101B-9397-08002B2CF9AE}" pid="4" name="bjDocumentSecurityLabel">
    <vt:lpwstr>Uncategorized</vt:lpwstr>
  </property>
  <property fmtid="{D5CDD505-2E9C-101B-9397-08002B2CF9AE}" pid="5"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6" name="bjDocumentLabelXML-0">
    <vt:lpwstr>ames.com/2008/01/sie/internal/label"&gt;&lt;element uid="936e22d5-45a7-4cb7-95ab-1aa8c7c88789" value="" /&gt;&lt;/sisl&gt;</vt:lpwstr>
  </property>
  <property fmtid="{D5CDD505-2E9C-101B-9397-08002B2CF9AE}" pid="7" name="MSIP_Label_574d496c-7ac4-4b13-81fd-698eca66b217_SiteId">
    <vt:lpwstr>15f3c881-6b03-4ff6-8559-77bf5177818f</vt:lpwstr>
  </property>
  <property fmtid="{D5CDD505-2E9C-101B-9397-08002B2CF9AE}" pid="8" name="MSIP_Label_574d496c-7ac4-4b13-81fd-698eca66b217_Name">
    <vt:lpwstr>Uncategorized</vt:lpwstr>
  </property>
  <property fmtid="{D5CDD505-2E9C-101B-9397-08002B2CF9AE}" pid="9" name="MSIP_Label_574d496c-7ac4-4b13-81fd-698eca66b217_Enabled">
    <vt:lpwstr>true</vt:lpwstr>
  </property>
  <property fmtid="{D5CDD505-2E9C-101B-9397-08002B2CF9AE}" pid="10" name="bjClsUserRVM">
    <vt:lpwstr>[]</vt:lpwstr>
  </property>
  <property fmtid="{D5CDD505-2E9C-101B-9397-08002B2CF9AE}" pid="11" name="bjLabelHistoryID">
    <vt:lpwstr>{B0574759-2D9F-4E2B-A76E-469E4F7AEF6F}</vt:lpwstr>
  </property>
  <property fmtid="{D5CDD505-2E9C-101B-9397-08002B2CF9AE}" pid="12" name="{A44787D4-0540-4523-9961-78E4036D8C6D}">
    <vt:lpwstr>{5B33D874-F8E9-4EDC-B57B-5181C6502C12}</vt:lpwstr>
  </property>
</Properties>
</file>