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hreadedComments/threadedComment1.xml" ContentType="application/vnd.ms-excel.threaded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persons/person.xml" ContentType="application/vnd.ms-excel.perso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saveExternalLinkValues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Internal\01_Regulatory Services\01_Recurring Filings\01_Annual\Decommissioning Rider\2023\"/>
    </mc:Choice>
  </mc:AlternateContent>
  <xr:revisionPtr revIDLastSave="0" documentId="13_ncr:1_{9BEBA749-4FCE-468F-AEF5-59656DC6AAC8}" xr6:coauthVersionLast="47" xr6:coauthVersionMax="47" xr10:uidLastSave="{00000000-0000-0000-0000-000000000000}"/>
  <bookViews>
    <workbookView xWindow="-120" yWindow="-120" windowWidth="29040" windowHeight="17640" tabRatio="825" xr2:uid="{00000000-000D-0000-FFFF-FFFF00000000}"/>
  </bookViews>
  <sheets>
    <sheet name="BSDR Summary" sheetId="24" r:id="rId1"/>
    <sheet name="Components" sheetId="3" r:id="rId2"/>
    <sheet name="Additions" sheetId="20" r:id="rId3"/>
    <sheet name="17 Yr Amortization" sheetId="27" r:id="rId4"/>
    <sheet name="Actual Yr 1-8 Amortization" sheetId="23" r:id="rId5"/>
    <sheet name="WACC" sheetId="28" r:id="rId6"/>
    <sheet name="WACC previous" sheetId="10" r:id="rId7"/>
    <sheet name=" GRCF previous" sheetId="11" r:id="rId8"/>
  </sheets>
  <externalReferences>
    <externalReference r:id="rId9"/>
    <externalReference r:id="rId10"/>
  </externalReferences>
  <definedNames>
    <definedName name="ASD">'[1]Pg 18'!$C$59</definedName>
    <definedName name="Begin_AP">#REF!</definedName>
    <definedName name="Begin_Print1">#REF!</definedName>
    <definedName name="BS_BEGIN">#REF!</definedName>
    <definedName name="BS_CAP">#REF!</definedName>
    <definedName name="BS_END">#REF!</definedName>
    <definedName name="CSA">#REF!</definedName>
    <definedName name="CSO">#REF!</definedName>
    <definedName name="End_AP">#REF!</definedName>
    <definedName name="Marshall_Rate">'[2]Property Tax'!$B$2</definedName>
    <definedName name="NONUTILITY">#REF!</definedName>
    <definedName name="NvsASD">"V2017-08-31"</definedName>
    <definedName name="NvsAutoDrillOk">"VN"</definedName>
    <definedName name="NvsElapsedTime">0.00255787037167465</definedName>
    <definedName name="NvsEndTime">42990.6050462963</definedName>
    <definedName name="NvsInstanceHook">"""nvsMacro"""</definedName>
    <definedName name="NvsInstLang">"VENG"</definedName>
    <definedName name="NvsInstSpec">"%,FBUSINESS_UNIT,TGL_PRPT_CONS,NKYP_CORP_CONSOL"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"%,X,RZF.ACCOUNT.,CNF.."</definedName>
    <definedName name="NvsPanelBusUnit">"V100"</definedName>
    <definedName name="NvsPanelEffdt">"V2099-01-01"</definedName>
    <definedName name="NvsPanelSetid">"VAEP"</definedName>
    <definedName name="NvsReqBU">"VX999"</definedName>
    <definedName name="NvsReqBUOnly">"VN"</definedName>
    <definedName name="NvsTransLed">"VN"</definedName>
    <definedName name="NvsTree.GL_PRPT_CONS">"NNNNN"</definedName>
    <definedName name="NvsTreeASD">"V2017-08-31"</definedName>
    <definedName name="NvsValTbl.ACCOUNT">"GL_ACCOUNT_TBL"</definedName>
    <definedName name="NvsValTbl.AEP_BENEFIT_LOC">"AEP_BEN_ALL_VW"</definedName>
    <definedName name="NvsValTbl.AFFILIATE">"AFFILIATE_VW"</definedName>
    <definedName name="NvsValTbl.BUSINESS_UNIT">"BUS_UNIT_TBL_FS"</definedName>
    <definedName name="NvsValTbl.CURRENCY_CD">"CURRENCY_CD_TBL"</definedName>
    <definedName name="NvsValTbl.DEPTID">"DEPARTMENT_TBL"</definedName>
    <definedName name="OPR_ID">#REF!</definedName>
    <definedName name="PC_Percent">'[2]Property Tax'!$B$6</definedName>
    <definedName name="_xlnm.Print_Area" localSheetId="3">'17 Yr Amortization'!$A$1:$L$8</definedName>
    <definedName name="_xlnm.Print_Area" localSheetId="2">Additions!$A$1:$L$321</definedName>
    <definedName name="_xlnm.Print_Area" localSheetId="1">Components!$A$1:$M$25</definedName>
    <definedName name="_xlnm.Print_Titles" localSheetId="3">'17 Yr Amortization'!$1:$6</definedName>
    <definedName name="RESERVED">#REF!</definedName>
    <definedName name="Reserved_Section">#REF!</definedName>
    <definedName name="Rev_End">#REF!</definedName>
    <definedName name="search_directory_name">"R:\fcm90prd\nvision\rpts\Fin_Reports\"</definedName>
    <definedName name="tim">#REF!</definedName>
    <definedName name="WV_List">'[2]Property Tax'!$B$4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27" l="1"/>
  <c r="K23" i="3" l="1"/>
  <c r="N10" i="3"/>
  <c r="N9" i="3"/>
  <c r="N8" i="3"/>
  <c r="N7" i="3"/>
  <c r="N6" i="3"/>
  <c r="N5" i="3"/>
  <c r="O5" i="3"/>
  <c r="N11" i="3" l="1"/>
  <c r="L105" i="23" l="1"/>
  <c r="G105" i="23"/>
  <c r="M5" i="3" l="1"/>
  <c r="O10" i="3"/>
  <c r="O9" i="3"/>
  <c r="O8" i="3"/>
  <c r="O7" i="3"/>
  <c r="O6" i="3"/>
  <c r="O11" i="3" l="1"/>
  <c r="O32" i="28"/>
  <c r="O42" i="28" s="1"/>
  <c r="S30" i="28"/>
  <c r="S28" i="28"/>
  <c r="S26" i="28"/>
  <c r="H18" i="28"/>
  <c r="F18" i="28"/>
  <c r="M16" i="28"/>
  <c r="M15" i="28"/>
  <c r="M14" i="28"/>
  <c r="B14" i="28"/>
  <c r="B15" i="28" s="1"/>
  <c r="B16" i="28" s="1"/>
  <c r="B18" i="28" s="1"/>
  <c r="M13" i="28"/>
  <c r="S32" i="28" l="1"/>
  <c r="S34" i="28" s="1"/>
  <c r="S36" i="28" s="1"/>
  <c r="O13" i="28"/>
  <c r="S13" i="28" s="1"/>
  <c r="O15" i="28"/>
  <c r="S15" i="28" s="1"/>
  <c r="O14" i="28"/>
  <c r="S14" i="28" s="1"/>
  <c r="S38" i="28" l="1"/>
  <c r="S40" i="28" l="1"/>
  <c r="S42" i="28" s="1"/>
  <c r="O16" i="28" s="1"/>
  <c r="S16" i="28" s="1"/>
  <c r="S18" i="28" s="1"/>
  <c r="U3" i="27"/>
  <c r="C2" i="27"/>
  <c r="P10" i="3"/>
  <c r="P9" i="3"/>
  <c r="P8" i="3"/>
  <c r="P7" i="3"/>
  <c r="P6" i="3"/>
  <c r="P5" i="3"/>
  <c r="K13" i="27" l="1"/>
  <c r="K10" i="27"/>
  <c r="K14" i="27"/>
  <c r="K9" i="27"/>
  <c r="P11" i="3"/>
  <c r="K12" i="27"/>
  <c r="K11" i="27"/>
  <c r="K69" i="20" l="1"/>
  <c r="L69" i="20" s="1"/>
  <c r="K69" i="23" s="1"/>
  <c r="J69" i="20"/>
  <c r="E69" i="23" s="1"/>
  <c r="G3" i="23"/>
  <c r="E3" i="23"/>
  <c r="D309" i="20" l="1"/>
  <c r="K47" i="20" l="1"/>
  <c r="L47" i="20" s="1"/>
  <c r="J47" i="20"/>
  <c r="K37" i="20"/>
  <c r="J67" i="20"/>
  <c r="K67" i="20"/>
  <c r="L67" i="20" s="1"/>
  <c r="E3" i="27" l="1"/>
  <c r="G10" i="27" l="1"/>
  <c r="G11" i="27" s="1"/>
  <c r="G12" i="27" s="1"/>
  <c r="G13" i="27" s="1"/>
  <c r="G14" i="27" s="1"/>
  <c r="G15" i="27" s="1"/>
  <c r="G16" i="27" s="1"/>
  <c r="G17" i="27" s="1"/>
  <c r="G18" i="27" s="1"/>
  <c r="G19" i="27" s="1"/>
  <c r="G20" i="27" s="1"/>
  <c r="G21" i="27" s="1"/>
  <c r="G22" i="27" s="1"/>
  <c r="G23" i="27" s="1"/>
  <c r="G24" i="27" s="1"/>
  <c r="G25" i="27" s="1"/>
  <c r="G26" i="27" s="1"/>
  <c r="G27" i="27" s="1"/>
  <c r="G28" i="27" s="1"/>
  <c r="G29" i="27" s="1"/>
  <c r="G30" i="27" s="1"/>
  <c r="G31" i="27" s="1"/>
  <c r="G32" i="27" s="1"/>
  <c r="G33" i="27" s="1"/>
  <c r="G34" i="27" s="1"/>
  <c r="G35" i="27" s="1"/>
  <c r="G36" i="27" s="1"/>
  <c r="G37" i="27" s="1"/>
  <c r="G38" i="27" s="1"/>
  <c r="G39" i="27" s="1"/>
  <c r="G40" i="27" s="1"/>
  <c r="G41" i="27" s="1"/>
  <c r="G42" i="27" s="1"/>
  <c r="G43" i="27" s="1"/>
  <c r="G44" i="27" s="1"/>
  <c r="G45" i="27" s="1"/>
  <c r="G46" i="27" s="1"/>
  <c r="G47" i="27" s="1"/>
  <c r="G48" i="27" s="1"/>
  <c r="G49" i="27" s="1"/>
  <c r="G50" i="27" s="1"/>
  <c r="G51" i="27" s="1"/>
  <c r="G52" i="27" s="1"/>
  <c r="G53" i="27" s="1"/>
  <c r="G54" i="27" s="1"/>
  <c r="G55" i="27" s="1"/>
  <c r="G56" i="27" s="1"/>
  <c r="G57" i="27" s="1"/>
  <c r="G58" i="27" s="1"/>
  <c r="G59" i="27" s="1"/>
  <c r="G60" i="27" s="1"/>
  <c r="G61" i="27" s="1"/>
  <c r="G62" i="27" s="1"/>
  <c r="G63" i="27" s="1"/>
  <c r="G64" i="27" s="1"/>
  <c r="G65" i="27" s="1"/>
  <c r="G66" i="27" s="1"/>
  <c r="G67" i="27" s="1"/>
  <c r="G68" i="27" s="1"/>
  <c r="G69" i="27" s="1"/>
  <c r="G70" i="27" s="1"/>
  <c r="G71" i="27" s="1"/>
  <c r="G72" i="27" s="1"/>
  <c r="G73" i="27" s="1"/>
  <c r="G74" i="27" s="1"/>
  <c r="G75" i="27" s="1"/>
  <c r="G76" i="27" s="1"/>
  <c r="G77" i="27" s="1"/>
  <c r="G78" i="27" s="1"/>
  <c r="G79" i="27" s="1"/>
  <c r="G80" i="27" s="1"/>
  <c r="G81" i="27" s="1"/>
  <c r="G82" i="27" s="1"/>
  <c r="G83" i="27" s="1"/>
  <c r="G84" i="27" s="1"/>
  <c r="G85" i="27" s="1"/>
  <c r="G86" i="27" s="1"/>
  <c r="G87" i="27" s="1"/>
  <c r="G88" i="27" s="1"/>
  <c r="G89" i="27" s="1"/>
  <c r="G90" i="27" s="1"/>
  <c r="G91" i="27" s="1"/>
  <c r="G92" i="27" s="1"/>
  <c r="G93" i="27" s="1"/>
  <c r="G94" i="27" s="1"/>
  <c r="G95" i="27" s="1"/>
  <c r="G96" i="27" s="1"/>
  <c r="G97" i="27" s="1"/>
  <c r="G98" i="27" s="1"/>
  <c r="G99" i="27" s="1"/>
  <c r="G100" i="27" s="1"/>
  <c r="G101" i="27" s="1"/>
  <c r="G102" i="27" s="1"/>
  <c r="G103" i="27" s="1"/>
  <c r="G104" i="27" s="1"/>
  <c r="G105" i="27" s="1"/>
  <c r="G106" i="27" s="1"/>
  <c r="G107" i="27" s="1"/>
  <c r="G108" i="27" s="1"/>
  <c r="G109" i="27" s="1"/>
  <c r="G110" i="27" s="1"/>
  <c r="G111" i="27" s="1"/>
  <c r="G112" i="27" s="1"/>
  <c r="G113" i="27" s="1"/>
  <c r="G114" i="27" s="1"/>
  <c r="G115" i="27" s="1"/>
  <c r="G116" i="27" s="1"/>
  <c r="G117" i="27" s="1"/>
  <c r="G118" i="27" s="1"/>
  <c r="G119" i="27" s="1"/>
  <c r="G120" i="27" s="1"/>
  <c r="G121" i="27" s="1"/>
  <c r="G122" i="27" s="1"/>
  <c r="G123" i="27" s="1"/>
  <c r="G124" i="27" s="1"/>
  <c r="G125" i="27" s="1"/>
  <c r="G126" i="27" s="1"/>
  <c r="G127" i="27" s="1"/>
  <c r="G128" i="27" s="1"/>
  <c r="G129" i="27" s="1"/>
  <c r="G130" i="27" s="1"/>
  <c r="G131" i="27" s="1"/>
  <c r="G132" i="27" s="1"/>
  <c r="G133" i="27" s="1"/>
  <c r="G134" i="27" s="1"/>
  <c r="G135" i="27" s="1"/>
  <c r="G136" i="27" s="1"/>
  <c r="G137" i="27" s="1"/>
  <c r="G138" i="27" s="1"/>
  <c r="G139" i="27" s="1"/>
  <c r="G140" i="27" s="1"/>
  <c r="G141" i="27" s="1"/>
  <c r="G142" i="27" s="1"/>
  <c r="G143" i="27" s="1"/>
  <c r="G144" i="27" s="1"/>
  <c r="G145" i="27" s="1"/>
  <c r="G146" i="27" s="1"/>
  <c r="G147" i="27" s="1"/>
  <c r="G148" i="27" s="1"/>
  <c r="G149" i="27" s="1"/>
  <c r="G150" i="27" s="1"/>
  <c r="G151" i="27" s="1"/>
  <c r="G152" i="27" s="1"/>
  <c r="G153" i="27" s="1"/>
  <c r="G154" i="27" s="1"/>
  <c r="G155" i="27" s="1"/>
  <c r="G156" i="27" s="1"/>
  <c r="G157" i="27" s="1"/>
  <c r="G158" i="27" s="1"/>
  <c r="G159" i="27" s="1"/>
  <c r="G160" i="27" s="1"/>
  <c r="G161" i="27" s="1"/>
  <c r="G162" i="27" s="1"/>
  <c r="G163" i="27" s="1"/>
  <c r="G164" i="27" s="1"/>
  <c r="G165" i="27" s="1"/>
  <c r="G166" i="27" s="1"/>
  <c r="G167" i="27" s="1"/>
  <c r="G168" i="27" s="1"/>
  <c r="G169" i="27" s="1"/>
  <c r="G170" i="27" s="1"/>
  <c r="G171" i="27" s="1"/>
  <c r="G172" i="27" s="1"/>
  <c r="G173" i="27" s="1"/>
  <c r="G174" i="27" s="1"/>
  <c r="G175" i="27" s="1"/>
  <c r="G176" i="27" s="1"/>
  <c r="G177" i="27" s="1"/>
  <c r="G178" i="27" s="1"/>
  <c r="G179" i="27" s="1"/>
  <c r="G180" i="27" s="1"/>
  <c r="G181" i="27" s="1"/>
  <c r="G182" i="27" s="1"/>
  <c r="G183" i="27" s="1"/>
  <c r="G184" i="27" s="1"/>
  <c r="G185" i="27" s="1"/>
  <c r="G186" i="27" s="1"/>
  <c r="G187" i="27" s="1"/>
  <c r="G188" i="27" s="1"/>
  <c r="G189" i="27" s="1"/>
  <c r="G190" i="27" s="1"/>
  <c r="G191" i="27" s="1"/>
  <c r="G192" i="27" s="1"/>
  <c r="G193" i="27" s="1"/>
  <c r="G194" i="27" s="1"/>
  <c r="G195" i="27" s="1"/>
  <c r="G196" i="27" s="1"/>
  <c r="G197" i="27" s="1"/>
  <c r="G198" i="27" s="1"/>
  <c r="G199" i="27" s="1"/>
  <c r="G200" i="27" s="1"/>
  <c r="G201" i="27" s="1"/>
  <c r="G202" i="27" s="1"/>
  <c r="G203" i="27" s="1"/>
  <c r="G204" i="27" s="1"/>
  <c r="G205" i="27" s="1"/>
  <c r="G206" i="27" s="1"/>
  <c r="G207" i="27" s="1"/>
  <c r="G208" i="27" s="1"/>
  <c r="G209" i="27" s="1"/>
  <c r="G210" i="27" s="1"/>
  <c r="G211" i="27" s="1"/>
  <c r="G212" i="27" s="1"/>
  <c r="L3" i="27"/>
  <c r="K3" i="27"/>
  <c r="C3" i="27"/>
  <c r="Q10" i="3"/>
  <c r="Q9" i="3"/>
  <c r="Q8" i="3"/>
  <c r="Q7" i="3"/>
  <c r="Q6" i="3"/>
  <c r="Q5" i="3"/>
  <c r="R10" i="3"/>
  <c r="R9" i="3"/>
  <c r="R8" i="3"/>
  <c r="R7" i="3"/>
  <c r="R6" i="3"/>
  <c r="R5" i="3"/>
  <c r="G8" i="3" l="1"/>
  <c r="G7" i="3"/>
  <c r="G9" i="3"/>
  <c r="G10" i="3"/>
  <c r="G5" i="3"/>
  <c r="G6" i="3"/>
  <c r="G213" i="27"/>
  <c r="Q11" i="3"/>
  <c r="R11" i="3"/>
  <c r="G11" i="3" l="1"/>
  <c r="G14" i="3" s="1"/>
  <c r="K6" i="3" l="1"/>
  <c r="L309" i="20"/>
  <c r="K67" i="23"/>
  <c r="E67" i="23"/>
  <c r="K51" i="20" l="1"/>
  <c r="L51" i="20" s="1"/>
  <c r="C5" i="3" l="1"/>
  <c r="K47" i="23" l="1"/>
  <c r="E47" i="23"/>
  <c r="K51" i="23" l="1"/>
  <c r="H39" i="23" l="1"/>
  <c r="O39" i="23" l="1"/>
  <c r="K17" i="20" l="1"/>
  <c r="L17" i="20" s="1"/>
  <c r="F9" i="3" l="1"/>
  <c r="H9" i="3" s="1"/>
  <c r="F8" i="3"/>
  <c r="H8" i="3" s="1"/>
  <c r="F7" i="3"/>
  <c r="H7" i="3" s="1"/>
  <c r="F6" i="3"/>
  <c r="H6" i="3" s="1"/>
  <c r="J44" i="20" l="1"/>
  <c r="E44" i="23" s="1"/>
  <c r="K39" i="20" l="1"/>
  <c r="L39" i="20" l="1"/>
  <c r="K39" i="23" s="1"/>
  <c r="J39" i="20"/>
  <c r="J38" i="20"/>
  <c r="K10" i="3" l="1"/>
  <c r="O13" i="23"/>
  <c r="B5" i="3"/>
  <c r="J29" i="20"/>
  <c r="E29" i="23" s="1"/>
  <c r="K13" i="20"/>
  <c r="J13" i="20"/>
  <c r="E13" i="23" s="1"/>
  <c r="H13" i="23" s="1"/>
  <c r="E12" i="20"/>
  <c r="M7" i="3" s="1"/>
  <c r="H12" i="20"/>
  <c r="M6" i="3" s="1"/>
  <c r="K18" i="20"/>
  <c r="K19" i="20"/>
  <c r="K20" i="20"/>
  <c r="K21" i="20"/>
  <c r="L21" i="20" s="1"/>
  <c r="K21" i="23" s="1"/>
  <c r="K22" i="20"/>
  <c r="K23" i="20"/>
  <c r="K24" i="20"/>
  <c r="K25" i="20"/>
  <c r="K26" i="20"/>
  <c r="K27" i="20"/>
  <c r="K28" i="20"/>
  <c r="K29" i="20"/>
  <c r="K30" i="20"/>
  <c r="K31" i="20"/>
  <c r="K32" i="20"/>
  <c r="K33" i="20"/>
  <c r="K34" i="20"/>
  <c r="L34" i="20" s="1"/>
  <c r="K35" i="20"/>
  <c r="K36" i="20"/>
  <c r="L37" i="20"/>
  <c r="K37" i="23" s="1"/>
  <c r="K38" i="20"/>
  <c r="L38" i="20" s="1"/>
  <c r="K40" i="20"/>
  <c r="K41" i="20"/>
  <c r="L41" i="20" s="1"/>
  <c r="K42" i="20"/>
  <c r="L42" i="20" s="1"/>
  <c r="K43" i="20"/>
  <c r="L43" i="20" s="1"/>
  <c r="K44" i="20"/>
  <c r="L44" i="20" s="1"/>
  <c r="K45" i="20"/>
  <c r="L45" i="20" s="1"/>
  <c r="K45" i="23" s="1"/>
  <c r="K46" i="20"/>
  <c r="L46" i="20" s="1"/>
  <c r="K46" i="23" s="1"/>
  <c r="K48" i="20"/>
  <c r="L48" i="20" s="1"/>
  <c r="K48" i="23" s="1"/>
  <c r="K49" i="20"/>
  <c r="L49" i="20" s="1"/>
  <c r="K49" i="23" s="1"/>
  <c r="K50" i="20"/>
  <c r="L50" i="20" s="1"/>
  <c r="K50" i="23" s="1"/>
  <c r="K52" i="20"/>
  <c r="L52" i="20" s="1"/>
  <c r="K52" i="23" s="1"/>
  <c r="K53" i="20"/>
  <c r="L53" i="20" s="1"/>
  <c r="K53" i="23" s="1"/>
  <c r="K54" i="20"/>
  <c r="L54" i="20" s="1"/>
  <c r="K54" i="23" s="1"/>
  <c r="K55" i="20"/>
  <c r="L55" i="20" s="1"/>
  <c r="K55" i="23" s="1"/>
  <c r="K56" i="20"/>
  <c r="L56" i="20" s="1"/>
  <c r="K56" i="23" s="1"/>
  <c r="K57" i="20"/>
  <c r="L57" i="20" s="1"/>
  <c r="K57" i="23" s="1"/>
  <c r="K58" i="20"/>
  <c r="L58" i="20" s="1"/>
  <c r="K58" i="23" s="1"/>
  <c r="K59" i="20"/>
  <c r="L59" i="20" s="1"/>
  <c r="K59" i="23" s="1"/>
  <c r="K60" i="20"/>
  <c r="L60" i="20" s="1"/>
  <c r="K60" i="23" s="1"/>
  <c r="K61" i="20"/>
  <c r="L61" i="20" s="1"/>
  <c r="K61" i="23" s="1"/>
  <c r="K62" i="20"/>
  <c r="L62" i="20" s="1"/>
  <c r="K62" i="23" s="1"/>
  <c r="K63" i="20"/>
  <c r="L63" i="20" s="1"/>
  <c r="K63" i="23" s="1"/>
  <c r="K64" i="20"/>
  <c r="L64" i="20" s="1"/>
  <c r="K64" i="23" s="1"/>
  <c r="K65" i="20"/>
  <c r="L65" i="20" s="1"/>
  <c r="K65" i="23" s="1"/>
  <c r="K66" i="20"/>
  <c r="L66" i="20" s="1"/>
  <c r="K66" i="23" s="1"/>
  <c r="K68" i="20"/>
  <c r="K70" i="20"/>
  <c r="L70" i="20" s="1"/>
  <c r="K70" i="23" s="1"/>
  <c r="K71" i="20"/>
  <c r="L71" i="20" s="1"/>
  <c r="K71" i="23" s="1"/>
  <c r="K72" i="20"/>
  <c r="L72" i="20" s="1"/>
  <c r="K72" i="23" s="1"/>
  <c r="K73" i="20"/>
  <c r="L73" i="20" s="1"/>
  <c r="K73" i="23" s="1"/>
  <c r="K74" i="20"/>
  <c r="L74" i="20" s="1"/>
  <c r="K74" i="23" s="1"/>
  <c r="K75" i="20"/>
  <c r="L75" i="20" s="1"/>
  <c r="K75" i="23" s="1"/>
  <c r="K76" i="20"/>
  <c r="L76" i="20" s="1"/>
  <c r="K76" i="23" s="1"/>
  <c r="K77" i="20"/>
  <c r="L77" i="20" s="1"/>
  <c r="K77" i="23" s="1"/>
  <c r="K78" i="20"/>
  <c r="L78" i="20" s="1"/>
  <c r="K78" i="23" s="1"/>
  <c r="K79" i="20"/>
  <c r="L79" i="20" s="1"/>
  <c r="K79" i="23" s="1"/>
  <c r="K80" i="20"/>
  <c r="L80" i="20" s="1"/>
  <c r="K80" i="23" s="1"/>
  <c r="K81" i="20"/>
  <c r="L81" i="20" s="1"/>
  <c r="K81" i="23" s="1"/>
  <c r="K82" i="20"/>
  <c r="L82" i="20" s="1"/>
  <c r="K82" i="23" s="1"/>
  <c r="K83" i="20"/>
  <c r="L83" i="20" s="1"/>
  <c r="K83" i="23" s="1"/>
  <c r="K84" i="20"/>
  <c r="L84" i="20" s="1"/>
  <c r="K84" i="23" s="1"/>
  <c r="K85" i="20"/>
  <c r="L85" i="20" s="1"/>
  <c r="K85" i="23" s="1"/>
  <c r="K86" i="20"/>
  <c r="L86" i="20" s="1"/>
  <c r="K86" i="23" s="1"/>
  <c r="K87" i="20"/>
  <c r="L87" i="20" s="1"/>
  <c r="K87" i="23" s="1"/>
  <c r="K88" i="20"/>
  <c r="L88" i="20" s="1"/>
  <c r="K88" i="23" s="1"/>
  <c r="K89" i="20"/>
  <c r="L89" i="20" s="1"/>
  <c r="K89" i="23" s="1"/>
  <c r="K90" i="20"/>
  <c r="L90" i="20" s="1"/>
  <c r="K90" i="23" s="1"/>
  <c r="K91" i="20"/>
  <c r="L91" i="20" s="1"/>
  <c r="K91" i="23" s="1"/>
  <c r="K92" i="20"/>
  <c r="L92" i="20" s="1"/>
  <c r="K93" i="20"/>
  <c r="L93" i="20" s="1"/>
  <c r="K93" i="23" s="1"/>
  <c r="K94" i="20"/>
  <c r="L94" i="20" s="1"/>
  <c r="K94" i="23" s="1"/>
  <c r="K95" i="20"/>
  <c r="L95" i="20" s="1"/>
  <c r="K95" i="23" s="1"/>
  <c r="K96" i="20"/>
  <c r="L96" i="20" s="1"/>
  <c r="K96" i="23" s="1"/>
  <c r="K97" i="20"/>
  <c r="L97" i="20" s="1"/>
  <c r="K97" i="23" s="1"/>
  <c r="K98" i="20"/>
  <c r="L98" i="20" s="1"/>
  <c r="K98" i="23" s="1"/>
  <c r="K99" i="20"/>
  <c r="L99" i="20" s="1"/>
  <c r="K99" i="23" s="1"/>
  <c r="K100" i="20"/>
  <c r="L100" i="20" s="1"/>
  <c r="K100" i="23" s="1"/>
  <c r="K101" i="20"/>
  <c r="L101" i="20" s="1"/>
  <c r="K101" i="23" s="1"/>
  <c r="K102" i="20"/>
  <c r="L102" i="20" s="1"/>
  <c r="K102" i="23" s="1"/>
  <c r="K103" i="20"/>
  <c r="L103" i="20" s="1"/>
  <c r="K103" i="23" s="1"/>
  <c r="K104" i="20"/>
  <c r="L104" i="20" s="1"/>
  <c r="K104" i="23" s="1"/>
  <c r="K105" i="20"/>
  <c r="L105" i="20" s="1"/>
  <c r="K106" i="20"/>
  <c r="L106" i="20" s="1"/>
  <c r="K107" i="20"/>
  <c r="L107" i="20" s="1"/>
  <c r="K108" i="20"/>
  <c r="L108" i="20" s="1"/>
  <c r="K109" i="20"/>
  <c r="L109" i="20" s="1"/>
  <c r="K110" i="20"/>
  <c r="L110" i="20" s="1"/>
  <c r="K111" i="20"/>
  <c r="L111" i="20" s="1"/>
  <c r="K112" i="20"/>
  <c r="L112" i="20" s="1"/>
  <c r="K113" i="20"/>
  <c r="L113" i="20" s="1"/>
  <c r="K114" i="20"/>
  <c r="L114" i="20" s="1"/>
  <c r="K115" i="20"/>
  <c r="L115" i="20" s="1"/>
  <c r="K116" i="20"/>
  <c r="L116" i="20" s="1"/>
  <c r="K117" i="20"/>
  <c r="L117" i="20" s="1"/>
  <c r="K118" i="20"/>
  <c r="L118" i="20" s="1"/>
  <c r="K119" i="20"/>
  <c r="L119" i="20" s="1"/>
  <c r="K120" i="20"/>
  <c r="L120" i="20" s="1"/>
  <c r="K121" i="20"/>
  <c r="L121" i="20" s="1"/>
  <c r="K122" i="20"/>
  <c r="L122" i="20" s="1"/>
  <c r="K123" i="20"/>
  <c r="L123" i="20" s="1"/>
  <c r="K124" i="20"/>
  <c r="L124" i="20" s="1"/>
  <c r="K125" i="20"/>
  <c r="L125" i="20" s="1"/>
  <c r="K126" i="20"/>
  <c r="L126" i="20" s="1"/>
  <c r="K127" i="20"/>
  <c r="L127" i="20" s="1"/>
  <c r="K128" i="20"/>
  <c r="L128" i="20" s="1"/>
  <c r="K129" i="20"/>
  <c r="L129" i="20" s="1"/>
  <c r="K130" i="20"/>
  <c r="L130" i="20" s="1"/>
  <c r="K131" i="20"/>
  <c r="L131" i="20" s="1"/>
  <c r="K132" i="20"/>
  <c r="L132" i="20" s="1"/>
  <c r="K133" i="20"/>
  <c r="L133" i="20" s="1"/>
  <c r="K134" i="20"/>
  <c r="L134" i="20" s="1"/>
  <c r="K135" i="20"/>
  <c r="L135" i="20" s="1"/>
  <c r="K136" i="20"/>
  <c r="L136" i="20" s="1"/>
  <c r="K137" i="20"/>
  <c r="L137" i="20" s="1"/>
  <c r="K138" i="20"/>
  <c r="L138" i="20" s="1"/>
  <c r="K139" i="20"/>
  <c r="L139" i="20" s="1"/>
  <c r="K140" i="20"/>
  <c r="L140" i="20" s="1"/>
  <c r="K141" i="20"/>
  <c r="L141" i="20" s="1"/>
  <c r="K142" i="20"/>
  <c r="L142" i="20" s="1"/>
  <c r="K143" i="20"/>
  <c r="L143" i="20" s="1"/>
  <c r="K144" i="20"/>
  <c r="L144" i="20" s="1"/>
  <c r="K145" i="20"/>
  <c r="L145" i="20" s="1"/>
  <c r="K146" i="20"/>
  <c r="L146" i="20" s="1"/>
  <c r="K147" i="20"/>
  <c r="L147" i="20" s="1"/>
  <c r="K148" i="20"/>
  <c r="L148" i="20" s="1"/>
  <c r="K149" i="20"/>
  <c r="L149" i="20" s="1"/>
  <c r="K150" i="20"/>
  <c r="L150" i="20" s="1"/>
  <c r="K151" i="20"/>
  <c r="L151" i="20" s="1"/>
  <c r="K152" i="20"/>
  <c r="L152" i="20" s="1"/>
  <c r="K153" i="20"/>
  <c r="L153" i="20" s="1"/>
  <c r="K154" i="20"/>
  <c r="L154" i="20" s="1"/>
  <c r="K155" i="20"/>
  <c r="L155" i="20" s="1"/>
  <c r="K156" i="20"/>
  <c r="L156" i="20" s="1"/>
  <c r="K157" i="20"/>
  <c r="L157" i="20" s="1"/>
  <c r="K158" i="20"/>
  <c r="L158" i="20" s="1"/>
  <c r="K159" i="20"/>
  <c r="L159" i="20" s="1"/>
  <c r="K160" i="20"/>
  <c r="L160" i="20" s="1"/>
  <c r="K161" i="20"/>
  <c r="L161" i="20" s="1"/>
  <c r="K162" i="20"/>
  <c r="L162" i="20" s="1"/>
  <c r="K163" i="20"/>
  <c r="L163" i="20" s="1"/>
  <c r="K164" i="20"/>
  <c r="L164" i="20" s="1"/>
  <c r="K165" i="20"/>
  <c r="L165" i="20" s="1"/>
  <c r="K166" i="20"/>
  <c r="L166" i="20" s="1"/>
  <c r="K167" i="20"/>
  <c r="L167" i="20" s="1"/>
  <c r="K168" i="20"/>
  <c r="L168" i="20" s="1"/>
  <c r="K169" i="20"/>
  <c r="L169" i="20" s="1"/>
  <c r="K170" i="20"/>
  <c r="L170" i="20" s="1"/>
  <c r="K171" i="20"/>
  <c r="L171" i="20" s="1"/>
  <c r="K172" i="20"/>
  <c r="L172" i="20" s="1"/>
  <c r="K173" i="20"/>
  <c r="L173" i="20" s="1"/>
  <c r="K174" i="20"/>
  <c r="L174" i="20" s="1"/>
  <c r="K175" i="20"/>
  <c r="L175" i="20" s="1"/>
  <c r="K176" i="20"/>
  <c r="L176" i="20" s="1"/>
  <c r="K177" i="20"/>
  <c r="L177" i="20" s="1"/>
  <c r="K178" i="20"/>
  <c r="L178" i="20" s="1"/>
  <c r="K179" i="20"/>
  <c r="L179" i="20" s="1"/>
  <c r="K180" i="20"/>
  <c r="L180" i="20" s="1"/>
  <c r="K181" i="20"/>
  <c r="L181" i="20" s="1"/>
  <c r="K182" i="20"/>
  <c r="L182" i="20" s="1"/>
  <c r="K183" i="20"/>
  <c r="L183" i="20" s="1"/>
  <c r="K184" i="20"/>
  <c r="L184" i="20" s="1"/>
  <c r="K185" i="20"/>
  <c r="L185" i="20" s="1"/>
  <c r="K186" i="20"/>
  <c r="L186" i="20" s="1"/>
  <c r="K187" i="20"/>
  <c r="L187" i="20" s="1"/>
  <c r="K188" i="20"/>
  <c r="L188" i="20" s="1"/>
  <c r="K189" i="20"/>
  <c r="L189" i="20" s="1"/>
  <c r="K190" i="20"/>
  <c r="L190" i="20" s="1"/>
  <c r="K191" i="20"/>
  <c r="L191" i="20" s="1"/>
  <c r="K192" i="20"/>
  <c r="L192" i="20" s="1"/>
  <c r="K193" i="20"/>
  <c r="L193" i="20" s="1"/>
  <c r="K194" i="20"/>
  <c r="L194" i="20" s="1"/>
  <c r="K195" i="20"/>
  <c r="L195" i="20" s="1"/>
  <c r="K196" i="20"/>
  <c r="L196" i="20" s="1"/>
  <c r="K197" i="20"/>
  <c r="L197" i="20" s="1"/>
  <c r="K198" i="20"/>
  <c r="L198" i="20" s="1"/>
  <c r="K199" i="20"/>
  <c r="L199" i="20" s="1"/>
  <c r="K200" i="20"/>
  <c r="L200" i="20" s="1"/>
  <c r="K201" i="20"/>
  <c r="L201" i="20" s="1"/>
  <c r="K202" i="20"/>
  <c r="L202" i="20" s="1"/>
  <c r="K203" i="20"/>
  <c r="L203" i="20" s="1"/>
  <c r="K204" i="20"/>
  <c r="L204" i="20" s="1"/>
  <c r="K205" i="20"/>
  <c r="L205" i="20" s="1"/>
  <c r="K206" i="20"/>
  <c r="L206" i="20" s="1"/>
  <c r="K207" i="20"/>
  <c r="L207" i="20" s="1"/>
  <c r="K208" i="20"/>
  <c r="L208" i="20" s="1"/>
  <c r="K209" i="20"/>
  <c r="L209" i="20" s="1"/>
  <c r="K210" i="20"/>
  <c r="L210" i="20" s="1"/>
  <c r="K211" i="20"/>
  <c r="L211" i="20" s="1"/>
  <c r="K212" i="20"/>
  <c r="L212" i="20" s="1"/>
  <c r="K213" i="20"/>
  <c r="L213" i="20" s="1"/>
  <c r="K214" i="20"/>
  <c r="L214" i="20" s="1"/>
  <c r="K215" i="20"/>
  <c r="L215" i="20" s="1"/>
  <c r="K216" i="20"/>
  <c r="L216" i="20" s="1"/>
  <c r="K217" i="20"/>
  <c r="L217" i="20" s="1"/>
  <c r="K218" i="20"/>
  <c r="L218" i="20" s="1"/>
  <c r="K219" i="20"/>
  <c r="L219" i="20" s="1"/>
  <c r="K220" i="20"/>
  <c r="L220" i="20" s="1"/>
  <c r="K221" i="20"/>
  <c r="L221" i="20" s="1"/>
  <c r="K222" i="20"/>
  <c r="L222" i="20" s="1"/>
  <c r="K223" i="20"/>
  <c r="L223" i="20" s="1"/>
  <c r="K224" i="20"/>
  <c r="L224" i="20" s="1"/>
  <c r="K225" i="20"/>
  <c r="L225" i="20" s="1"/>
  <c r="K226" i="20"/>
  <c r="L226" i="20" s="1"/>
  <c r="K227" i="20"/>
  <c r="L227" i="20" s="1"/>
  <c r="K228" i="20"/>
  <c r="L228" i="20" s="1"/>
  <c r="K229" i="20"/>
  <c r="L229" i="20" s="1"/>
  <c r="K230" i="20"/>
  <c r="L230" i="20" s="1"/>
  <c r="K231" i="20"/>
  <c r="L231" i="20" s="1"/>
  <c r="K232" i="20"/>
  <c r="L232" i="20" s="1"/>
  <c r="K233" i="20"/>
  <c r="L233" i="20" s="1"/>
  <c r="K234" i="20"/>
  <c r="L234" i="20" s="1"/>
  <c r="K235" i="20"/>
  <c r="L235" i="20" s="1"/>
  <c r="K236" i="20"/>
  <c r="L236" i="20" s="1"/>
  <c r="K237" i="20"/>
  <c r="L237" i="20" s="1"/>
  <c r="K238" i="20"/>
  <c r="L238" i="20" s="1"/>
  <c r="K239" i="20"/>
  <c r="L239" i="20" s="1"/>
  <c r="K240" i="20"/>
  <c r="L240" i="20" s="1"/>
  <c r="K241" i="20"/>
  <c r="L241" i="20" s="1"/>
  <c r="K242" i="20"/>
  <c r="L242" i="20" s="1"/>
  <c r="K243" i="20"/>
  <c r="L243" i="20" s="1"/>
  <c r="K244" i="20"/>
  <c r="L244" i="20" s="1"/>
  <c r="K245" i="20"/>
  <c r="L245" i="20" s="1"/>
  <c r="K246" i="20"/>
  <c r="L246" i="20" s="1"/>
  <c r="K247" i="20"/>
  <c r="L247" i="20" s="1"/>
  <c r="K248" i="20"/>
  <c r="L248" i="20" s="1"/>
  <c r="K249" i="20"/>
  <c r="L249" i="20" s="1"/>
  <c r="K250" i="20"/>
  <c r="L250" i="20" s="1"/>
  <c r="K251" i="20"/>
  <c r="L251" i="20" s="1"/>
  <c r="K252" i="20"/>
  <c r="L252" i="20" s="1"/>
  <c r="K253" i="20"/>
  <c r="L253" i="20" s="1"/>
  <c r="K254" i="20"/>
  <c r="L254" i="20" s="1"/>
  <c r="K255" i="20"/>
  <c r="L255" i="20" s="1"/>
  <c r="K256" i="20"/>
  <c r="L256" i="20" s="1"/>
  <c r="K257" i="20"/>
  <c r="L257" i="20" s="1"/>
  <c r="K258" i="20"/>
  <c r="L258" i="20" s="1"/>
  <c r="K259" i="20"/>
  <c r="L259" i="20" s="1"/>
  <c r="K260" i="20"/>
  <c r="L260" i="20" s="1"/>
  <c r="K261" i="20"/>
  <c r="L261" i="20" s="1"/>
  <c r="K262" i="20"/>
  <c r="L262" i="20" s="1"/>
  <c r="K263" i="20"/>
  <c r="L263" i="20" s="1"/>
  <c r="K264" i="20"/>
  <c r="L264" i="20" s="1"/>
  <c r="K265" i="20"/>
  <c r="L265" i="20" s="1"/>
  <c r="K266" i="20"/>
  <c r="L266" i="20" s="1"/>
  <c r="K267" i="20"/>
  <c r="L267" i="20" s="1"/>
  <c r="K268" i="20"/>
  <c r="L268" i="20" s="1"/>
  <c r="K269" i="20"/>
  <c r="L269" i="20" s="1"/>
  <c r="K270" i="20"/>
  <c r="L270" i="20" s="1"/>
  <c r="K271" i="20"/>
  <c r="L271" i="20" s="1"/>
  <c r="K272" i="20"/>
  <c r="L272" i="20" s="1"/>
  <c r="K273" i="20"/>
  <c r="L273" i="20" s="1"/>
  <c r="K274" i="20"/>
  <c r="L274" i="20" s="1"/>
  <c r="K275" i="20"/>
  <c r="L275" i="20" s="1"/>
  <c r="K276" i="20"/>
  <c r="L276" i="20" s="1"/>
  <c r="K277" i="20"/>
  <c r="L277" i="20" s="1"/>
  <c r="K278" i="20"/>
  <c r="L278" i="20" s="1"/>
  <c r="K279" i="20"/>
  <c r="L279" i="20" s="1"/>
  <c r="K280" i="20"/>
  <c r="L280" i="20" s="1"/>
  <c r="K281" i="20"/>
  <c r="L281" i="20" s="1"/>
  <c r="K282" i="20"/>
  <c r="L282" i="20" s="1"/>
  <c r="K283" i="20"/>
  <c r="L283" i="20" s="1"/>
  <c r="K284" i="20"/>
  <c r="L284" i="20" s="1"/>
  <c r="K285" i="20"/>
  <c r="L285" i="20" s="1"/>
  <c r="K286" i="20"/>
  <c r="L286" i="20" s="1"/>
  <c r="K287" i="20"/>
  <c r="L287" i="20" s="1"/>
  <c r="K288" i="20"/>
  <c r="L288" i="20" s="1"/>
  <c r="K289" i="20"/>
  <c r="L289" i="20" s="1"/>
  <c r="K290" i="20"/>
  <c r="L290" i="20" s="1"/>
  <c r="K291" i="20"/>
  <c r="L291" i="20" s="1"/>
  <c r="K292" i="20"/>
  <c r="L292" i="20" s="1"/>
  <c r="K293" i="20"/>
  <c r="L293" i="20" s="1"/>
  <c r="K294" i="20"/>
  <c r="L294" i="20" s="1"/>
  <c r="K295" i="20"/>
  <c r="L295" i="20" s="1"/>
  <c r="K296" i="20"/>
  <c r="L296" i="20" s="1"/>
  <c r="K297" i="20"/>
  <c r="L297" i="20" s="1"/>
  <c r="K298" i="20"/>
  <c r="L298" i="20" s="1"/>
  <c r="K299" i="20"/>
  <c r="L299" i="20" s="1"/>
  <c r="K300" i="20"/>
  <c r="L300" i="20" s="1"/>
  <c r="K301" i="20"/>
  <c r="L301" i="20" s="1"/>
  <c r="K302" i="20"/>
  <c r="L302" i="20" s="1"/>
  <c r="K303" i="20"/>
  <c r="L303" i="20" s="1"/>
  <c r="K304" i="20"/>
  <c r="L304" i="20" s="1"/>
  <c r="K305" i="20"/>
  <c r="L305" i="20" s="1"/>
  <c r="K306" i="20"/>
  <c r="L306" i="20" s="1"/>
  <c r="K307" i="20"/>
  <c r="L307" i="20" s="1"/>
  <c r="K308" i="20"/>
  <c r="L308" i="20" s="1"/>
  <c r="F16" i="20"/>
  <c r="J16" i="20" s="1"/>
  <c r="E16" i="23" s="1"/>
  <c r="C7" i="20"/>
  <c r="B10" i="3"/>
  <c r="F10" i="3" s="1"/>
  <c r="H10" i="3" s="1"/>
  <c r="F15" i="20"/>
  <c r="K15" i="20" s="1"/>
  <c r="L15" i="20" s="1"/>
  <c r="K15" i="23" s="1"/>
  <c r="F14" i="20"/>
  <c r="K14" i="20" s="1"/>
  <c r="F12" i="20"/>
  <c r="K12" i="20" s="1"/>
  <c r="L12" i="20" s="1"/>
  <c r="K12" i="23" s="1"/>
  <c r="F11" i="20"/>
  <c r="F10" i="20"/>
  <c r="F9" i="20"/>
  <c r="K9" i="20" s="1"/>
  <c r="F8" i="20"/>
  <c r="J8" i="20" s="1"/>
  <c r="E8" i="23" s="1"/>
  <c r="F7" i="20"/>
  <c r="I11" i="20"/>
  <c r="G10" i="20"/>
  <c r="J308" i="20"/>
  <c r="J307" i="20"/>
  <c r="J306" i="20"/>
  <c r="J305" i="20"/>
  <c r="J304" i="20"/>
  <c r="J303" i="20"/>
  <c r="J302" i="20"/>
  <c r="J301" i="20"/>
  <c r="J300" i="20"/>
  <c r="J299" i="20"/>
  <c r="J298" i="20"/>
  <c r="J297" i="20"/>
  <c r="J296" i="20"/>
  <c r="J295" i="20"/>
  <c r="J294" i="20"/>
  <c r="J293" i="20"/>
  <c r="J292" i="20"/>
  <c r="J291" i="20"/>
  <c r="J290" i="20"/>
  <c r="J289" i="20"/>
  <c r="J288" i="20"/>
  <c r="J287" i="20"/>
  <c r="J286" i="20"/>
  <c r="J285" i="20"/>
  <c r="J284" i="20"/>
  <c r="J283" i="20"/>
  <c r="J282" i="20"/>
  <c r="J281" i="20"/>
  <c r="J280" i="20"/>
  <c r="J279" i="20"/>
  <c r="J278" i="20"/>
  <c r="J277" i="20"/>
  <c r="J276" i="20"/>
  <c r="J275" i="20"/>
  <c r="J274" i="20"/>
  <c r="J273" i="20"/>
  <c r="J272" i="20"/>
  <c r="J271" i="20"/>
  <c r="J270" i="20"/>
  <c r="J269" i="20"/>
  <c r="J268" i="20"/>
  <c r="J267" i="20"/>
  <c r="J266" i="20"/>
  <c r="J265" i="20"/>
  <c r="J264" i="20"/>
  <c r="J263" i="20"/>
  <c r="J262" i="20"/>
  <c r="J261" i="20"/>
  <c r="J260" i="20"/>
  <c r="J259" i="20"/>
  <c r="J258" i="20"/>
  <c r="J257" i="20"/>
  <c r="J256" i="20"/>
  <c r="J255" i="20"/>
  <c r="J254" i="20"/>
  <c r="J253" i="20"/>
  <c r="J252" i="20"/>
  <c r="J251" i="20"/>
  <c r="J250" i="20"/>
  <c r="J249" i="20"/>
  <c r="J248" i="20"/>
  <c r="J247" i="20"/>
  <c r="J246" i="20"/>
  <c r="J245" i="20"/>
  <c r="J244" i="20"/>
  <c r="J243" i="20"/>
  <c r="J242" i="20"/>
  <c r="J241" i="20"/>
  <c r="J240" i="20"/>
  <c r="J239" i="20"/>
  <c r="J238" i="20"/>
  <c r="J237" i="20"/>
  <c r="J236" i="20"/>
  <c r="J235" i="20"/>
  <c r="J234" i="20"/>
  <c r="J233" i="20"/>
  <c r="J232" i="20"/>
  <c r="J231" i="20"/>
  <c r="J230" i="20"/>
  <c r="J229" i="20"/>
  <c r="J228" i="20"/>
  <c r="J227" i="20"/>
  <c r="J226" i="20"/>
  <c r="J225" i="20"/>
  <c r="J224" i="20"/>
  <c r="J223" i="20"/>
  <c r="J222" i="20"/>
  <c r="J221" i="20"/>
  <c r="J220" i="20"/>
  <c r="J219" i="20"/>
  <c r="J218" i="20"/>
  <c r="J217" i="20"/>
  <c r="J216" i="20"/>
  <c r="J215" i="20"/>
  <c r="J214" i="20"/>
  <c r="J213" i="20"/>
  <c r="J212" i="20"/>
  <c r="J211" i="20"/>
  <c r="J210" i="20"/>
  <c r="J209" i="20"/>
  <c r="J208" i="20"/>
  <c r="J207" i="20"/>
  <c r="J206" i="20"/>
  <c r="J205" i="20"/>
  <c r="J204" i="20"/>
  <c r="J203" i="20"/>
  <c r="J202" i="20"/>
  <c r="J201" i="20"/>
  <c r="J200" i="20"/>
  <c r="J199" i="20"/>
  <c r="J198" i="20"/>
  <c r="J197" i="20"/>
  <c r="J196" i="20"/>
  <c r="J195" i="20"/>
  <c r="J194" i="20"/>
  <c r="J193" i="20"/>
  <c r="J192" i="20"/>
  <c r="J191" i="20"/>
  <c r="J190" i="20"/>
  <c r="J189" i="20"/>
  <c r="J188" i="20"/>
  <c r="J187" i="20"/>
  <c r="J186" i="20"/>
  <c r="J185" i="20"/>
  <c r="J184" i="20"/>
  <c r="J183" i="20"/>
  <c r="J182" i="20"/>
  <c r="J181" i="20"/>
  <c r="J180" i="20"/>
  <c r="J179" i="20"/>
  <c r="J178" i="20"/>
  <c r="J177" i="20"/>
  <c r="J176" i="20"/>
  <c r="J175" i="20"/>
  <c r="J174" i="20"/>
  <c r="J173" i="20"/>
  <c r="J172" i="20"/>
  <c r="J171" i="20"/>
  <c r="J170" i="20"/>
  <c r="J169" i="20"/>
  <c r="J168" i="20"/>
  <c r="J167" i="20"/>
  <c r="J166" i="20"/>
  <c r="J165" i="20"/>
  <c r="J164" i="20"/>
  <c r="J163" i="20"/>
  <c r="J162" i="20"/>
  <c r="J161" i="20"/>
  <c r="J160" i="20"/>
  <c r="J159" i="20"/>
  <c r="J158" i="20"/>
  <c r="J157" i="20"/>
  <c r="J156" i="20"/>
  <c r="J155" i="20"/>
  <c r="J154" i="20"/>
  <c r="J153" i="20"/>
  <c r="J152" i="20"/>
  <c r="J151" i="20"/>
  <c r="J150" i="20"/>
  <c r="J149" i="20"/>
  <c r="J148" i="20"/>
  <c r="J147" i="20"/>
  <c r="J146" i="20"/>
  <c r="J145" i="20"/>
  <c r="J144" i="20"/>
  <c r="J143" i="20"/>
  <c r="J142" i="20"/>
  <c r="J141" i="20"/>
  <c r="J140" i="20"/>
  <c r="J139" i="20"/>
  <c r="J138" i="20"/>
  <c r="J137" i="20"/>
  <c r="J136" i="20"/>
  <c r="J135" i="20"/>
  <c r="J134" i="20"/>
  <c r="J133" i="20"/>
  <c r="J132" i="20"/>
  <c r="J131" i="20"/>
  <c r="J130" i="20"/>
  <c r="J129" i="20"/>
  <c r="J128" i="20"/>
  <c r="J127" i="20"/>
  <c r="J126" i="20"/>
  <c r="J125" i="20"/>
  <c r="J124" i="20"/>
  <c r="J123" i="20"/>
  <c r="J122" i="20"/>
  <c r="J121" i="20"/>
  <c r="J120" i="20"/>
  <c r="J119" i="20"/>
  <c r="J118" i="20"/>
  <c r="J117" i="20"/>
  <c r="J116" i="20"/>
  <c r="J115" i="20"/>
  <c r="J114" i="20"/>
  <c r="J113" i="20"/>
  <c r="J112" i="20"/>
  <c r="J111" i="20"/>
  <c r="J110" i="20"/>
  <c r="J109" i="20"/>
  <c r="J108" i="20"/>
  <c r="J107" i="20"/>
  <c r="J106" i="20"/>
  <c r="J105" i="20"/>
  <c r="J104" i="20"/>
  <c r="J103" i="20"/>
  <c r="J102" i="20"/>
  <c r="J101" i="20"/>
  <c r="J100" i="20"/>
  <c r="J99" i="20"/>
  <c r="J98" i="20"/>
  <c r="J97" i="20"/>
  <c r="J96" i="20"/>
  <c r="J95" i="20"/>
  <c r="J94" i="20"/>
  <c r="J93" i="20"/>
  <c r="J92" i="20"/>
  <c r="E92" i="23" s="1"/>
  <c r="J91" i="20"/>
  <c r="E91" i="23" s="1"/>
  <c r="J90" i="20"/>
  <c r="E90" i="23" s="1"/>
  <c r="J89" i="20"/>
  <c r="E89" i="23" s="1"/>
  <c r="J88" i="20"/>
  <c r="E88" i="23" s="1"/>
  <c r="J87" i="20"/>
  <c r="E87" i="23" s="1"/>
  <c r="J86" i="20"/>
  <c r="E86" i="23" s="1"/>
  <c r="J85" i="20"/>
  <c r="E85" i="23" s="1"/>
  <c r="J84" i="20"/>
  <c r="E84" i="23" s="1"/>
  <c r="J83" i="20"/>
  <c r="E83" i="23" s="1"/>
  <c r="J82" i="20"/>
  <c r="E82" i="23" s="1"/>
  <c r="J81" i="20"/>
  <c r="E81" i="23" s="1"/>
  <c r="J80" i="20"/>
  <c r="J79" i="20"/>
  <c r="E79" i="23" s="1"/>
  <c r="J78" i="20"/>
  <c r="E78" i="23" s="1"/>
  <c r="J77" i="20"/>
  <c r="E77" i="23" s="1"/>
  <c r="J76" i="20"/>
  <c r="E76" i="23" s="1"/>
  <c r="J75" i="20"/>
  <c r="E75" i="23" s="1"/>
  <c r="J74" i="20"/>
  <c r="E74" i="23" s="1"/>
  <c r="J73" i="20"/>
  <c r="E73" i="23" s="1"/>
  <c r="J72" i="20"/>
  <c r="E72" i="23" s="1"/>
  <c r="J71" i="20"/>
  <c r="E71" i="23" s="1"/>
  <c r="J70" i="20"/>
  <c r="E70" i="23" s="1"/>
  <c r="J68" i="20"/>
  <c r="E68" i="23" s="1"/>
  <c r="J66" i="20"/>
  <c r="E66" i="23" s="1"/>
  <c r="J65" i="20"/>
  <c r="E65" i="23" s="1"/>
  <c r="J64" i="20"/>
  <c r="E64" i="23" s="1"/>
  <c r="J63" i="20"/>
  <c r="E63" i="23" s="1"/>
  <c r="J62" i="20"/>
  <c r="E62" i="23" s="1"/>
  <c r="J61" i="20"/>
  <c r="E61" i="23" s="1"/>
  <c r="J60" i="20"/>
  <c r="E60" i="23" s="1"/>
  <c r="J59" i="20"/>
  <c r="E59" i="23" s="1"/>
  <c r="J58" i="20"/>
  <c r="E58" i="23" s="1"/>
  <c r="J57" i="20"/>
  <c r="E57" i="23" s="1"/>
  <c r="J56" i="20"/>
  <c r="J55" i="20"/>
  <c r="E55" i="23" s="1"/>
  <c r="J54" i="20"/>
  <c r="E54" i="23" s="1"/>
  <c r="J53" i="20"/>
  <c r="E53" i="23" s="1"/>
  <c r="J52" i="20"/>
  <c r="E52" i="23" s="1"/>
  <c r="J51" i="20"/>
  <c r="E51" i="23" s="1"/>
  <c r="J50" i="20"/>
  <c r="E50" i="23" s="1"/>
  <c r="J49" i="20"/>
  <c r="E49" i="23" s="1"/>
  <c r="J48" i="20"/>
  <c r="E48" i="23" s="1"/>
  <c r="J46" i="20"/>
  <c r="E46" i="23" s="1"/>
  <c r="J45" i="20"/>
  <c r="E45" i="23" s="1"/>
  <c r="J43" i="20"/>
  <c r="E43" i="23" s="1"/>
  <c r="J42" i="20"/>
  <c r="E42" i="23" s="1"/>
  <c r="J41" i="20"/>
  <c r="E41" i="23" s="1"/>
  <c r="J40" i="20"/>
  <c r="E40" i="23" s="1"/>
  <c r="J37" i="20"/>
  <c r="E37" i="23" s="1"/>
  <c r="J36" i="20"/>
  <c r="J35" i="20"/>
  <c r="E35" i="23" s="1"/>
  <c r="J34" i="20"/>
  <c r="J33" i="20"/>
  <c r="E33" i="23" s="1"/>
  <c r="J32" i="20"/>
  <c r="E32" i="23" s="1"/>
  <c r="J31" i="20"/>
  <c r="E31" i="23" s="1"/>
  <c r="J30" i="20"/>
  <c r="E30" i="23" s="1"/>
  <c r="J28" i="20"/>
  <c r="E28" i="23" s="1"/>
  <c r="J27" i="20"/>
  <c r="E27" i="23" s="1"/>
  <c r="J26" i="20"/>
  <c r="E26" i="23" s="1"/>
  <c r="J25" i="20"/>
  <c r="E25" i="23" s="1"/>
  <c r="J24" i="20"/>
  <c r="E24" i="23" s="1"/>
  <c r="J23" i="20"/>
  <c r="E23" i="23" s="1"/>
  <c r="J22" i="20"/>
  <c r="E22" i="23" s="1"/>
  <c r="J21" i="20"/>
  <c r="E21" i="23" s="1"/>
  <c r="J20" i="20"/>
  <c r="E20" i="23" s="1"/>
  <c r="J19" i="20"/>
  <c r="E19" i="23" s="1"/>
  <c r="J18" i="20"/>
  <c r="E18" i="23" s="1"/>
  <c r="E19" i="10"/>
  <c r="G11" i="10" s="1"/>
  <c r="K11" i="10" s="1"/>
  <c r="G14" i="11"/>
  <c r="J17" i="20"/>
  <c r="E17" i="23" s="1"/>
  <c r="L20" i="20"/>
  <c r="K20" i="23" s="1"/>
  <c r="J15" i="20" l="1"/>
  <c r="E15" i="23" s="1"/>
  <c r="H309" i="20"/>
  <c r="J9" i="20"/>
  <c r="E9" i="23" s="1"/>
  <c r="E42" i="27"/>
  <c r="E82" i="27"/>
  <c r="E122" i="27"/>
  <c r="E162" i="27"/>
  <c r="E202" i="27"/>
  <c r="E43" i="27"/>
  <c r="E91" i="27"/>
  <c r="E123" i="27"/>
  <c r="E155" i="27"/>
  <c r="E179" i="27"/>
  <c r="E195" i="27"/>
  <c r="E26" i="27"/>
  <c r="E98" i="27"/>
  <c r="E35" i="27"/>
  <c r="E59" i="27"/>
  <c r="E99" i="27"/>
  <c r="E139" i="27"/>
  <c r="E171" i="27"/>
  <c r="E187" i="27"/>
  <c r="E211" i="27"/>
  <c r="E96" i="23"/>
  <c r="E104" i="23"/>
  <c r="E28" i="27"/>
  <c r="E36" i="27"/>
  <c r="E44" i="27"/>
  <c r="E52" i="27"/>
  <c r="E60" i="27"/>
  <c r="E68" i="27"/>
  <c r="E76" i="27"/>
  <c r="E84" i="27"/>
  <c r="E92" i="27"/>
  <c r="E100" i="27"/>
  <c r="E108" i="27"/>
  <c r="E116" i="27"/>
  <c r="E132" i="27"/>
  <c r="E140" i="27"/>
  <c r="E156" i="27"/>
  <c r="E164" i="27"/>
  <c r="E172" i="27"/>
  <c r="E180" i="27"/>
  <c r="E188" i="27"/>
  <c r="E196" i="27"/>
  <c r="E204" i="27"/>
  <c r="E212" i="27"/>
  <c r="M8" i="3"/>
  <c r="C8" i="3" s="1"/>
  <c r="E50" i="27"/>
  <c r="E90" i="27"/>
  <c r="E130" i="27"/>
  <c r="E170" i="27"/>
  <c r="E210" i="27"/>
  <c r="E95" i="23"/>
  <c r="E21" i="27"/>
  <c r="E37" i="27"/>
  <c r="E61" i="27"/>
  <c r="E77" i="27"/>
  <c r="E85" i="27"/>
  <c r="E93" i="27"/>
  <c r="E109" i="27"/>
  <c r="E117" i="27"/>
  <c r="E133" i="27"/>
  <c r="E141" i="27"/>
  <c r="E149" i="27"/>
  <c r="E157" i="27"/>
  <c r="E165" i="27"/>
  <c r="E173" i="27"/>
  <c r="E181" i="27"/>
  <c r="E189" i="27"/>
  <c r="E197" i="27"/>
  <c r="E205" i="27"/>
  <c r="E102" i="23"/>
  <c r="E74" i="27"/>
  <c r="E178" i="27"/>
  <c r="E83" i="27"/>
  <c r="E147" i="27"/>
  <c r="E53" i="27"/>
  <c r="E98" i="23"/>
  <c r="E38" i="27"/>
  <c r="E46" i="27"/>
  <c r="E54" i="27"/>
  <c r="E62" i="27"/>
  <c r="E70" i="27"/>
  <c r="E78" i="27"/>
  <c r="E86" i="27"/>
  <c r="E94" i="27"/>
  <c r="E102" i="27"/>
  <c r="E110" i="27"/>
  <c r="E118" i="27"/>
  <c r="E126" i="27"/>
  <c r="E134" i="27"/>
  <c r="E142" i="27"/>
  <c r="E150" i="27"/>
  <c r="E158" i="27"/>
  <c r="E166" i="27"/>
  <c r="E174" i="27"/>
  <c r="E182" i="27"/>
  <c r="E190" i="27"/>
  <c r="E198" i="27"/>
  <c r="E206" i="27"/>
  <c r="M10" i="3"/>
  <c r="C10" i="3" s="1"/>
  <c r="E66" i="27"/>
  <c r="E154" i="27"/>
  <c r="E67" i="27"/>
  <c r="E29" i="27"/>
  <c r="E99" i="23"/>
  <c r="E23" i="27"/>
  <c r="E31" i="27"/>
  <c r="E39" i="27"/>
  <c r="E47" i="27"/>
  <c r="E55" i="27"/>
  <c r="E71" i="27"/>
  <c r="E79" i="27"/>
  <c r="E87" i="27"/>
  <c r="E95" i="27"/>
  <c r="E103" i="27"/>
  <c r="E111" i="27"/>
  <c r="E119" i="27"/>
  <c r="E127" i="27"/>
  <c r="E143" i="27"/>
  <c r="E151" i="27"/>
  <c r="E159" i="27"/>
  <c r="E167" i="27"/>
  <c r="E175" i="27"/>
  <c r="E183" i="27"/>
  <c r="E191" i="27"/>
  <c r="E199" i="27"/>
  <c r="E207" i="27"/>
  <c r="E114" i="27"/>
  <c r="E107" i="27"/>
  <c r="E131" i="27"/>
  <c r="E163" i="27"/>
  <c r="E203" i="27"/>
  <c r="E97" i="23"/>
  <c r="E45" i="27"/>
  <c r="E100" i="23"/>
  <c r="E24" i="27"/>
  <c r="E32" i="27"/>
  <c r="E40" i="27"/>
  <c r="E56" i="27"/>
  <c r="E64" i="27"/>
  <c r="E80" i="27"/>
  <c r="E88" i="27"/>
  <c r="E96" i="27"/>
  <c r="E104" i="27"/>
  <c r="E112" i="27"/>
  <c r="E120" i="27"/>
  <c r="E128" i="27"/>
  <c r="E136" i="27"/>
  <c r="E144" i="27"/>
  <c r="E152" i="27"/>
  <c r="E160" i="27"/>
  <c r="E168" i="27"/>
  <c r="E176" i="27"/>
  <c r="E192" i="27"/>
  <c r="E200" i="27"/>
  <c r="E208" i="27"/>
  <c r="E94" i="23"/>
  <c r="E58" i="27"/>
  <c r="E106" i="27"/>
  <c r="E146" i="27"/>
  <c r="E194" i="27"/>
  <c r="M9" i="3"/>
  <c r="C9" i="3" s="1"/>
  <c r="E103" i="23"/>
  <c r="E51" i="27"/>
  <c r="E115" i="27"/>
  <c r="J10" i="20"/>
  <c r="E10" i="23" s="1"/>
  <c r="E93" i="23"/>
  <c r="E101" i="23"/>
  <c r="E33" i="27"/>
  <c r="E41" i="27"/>
  <c r="E49" i="27"/>
  <c r="E65" i="27"/>
  <c r="E73" i="27"/>
  <c r="E81" i="27"/>
  <c r="E89" i="27"/>
  <c r="E97" i="27"/>
  <c r="E105" i="27"/>
  <c r="E113" i="27"/>
  <c r="E121" i="27"/>
  <c r="E129" i="27"/>
  <c r="E137" i="27"/>
  <c r="E145" i="27"/>
  <c r="E153" i="27"/>
  <c r="E161" i="27"/>
  <c r="E169" i="27"/>
  <c r="E177" i="27"/>
  <c r="E185" i="27"/>
  <c r="E193" i="27"/>
  <c r="E201" i="27"/>
  <c r="E209" i="27"/>
  <c r="L40" i="20"/>
  <c r="K40" i="23" s="1"/>
  <c r="C7" i="3"/>
  <c r="D7" i="3" s="1"/>
  <c r="E309" i="20"/>
  <c r="L68" i="20"/>
  <c r="K68" i="23" s="1"/>
  <c r="J14" i="20"/>
  <c r="E14" i="23" s="1"/>
  <c r="F309" i="20"/>
  <c r="C6" i="3"/>
  <c r="D6" i="3" s="1"/>
  <c r="E80" i="23"/>
  <c r="F5" i="3"/>
  <c r="H5" i="3" s="1"/>
  <c r="D5" i="3"/>
  <c r="E27" i="27"/>
  <c r="E30" i="27"/>
  <c r="E48" i="27"/>
  <c r="E63" i="27"/>
  <c r="E124" i="27"/>
  <c r="E148" i="27"/>
  <c r="E184" i="27"/>
  <c r="E69" i="27"/>
  <c r="E75" i="27"/>
  <c r="E22" i="27"/>
  <c r="E25" i="27"/>
  <c r="E34" i="27"/>
  <c r="E57" i="27"/>
  <c r="E101" i="27"/>
  <c r="E125" i="27"/>
  <c r="E72" i="27"/>
  <c r="E135" i="27"/>
  <c r="E186" i="27"/>
  <c r="E138" i="27"/>
  <c r="E56" i="23"/>
  <c r="J12" i="20"/>
  <c r="E12" i="23" s="1"/>
  <c r="K41" i="23"/>
  <c r="K16" i="20"/>
  <c r="L16" i="20" s="1"/>
  <c r="K16" i="23" s="1"/>
  <c r="K44" i="23"/>
  <c r="G26" i="11"/>
  <c r="K42" i="23"/>
  <c r="K43" i="23"/>
  <c r="G16" i="11"/>
  <c r="G18" i="11" s="1"/>
  <c r="G20" i="11" s="1"/>
  <c r="G13" i="10"/>
  <c r="K13" i="10" s="1"/>
  <c r="G15" i="10"/>
  <c r="K15" i="10" s="1"/>
  <c r="B11" i="3"/>
  <c r="B14" i="3" s="1"/>
  <c r="L24" i="20"/>
  <c r="K24" i="23" s="1"/>
  <c r="L32" i="20"/>
  <c r="K32" i="23" s="1"/>
  <c r="L25" i="20"/>
  <c r="K25" i="23" s="1"/>
  <c r="L23" i="20"/>
  <c r="K23" i="23" s="1"/>
  <c r="L9" i="20"/>
  <c r="K9" i="23" s="1"/>
  <c r="L19" i="20"/>
  <c r="K19" i="23" s="1"/>
  <c r="L13" i="20"/>
  <c r="K13" i="23" s="1"/>
  <c r="K17" i="23"/>
  <c r="L29" i="20"/>
  <c r="K29" i="23" s="1"/>
  <c r="L14" i="20"/>
  <c r="K14" i="23" s="1"/>
  <c r="L18" i="20"/>
  <c r="K18" i="23" s="1"/>
  <c r="L22" i="20"/>
  <c r="K22" i="23" s="1"/>
  <c r="L26" i="20"/>
  <c r="K26" i="23" s="1"/>
  <c r="L28" i="20"/>
  <c r="K28" i="23" s="1"/>
  <c r="E34" i="23"/>
  <c r="E38" i="23"/>
  <c r="E36" i="23"/>
  <c r="I309" i="20"/>
  <c r="L36" i="20"/>
  <c r="K36" i="23" s="1"/>
  <c r="G309" i="20"/>
  <c r="C309" i="20"/>
  <c r="J7" i="20"/>
  <c r="K7" i="20"/>
  <c r="L7" i="20" s="1"/>
  <c r="L35" i="20"/>
  <c r="K35" i="23" s="1"/>
  <c r="L31" i="20"/>
  <c r="K31" i="23" s="1"/>
  <c r="L27" i="20"/>
  <c r="K27" i="23" s="1"/>
  <c r="G17" i="10"/>
  <c r="L30" i="20"/>
  <c r="K30" i="23" s="1"/>
  <c r="K38" i="23"/>
  <c r="K92" i="23"/>
  <c r="K10" i="20"/>
  <c r="L10" i="20" s="1"/>
  <c r="K10" i="23" s="1"/>
  <c r="K34" i="23"/>
  <c r="K11" i="20"/>
  <c r="L11" i="20" s="1"/>
  <c r="K11" i="23" s="1"/>
  <c r="J11" i="20"/>
  <c r="E11" i="23" s="1"/>
  <c r="L33" i="20"/>
  <c r="K33" i="23" s="1"/>
  <c r="K8" i="20"/>
  <c r="E105" i="23" l="1"/>
  <c r="J309" i="20"/>
  <c r="M11" i="3"/>
  <c r="E213" i="27"/>
  <c r="F11" i="3"/>
  <c r="L8" i="20"/>
  <c r="K8" i="23" s="1"/>
  <c r="K105" i="23" s="1"/>
  <c r="M11" i="10"/>
  <c r="O11" i="10" s="1"/>
  <c r="M13" i="10"/>
  <c r="O13" i="10" s="1"/>
  <c r="M15" i="10"/>
  <c r="O15" i="10" s="1"/>
  <c r="D10" i="3"/>
  <c r="K17" i="10"/>
  <c r="G19" i="10"/>
  <c r="D9" i="3"/>
  <c r="F14" i="3" l="1"/>
  <c r="K5" i="3" s="1"/>
  <c r="K7" i="3" s="1"/>
  <c r="H11" i="3"/>
  <c r="H14" i="3" s="1"/>
  <c r="M8" i="23"/>
  <c r="M9" i="23" s="1"/>
  <c r="M10" i="23" s="1"/>
  <c r="M11" i="23" s="1"/>
  <c r="M12" i="23" s="1"/>
  <c r="M13" i="23" s="1"/>
  <c r="M14" i="23" s="1"/>
  <c r="M15" i="23" s="1"/>
  <c r="M16" i="23" s="1"/>
  <c r="M17" i="23" s="1"/>
  <c r="M18" i="23" s="1"/>
  <c r="M19" i="23" s="1"/>
  <c r="M20" i="23" s="1"/>
  <c r="M21" i="23" s="1"/>
  <c r="M22" i="23" s="1"/>
  <c r="M23" i="23" s="1"/>
  <c r="M24" i="23" s="1"/>
  <c r="M25" i="23" s="1"/>
  <c r="M26" i="23" s="1"/>
  <c r="M27" i="23" s="1"/>
  <c r="M28" i="23" s="1"/>
  <c r="M29" i="23" s="1"/>
  <c r="M30" i="23" s="1"/>
  <c r="M31" i="23" s="1"/>
  <c r="M32" i="23" s="1"/>
  <c r="M33" i="23" s="1"/>
  <c r="M34" i="23" s="1"/>
  <c r="M35" i="23" s="1"/>
  <c r="M36" i="23" s="1"/>
  <c r="M37" i="23" s="1"/>
  <c r="M38" i="23" s="1"/>
  <c r="M39" i="23" s="1"/>
  <c r="M40" i="23" s="1"/>
  <c r="G22" i="11"/>
  <c r="G24" i="11" s="1"/>
  <c r="M17" i="10" s="1"/>
  <c r="O17" i="10" s="1"/>
  <c r="D8" i="3"/>
  <c r="C11" i="3"/>
  <c r="K19" i="10"/>
  <c r="M41" i="23" l="1"/>
  <c r="M42" i="23" s="1"/>
  <c r="M43" i="23" s="1"/>
  <c r="M44" i="23" s="1"/>
  <c r="C3" i="23"/>
  <c r="F8" i="23" s="1"/>
  <c r="D11" i="3"/>
  <c r="D14" i="3" s="1"/>
  <c r="C14" i="3"/>
  <c r="M45" i="23" l="1"/>
  <c r="M46" i="23" s="1"/>
  <c r="M47" i="23" s="1"/>
  <c r="M48" i="23" s="1"/>
  <c r="M49" i="23" s="1"/>
  <c r="M50" i="23" s="1"/>
  <c r="M51" i="23" s="1"/>
  <c r="M52" i="23" s="1"/>
  <c r="M53" i="23" s="1"/>
  <c r="M54" i="23" s="1"/>
  <c r="M55" i="23" s="1"/>
  <c r="M56" i="23" s="1"/>
  <c r="M57" i="23" s="1"/>
  <c r="M58" i="23" s="1"/>
  <c r="M59" i="23" s="1"/>
  <c r="M60" i="23" s="1"/>
  <c r="M61" i="23" s="1"/>
  <c r="M62" i="23" s="1"/>
  <c r="M63" i="23" s="1"/>
  <c r="M64" i="23" s="1"/>
  <c r="O8" i="23"/>
  <c r="H8" i="23"/>
  <c r="N8" i="23"/>
  <c r="M65" i="23" l="1"/>
  <c r="M66" i="23" s="1"/>
  <c r="M67" i="23" s="1"/>
  <c r="M68" i="23" s="1"/>
  <c r="M69" i="23" s="1"/>
  <c r="M70" i="23" s="1"/>
  <c r="M71" i="23" s="1"/>
  <c r="M72" i="23" s="1"/>
  <c r="M73" i="23" s="1"/>
  <c r="M74" i="23" s="1"/>
  <c r="M75" i="23" s="1"/>
  <c r="M76" i="23" s="1"/>
  <c r="M77" i="23" s="1"/>
  <c r="M78" i="23" s="1"/>
  <c r="M79" i="23" s="1"/>
  <c r="M80" i="23" s="1"/>
  <c r="M81" i="23" s="1"/>
  <c r="M82" i="23" s="1"/>
  <c r="M83" i="23" s="1"/>
  <c r="M84" i="23" s="1"/>
  <c r="M85" i="23" s="1"/>
  <c r="M86" i="23" s="1"/>
  <c r="M87" i="23" s="1"/>
  <c r="M88" i="23" s="1"/>
  <c r="M89" i="23" s="1"/>
  <c r="M90" i="23" s="1"/>
  <c r="M91" i="23" s="1"/>
  <c r="M92" i="23" s="1"/>
  <c r="C9" i="23"/>
  <c r="F9" i="23"/>
  <c r="I8" i="23"/>
  <c r="O9" i="23" l="1"/>
  <c r="H9" i="23"/>
  <c r="N9" i="23"/>
  <c r="I9" i="23" l="1"/>
  <c r="C10" i="23"/>
  <c r="F10" i="23"/>
  <c r="N10" i="23" l="1"/>
  <c r="C11" i="23" s="1"/>
  <c r="O10" i="23"/>
  <c r="H10" i="23"/>
  <c r="F11" i="23" l="1"/>
  <c r="O11" i="23" s="1"/>
  <c r="I10" i="23"/>
  <c r="N11" i="23" l="1"/>
  <c r="F12" i="23" s="1"/>
  <c r="H11" i="23"/>
  <c r="I11" i="23" s="1"/>
  <c r="C12" i="23" l="1"/>
  <c r="N12" i="23" s="1"/>
  <c r="C13" i="23" s="1"/>
  <c r="N13" i="23" s="1"/>
  <c r="C14" i="23" s="1"/>
  <c r="H12" i="23"/>
  <c r="O12" i="23"/>
  <c r="F14" i="23" l="1"/>
  <c r="O14" i="23" s="1"/>
  <c r="I12" i="23"/>
  <c r="I13" i="23" s="1"/>
  <c r="N14" i="23" l="1"/>
  <c r="C15" i="23" s="1"/>
  <c r="H14" i="23"/>
  <c r="I14" i="23" s="1"/>
  <c r="F15" i="23" l="1"/>
  <c r="N15" i="23" s="1"/>
  <c r="C16" i="23" l="1"/>
  <c r="F16" i="23"/>
  <c r="O16" i="23" s="1"/>
  <c r="O15" i="23"/>
  <c r="H15" i="23"/>
  <c r="I15" i="23" s="1"/>
  <c r="H16" i="23" l="1"/>
  <c r="I16" i="23" s="1"/>
  <c r="N16" i="23"/>
  <c r="C17" i="23" s="1"/>
  <c r="F17" i="23" l="1"/>
  <c r="O17" i="23" s="1"/>
  <c r="N17" i="23" l="1"/>
  <c r="C18" i="23" s="1"/>
  <c r="H17" i="23"/>
  <c r="I17" i="23" s="1"/>
  <c r="F18" i="23" l="1"/>
  <c r="O18" i="23" s="1"/>
  <c r="H18" i="23" l="1"/>
  <c r="I18" i="23" s="1"/>
  <c r="N18" i="23"/>
  <c r="F19" i="23" s="1"/>
  <c r="H19" i="23" s="1"/>
  <c r="O19" i="23" l="1"/>
  <c r="C19" i="23"/>
  <c r="N19" i="23" s="1"/>
  <c r="F20" i="23" s="1"/>
  <c r="I19" i="23"/>
  <c r="C20" i="23" l="1"/>
  <c r="N20" i="23" s="1"/>
  <c r="C21" i="23" s="1"/>
  <c r="H20" i="23"/>
  <c r="I20" i="23" s="1"/>
  <c r="O20" i="23"/>
  <c r="F21" i="23" l="1"/>
  <c r="N21" i="23" s="1"/>
  <c r="F22" i="23" s="1"/>
  <c r="O21" i="23" l="1"/>
  <c r="H21" i="23"/>
  <c r="I21" i="23" s="1"/>
  <c r="C22" i="23"/>
  <c r="N22" i="23" s="1"/>
  <c r="C23" i="23" s="1"/>
  <c r="O22" i="23"/>
  <c r="H22" i="23"/>
  <c r="I22" i="23" l="1"/>
  <c r="F23" i="23"/>
  <c r="N23" i="23" s="1"/>
  <c r="O23" i="23" l="1"/>
  <c r="H23" i="23"/>
  <c r="I23" i="23" s="1"/>
  <c r="F24" i="23"/>
  <c r="C24" i="23"/>
  <c r="N24" i="23" l="1"/>
  <c r="C25" i="23" s="1"/>
  <c r="O24" i="23"/>
  <c r="H24" i="23"/>
  <c r="I24" i="23" s="1"/>
  <c r="F25" i="23" l="1"/>
  <c r="O25" i="23" s="1"/>
  <c r="N25" i="23" l="1"/>
  <c r="C26" i="23" s="1"/>
  <c r="H25" i="23"/>
  <c r="I25" i="23" s="1"/>
  <c r="F26" i="23" l="1"/>
  <c r="H26" i="23" s="1"/>
  <c r="I26" i="23" s="1"/>
  <c r="N26" i="23" l="1"/>
  <c r="F27" i="23" s="1"/>
  <c r="O26" i="23"/>
  <c r="C27" i="23" l="1"/>
  <c r="N27" i="23" s="1"/>
  <c r="F28" i="23" s="1"/>
  <c r="H27" i="23"/>
  <c r="I27" i="23" s="1"/>
  <c r="O27" i="23"/>
  <c r="C28" i="23" l="1"/>
  <c r="N28" i="23" s="1"/>
  <c r="F29" i="23" s="1"/>
  <c r="H28" i="23"/>
  <c r="I28" i="23" s="1"/>
  <c r="O28" i="23"/>
  <c r="C29" i="23" l="1"/>
  <c r="N29" i="23" s="1"/>
  <c r="H29" i="23"/>
  <c r="I29" i="23" s="1"/>
  <c r="O29" i="23"/>
  <c r="C30" i="23" l="1"/>
  <c r="F30" i="23"/>
  <c r="H30" i="23" l="1"/>
  <c r="I30" i="23" s="1"/>
  <c r="O30" i="23"/>
  <c r="N30" i="23"/>
  <c r="C31" i="23" l="1"/>
  <c r="F31" i="23"/>
  <c r="O31" i="23" l="1"/>
  <c r="H31" i="23"/>
  <c r="I31" i="23" s="1"/>
  <c r="N31" i="23"/>
  <c r="F32" i="23" l="1"/>
  <c r="C32" i="23"/>
  <c r="N32" i="23" l="1"/>
  <c r="F33" i="23" s="1"/>
  <c r="O32" i="23"/>
  <c r="H32" i="23"/>
  <c r="I32" i="23" s="1"/>
  <c r="C33" i="23" l="1"/>
  <c r="N33" i="23" s="1"/>
  <c r="F34" i="23" s="1"/>
  <c r="O33" i="23"/>
  <c r="H33" i="23"/>
  <c r="I33" i="23" s="1"/>
  <c r="C34" i="23" l="1"/>
  <c r="N34" i="23" s="1"/>
  <c r="C35" i="23" s="1"/>
  <c r="O34" i="23"/>
  <c r="H34" i="23"/>
  <c r="I34" i="23" s="1"/>
  <c r="F35" i="23" l="1"/>
  <c r="N35" i="23" s="1"/>
  <c r="O35" i="23" l="1"/>
  <c r="H35" i="23"/>
  <c r="I35" i="23" s="1"/>
  <c r="C36" i="23"/>
  <c r="F36" i="23"/>
  <c r="O36" i="23" l="1"/>
  <c r="H36" i="23"/>
  <c r="I36" i="23" s="1"/>
  <c r="N36" i="23"/>
  <c r="F37" i="23" l="1"/>
  <c r="C37" i="23"/>
  <c r="N37" i="23" l="1"/>
  <c r="F38" i="23" s="1"/>
  <c r="H38" i="23" s="1"/>
  <c r="O37" i="23"/>
  <c r="H37" i="23"/>
  <c r="I37" i="23" s="1"/>
  <c r="I38" i="23" l="1"/>
  <c r="K19" i="3" s="1"/>
  <c r="I39" i="23"/>
  <c r="C38" i="23"/>
  <c r="N38" i="23" s="1"/>
  <c r="C39" i="23" s="1"/>
  <c r="N39" i="23" s="1"/>
  <c r="O38" i="23"/>
  <c r="K20" i="3" l="1"/>
  <c r="K21" i="3"/>
  <c r="F40" i="23"/>
  <c r="K22" i="3" l="1"/>
  <c r="K24" i="3" s="1"/>
  <c r="O40" i="23"/>
  <c r="C40" i="23"/>
  <c r="N40" i="23" s="1"/>
  <c r="F41" i="23" s="1"/>
  <c r="O41" i="23" s="1"/>
  <c r="H40" i="23"/>
  <c r="K8" i="27" l="1"/>
  <c r="K213" i="27" s="1"/>
  <c r="I40" i="23"/>
  <c r="C41" i="23"/>
  <c r="N41" i="23" s="1"/>
  <c r="F42" i="23" l="1"/>
  <c r="H41" i="23"/>
  <c r="I41" i="23" l="1"/>
  <c r="O42" i="23"/>
  <c r="C42" i="23"/>
  <c r="N42" i="23" s="1"/>
  <c r="F43" i="23" s="1"/>
  <c r="O43" i="23" s="1"/>
  <c r="H42" i="23"/>
  <c r="I42" i="23" l="1"/>
  <c r="C43" i="23"/>
  <c r="N43" i="23" s="1"/>
  <c r="F44" i="23" l="1"/>
  <c r="C44" i="23"/>
  <c r="H43" i="23"/>
  <c r="N44" i="23" l="1"/>
  <c r="F45" i="23" s="1"/>
  <c r="O45" i="23" s="1"/>
  <c r="I43" i="23"/>
  <c r="O44" i="23"/>
  <c r="C45" i="23" l="1"/>
  <c r="N45" i="23" s="1"/>
  <c r="H44" i="23"/>
  <c r="F46" i="23" l="1"/>
  <c r="H45" i="23"/>
  <c r="I44" i="23"/>
  <c r="I45" i="23" l="1"/>
  <c r="C46" i="23"/>
  <c r="N46" i="23" s="1"/>
  <c r="O46" i="23" l="1"/>
  <c r="H46" i="23"/>
  <c r="F47" i="23"/>
  <c r="I46" i="23" l="1"/>
  <c r="C47" i="23"/>
  <c r="N47" i="23" s="1"/>
  <c r="F48" i="23" l="1"/>
  <c r="H47" i="23"/>
  <c r="O47" i="23"/>
  <c r="C48" i="23" l="1"/>
  <c r="N48" i="23" s="1"/>
  <c r="I47" i="23"/>
  <c r="H48" i="23"/>
  <c r="O48" i="23"/>
  <c r="I48" i="23" l="1"/>
  <c r="C49" i="23"/>
  <c r="F49" i="23"/>
  <c r="O49" i="23" s="1"/>
  <c r="N49" i="23" l="1"/>
  <c r="H49" i="23"/>
  <c r="I49" i="23" s="1"/>
  <c r="F50" i="23" l="1"/>
  <c r="C50" i="23"/>
  <c r="N50" i="23" l="1"/>
  <c r="F51" i="23" s="1"/>
  <c r="O50" i="23"/>
  <c r="H50" i="23"/>
  <c r="I50" i="23" s="1"/>
  <c r="O51" i="23" l="1"/>
  <c r="H51" i="23"/>
  <c r="I51" i="23" s="1"/>
  <c r="C51" i="23"/>
  <c r="N51" i="23" s="1"/>
  <c r="F52" i="23" s="1"/>
  <c r="C52" i="23" l="1"/>
  <c r="N52" i="23" s="1"/>
  <c r="F53" i="23" s="1"/>
  <c r="H52" i="23"/>
  <c r="I52" i="23" s="1"/>
  <c r="O52" i="23"/>
  <c r="C53" i="23" l="1"/>
  <c r="N53" i="23" s="1"/>
  <c r="H53" i="23" l="1"/>
  <c r="I53" i="23" s="1"/>
  <c r="O53" i="23"/>
  <c r="F54" i="23"/>
  <c r="C54" i="23" l="1"/>
  <c r="N54" i="23" l="1"/>
  <c r="F55" i="23" s="1"/>
  <c r="H54" i="23"/>
  <c r="I54" i="23" s="1"/>
  <c r="O54" i="23"/>
  <c r="C55" i="23" l="1"/>
  <c r="N55" i="23" s="1"/>
  <c r="F56" i="23" s="1"/>
  <c r="O55" i="23"/>
  <c r="H55" i="23"/>
  <c r="I55" i="23" s="1"/>
  <c r="C56" i="23" l="1"/>
  <c r="N56" i="23" s="1"/>
  <c r="O56" i="23" l="1"/>
  <c r="H56" i="23"/>
  <c r="C57" i="23" l="1"/>
  <c r="F57" i="23"/>
  <c r="I56" i="23"/>
  <c r="N57" i="23" l="1"/>
  <c r="O57" i="23"/>
  <c r="H57" i="23"/>
  <c r="I57" i="23" s="1"/>
  <c r="C58" i="23" l="1"/>
  <c r="F58" i="23"/>
  <c r="N58" i="23" l="1"/>
  <c r="O58" i="23"/>
  <c r="H58" i="23"/>
  <c r="I58" i="23" s="1"/>
  <c r="F59" i="23" l="1"/>
  <c r="C59" i="23"/>
  <c r="N59" i="23" l="1"/>
  <c r="F60" i="23" s="1"/>
  <c r="H59" i="23"/>
  <c r="I59" i="23" s="1"/>
  <c r="O59" i="23"/>
  <c r="C60" i="23" l="1"/>
  <c r="N60" i="23" s="1"/>
  <c r="F61" i="23" s="1"/>
  <c r="H60" i="23"/>
  <c r="I60" i="23" s="1"/>
  <c r="O60" i="23"/>
  <c r="C61" i="23" l="1"/>
  <c r="N61" i="23" s="1"/>
  <c r="C62" i="23" s="1"/>
  <c r="H61" i="23"/>
  <c r="I61" i="23" s="1"/>
  <c r="O61" i="23"/>
  <c r="F62" i="23" l="1"/>
  <c r="N62" i="23" s="1"/>
  <c r="O62" i="23" l="1"/>
  <c r="F63" i="23"/>
  <c r="H63" i="23" s="1"/>
  <c r="C63" i="23"/>
  <c r="H62" i="23"/>
  <c r="I62" i="23" s="1"/>
  <c r="O63" i="23" l="1"/>
  <c r="N63" i="23"/>
  <c r="F64" i="23" s="1"/>
  <c r="I63" i="23"/>
  <c r="C64" i="23" l="1"/>
  <c r="N64" i="23" s="1"/>
  <c r="F65" i="23" s="1"/>
  <c r="H64" i="23"/>
  <c r="I64" i="23" s="1"/>
  <c r="O64" i="23"/>
  <c r="C65" i="23" l="1"/>
  <c r="N65" i="23" s="1"/>
  <c r="C66" i="23" s="1"/>
  <c r="H65" i="23"/>
  <c r="I65" i="23" s="1"/>
  <c r="O65" i="23"/>
  <c r="F66" i="23" l="1"/>
  <c r="N66" i="23" s="1"/>
  <c r="H66" i="23" l="1"/>
  <c r="I66" i="23" s="1"/>
  <c r="O66" i="23"/>
  <c r="C67" i="23"/>
  <c r="F67" i="23"/>
  <c r="N67" i="23" l="1"/>
  <c r="F68" i="23" s="1"/>
  <c r="H67" i="23"/>
  <c r="I67" i="23" s="1"/>
  <c r="O67" i="23"/>
  <c r="C68" i="23" l="1"/>
  <c r="H68" i="23" l="1"/>
  <c r="I68" i="23" s="1"/>
  <c r="N68" i="23"/>
  <c r="O68" i="23"/>
  <c r="C69" i="23" l="1"/>
  <c r="F69" i="23"/>
  <c r="O69" i="23" l="1"/>
  <c r="H69" i="23"/>
  <c r="I69" i="23" s="1"/>
  <c r="N69" i="23"/>
  <c r="F70" i="23" l="1"/>
  <c r="C70" i="23"/>
  <c r="N70" i="23" l="1"/>
  <c r="C71" i="23" s="1"/>
  <c r="F71" i="23"/>
  <c r="O70" i="23"/>
  <c r="H70" i="23"/>
  <c r="I70" i="23" s="1"/>
  <c r="O71" i="23" l="1"/>
  <c r="H71" i="23"/>
  <c r="I71" i="23" s="1"/>
  <c r="N71" i="23"/>
  <c r="C72" i="23" l="1"/>
  <c r="F72" i="23"/>
  <c r="O72" i="23" l="1"/>
  <c r="H72" i="23"/>
  <c r="I72" i="23" s="1"/>
  <c r="N72" i="23"/>
  <c r="F73" i="23" l="1"/>
  <c r="C73" i="23"/>
  <c r="N73" i="23" l="1"/>
  <c r="F74" i="23" s="1"/>
  <c r="O73" i="23"/>
  <c r="H73" i="23"/>
  <c r="I73" i="23" s="1"/>
  <c r="C74" i="23" l="1"/>
  <c r="N74" i="23" s="1"/>
  <c r="O74" i="23"/>
  <c r="H74" i="23"/>
  <c r="I74" i="23" s="1"/>
  <c r="C75" i="23" l="1"/>
  <c r="F75" i="23"/>
  <c r="O75" i="23" l="1"/>
  <c r="H75" i="23"/>
  <c r="I75" i="23" s="1"/>
  <c r="N75" i="23"/>
  <c r="C76" i="23" l="1"/>
  <c r="F76" i="23"/>
  <c r="O76" i="23" l="1"/>
  <c r="H76" i="23"/>
  <c r="I76" i="23" s="1"/>
  <c r="N76" i="23"/>
  <c r="F77" i="23" l="1"/>
  <c r="C77" i="23"/>
  <c r="N77" i="23" l="1"/>
  <c r="C78" i="23" s="1"/>
  <c r="O77" i="23"/>
  <c r="H77" i="23"/>
  <c r="I77" i="23" s="1"/>
  <c r="F78" i="23" l="1"/>
  <c r="O78" i="23" s="1"/>
  <c r="H78" i="23" l="1"/>
  <c r="I78" i="23" s="1"/>
  <c r="N78" i="23"/>
  <c r="C79" i="23" s="1"/>
  <c r="F79" i="23" l="1"/>
  <c r="O79" i="23" s="1"/>
  <c r="N79" i="23" l="1"/>
  <c r="C80" i="23" s="1"/>
  <c r="H79" i="23"/>
  <c r="I79" i="23" s="1"/>
  <c r="F80" i="23" l="1"/>
  <c r="N80" i="23" s="1"/>
  <c r="H80" i="23" l="1"/>
  <c r="I80" i="23" s="1"/>
  <c r="O80" i="23"/>
  <c r="F81" i="23"/>
  <c r="C81" i="23"/>
  <c r="H81" i="23" l="1"/>
  <c r="I81" i="23" s="1"/>
  <c r="O81" i="23"/>
  <c r="N81" i="23"/>
  <c r="F82" i="23" l="1"/>
  <c r="C82" i="23"/>
  <c r="N82" i="23" l="1"/>
  <c r="C83" i="23" s="1"/>
  <c r="O82" i="23"/>
  <c r="H82" i="23"/>
  <c r="I82" i="23" s="1"/>
  <c r="F83" i="23" l="1"/>
  <c r="N83" i="23" s="1"/>
  <c r="F84" i="23" s="1"/>
  <c r="H83" i="23" l="1"/>
  <c r="I83" i="23" s="1"/>
  <c r="O83" i="23"/>
  <c r="C84" i="23"/>
  <c r="N84" i="23" s="1"/>
  <c r="F85" i="23" s="1"/>
  <c r="H84" i="23"/>
  <c r="O84" i="23"/>
  <c r="I84" i="23" l="1"/>
  <c r="C85" i="23"/>
  <c r="N85" i="23" s="1"/>
  <c r="C86" i="23" s="1"/>
  <c r="H85" i="23"/>
  <c r="O85" i="23"/>
  <c r="I85" i="23" l="1"/>
  <c r="F86" i="23"/>
  <c r="N86" i="23" s="1"/>
  <c r="H86" i="23" l="1"/>
  <c r="I86" i="23" s="1"/>
  <c r="O86" i="23"/>
  <c r="C87" i="23"/>
  <c r="F87" i="23"/>
  <c r="N87" i="23" l="1"/>
  <c r="O87" i="23"/>
  <c r="H87" i="23"/>
  <c r="I87" i="23" s="1"/>
  <c r="F88" i="23" l="1"/>
  <c r="C88" i="23"/>
  <c r="N88" i="23" l="1"/>
  <c r="C89" i="23" s="1"/>
  <c r="H88" i="23"/>
  <c r="I88" i="23" s="1"/>
  <c r="O88" i="23"/>
  <c r="F89" i="23" l="1"/>
  <c r="H89" i="23" s="1"/>
  <c r="I89" i="23" s="1"/>
  <c r="N89" i="23" l="1"/>
  <c r="F90" i="23" s="1"/>
  <c r="O89" i="23"/>
  <c r="C90" i="23" l="1"/>
  <c r="N90" i="23" s="1"/>
  <c r="C91" i="23" s="1"/>
  <c r="O90" i="23"/>
  <c r="H90" i="23"/>
  <c r="I90" i="23" s="1"/>
  <c r="F91" i="23" l="1"/>
  <c r="O91" i="23" s="1"/>
  <c r="N91" i="23" l="1"/>
  <c r="H91" i="23"/>
  <c r="I91" i="23" s="1"/>
  <c r="F92" i="23"/>
  <c r="C92" i="23"/>
  <c r="N92" i="23" l="1"/>
  <c r="F93" i="23"/>
  <c r="C93" i="23"/>
  <c r="O92" i="23"/>
  <c r="H92" i="23"/>
  <c r="O93" i="23" l="1"/>
  <c r="M93" i="23" s="1"/>
  <c r="H93" i="23"/>
  <c r="I92" i="23"/>
  <c r="I93" i="23" l="1"/>
  <c r="N93" i="23"/>
  <c r="C94" i="23" l="1"/>
  <c r="F94" i="23"/>
  <c r="O94" i="23" l="1"/>
  <c r="M94" i="23" s="1"/>
  <c r="H94" i="23"/>
  <c r="I94" i="23" s="1"/>
  <c r="N94" i="23"/>
  <c r="C95" i="23" l="1"/>
  <c r="F95" i="23"/>
  <c r="O95" i="23" l="1"/>
  <c r="M95" i="23" s="1"/>
  <c r="H95" i="23"/>
  <c r="I95" i="23" s="1"/>
  <c r="N95" i="23"/>
  <c r="F96" i="23" l="1"/>
  <c r="C96" i="23"/>
  <c r="O96" i="23" l="1"/>
  <c r="M96" i="23" s="1"/>
  <c r="H96" i="23"/>
  <c r="I96" i="23" s="1"/>
  <c r="N96" i="23" l="1"/>
  <c r="F97" i="23" l="1"/>
  <c r="C97" i="23"/>
  <c r="O97" i="23" l="1"/>
  <c r="M97" i="23" s="1"/>
  <c r="H97" i="23"/>
  <c r="I97" i="23" s="1"/>
  <c r="N97" i="23" l="1"/>
  <c r="F98" i="23" l="1"/>
  <c r="C98" i="23"/>
  <c r="O98" i="23" l="1"/>
  <c r="M98" i="23" s="1"/>
  <c r="H98" i="23"/>
  <c r="I98" i="23" s="1"/>
  <c r="N98" i="23" l="1"/>
  <c r="F99" i="23" l="1"/>
  <c r="C99" i="23"/>
  <c r="O99" i="23" l="1"/>
  <c r="M99" i="23" s="1"/>
  <c r="H99" i="23"/>
  <c r="I99" i="23" s="1"/>
  <c r="N99" i="23" l="1"/>
  <c r="F100" i="23" l="1"/>
  <c r="C100" i="23"/>
  <c r="O100" i="23" l="1"/>
  <c r="M100" i="23" s="1"/>
  <c r="H100" i="23"/>
  <c r="I100" i="23" s="1"/>
  <c r="N100" i="23" l="1"/>
  <c r="C101" i="23" l="1"/>
  <c r="F101" i="23"/>
  <c r="O101" i="23" l="1"/>
  <c r="M101" i="23" s="1"/>
  <c r="H101" i="23"/>
  <c r="I101" i="23" s="1"/>
  <c r="N101" i="23" l="1"/>
  <c r="C102" i="23" s="1"/>
  <c r="F102" i="23" l="1"/>
  <c r="O102" i="23" s="1"/>
  <c r="M102" i="23" s="1"/>
  <c r="H102" i="23" l="1"/>
  <c r="I102" i="23" s="1"/>
  <c r="N102" i="23"/>
  <c r="C103" i="23" l="1"/>
  <c r="F103" i="23"/>
  <c r="O103" i="23" l="1"/>
  <c r="M103" i="23" s="1"/>
  <c r="H103" i="23"/>
  <c r="I103" i="23" s="1"/>
  <c r="N103" i="23" l="1"/>
  <c r="C104" i="23" s="1"/>
  <c r="F104" i="23" l="1"/>
  <c r="O104" i="23" s="1"/>
  <c r="F105" i="23"/>
  <c r="K9" i="3" s="1"/>
  <c r="K11" i="3" s="1"/>
  <c r="K14" i="3" s="1"/>
  <c r="N104" i="23" l="1"/>
  <c r="H104" i="23"/>
  <c r="K16" i="3"/>
  <c r="C5" i="24"/>
  <c r="K27" i="3"/>
  <c r="H105" i="23"/>
  <c r="I104" i="23"/>
  <c r="O105" i="23"/>
  <c r="M104" i="23"/>
  <c r="L8" i="27" l="1"/>
  <c r="J8" i="27"/>
  <c r="C9" i="27" l="1"/>
  <c r="F9" i="27"/>
  <c r="H9" i="27" l="1"/>
  <c r="J9" i="27" s="1"/>
  <c r="L9" i="27" s="1"/>
  <c r="F10" i="27" l="1"/>
  <c r="H10" i="27" s="1"/>
  <c r="J10" i="27" s="1"/>
  <c r="C10" i="27"/>
  <c r="L10" i="27" l="1"/>
  <c r="F11" i="27"/>
  <c r="H11" i="27" s="1"/>
  <c r="J11" i="27" s="1"/>
  <c r="C11" i="27"/>
  <c r="L11" i="27" l="1"/>
  <c r="C12" i="27"/>
  <c r="F12" i="27"/>
  <c r="H12" i="27" s="1"/>
  <c r="J12" i="27" s="1"/>
  <c r="L12" i="27" l="1"/>
  <c r="F13" i="27" l="1"/>
  <c r="H13" i="27" s="1"/>
  <c r="J13" i="27" s="1"/>
  <c r="C13" i="27"/>
  <c r="L13" i="27" l="1"/>
  <c r="F14" i="27" s="1"/>
  <c r="H14" i="27" s="1"/>
  <c r="J14" i="27" s="1"/>
  <c r="C14" i="27"/>
  <c r="L14" i="27" l="1"/>
  <c r="C15" i="27"/>
  <c r="F15" i="27"/>
  <c r="H15" i="27" s="1"/>
  <c r="J15" i="27" s="1"/>
  <c r="L15" i="27" l="1"/>
  <c r="F16" i="27" l="1"/>
  <c r="H16" i="27" s="1"/>
  <c r="J16" i="27" s="1"/>
  <c r="C16" i="27"/>
  <c r="L16" i="27" l="1"/>
  <c r="F17" i="27"/>
  <c r="H17" i="27" s="1"/>
  <c r="J17" i="27" s="1"/>
  <c r="C17" i="27"/>
  <c r="L17" i="27" l="1"/>
  <c r="F18" i="27" s="1"/>
  <c r="H18" i="27" s="1"/>
  <c r="J18" i="27" s="1"/>
  <c r="C18" i="27" l="1"/>
  <c r="L18" i="27"/>
  <c r="F19" i="27" l="1"/>
  <c r="H19" i="27" s="1"/>
  <c r="J19" i="27" s="1"/>
  <c r="C19" i="27"/>
  <c r="L19" i="27" l="1"/>
  <c r="F20" i="27" s="1"/>
  <c r="H20" i="27" s="1"/>
  <c r="J20" i="27" s="1"/>
  <c r="C20" i="27" l="1"/>
  <c r="L20" i="27" s="1"/>
  <c r="F21" i="27" s="1"/>
  <c r="H21" i="27" s="1"/>
  <c r="J21" i="27" s="1"/>
  <c r="C21" i="27" l="1"/>
  <c r="L21" i="27" s="1"/>
  <c r="C22" i="27" s="1"/>
  <c r="F22" i="27" l="1"/>
  <c r="H22" i="27" s="1"/>
  <c r="J22" i="27" s="1"/>
  <c r="L22" i="27" s="1"/>
  <c r="C23" i="27" l="1"/>
  <c r="F23" i="27"/>
  <c r="H23" i="27" s="1"/>
  <c r="J23" i="27" s="1"/>
  <c r="L23" i="27" l="1"/>
  <c r="C24" i="27" l="1"/>
  <c r="F24" i="27"/>
  <c r="H24" i="27" s="1"/>
  <c r="J24" i="27" s="1"/>
  <c r="L24" i="27" l="1"/>
  <c r="C25" i="27" l="1"/>
  <c r="F25" i="27"/>
  <c r="H25" i="27" s="1"/>
  <c r="J25" i="27" s="1"/>
  <c r="L25" i="27" l="1"/>
  <c r="F26" i="27" l="1"/>
  <c r="H26" i="27" s="1"/>
  <c r="J26" i="27" s="1"/>
  <c r="C26" i="27"/>
  <c r="L26" i="27" l="1"/>
  <c r="C27" i="27" s="1"/>
  <c r="F27" i="27" l="1"/>
  <c r="H27" i="27" s="1"/>
  <c r="J27" i="27" s="1"/>
  <c r="L27" i="27"/>
  <c r="C28" i="27" l="1"/>
  <c r="F28" i="27"/>
  <c r="H28" i="27" s="1"/>
  <c r="J28" i="27" s="1"/>
  <c r="L28" i="27" l="1"/>
  <c r="F29" i="27" l="1"/>
  <c r="H29" i="27" s="1"/>
  <c r="J29" i="27" s="1"/>
  <c r="C29" i="27"/>
  <c r="L29" i="27" l="1"/>
  <c r="F30" i="27" s="1"/>
  <c r="H30" i="27" s="1"/>
  <c r="J30" i="27" s="1"/>
  <c r="C30" i="27" l="1"/>
  <c r="L30" i="27" s="1"/>
  <c r="F31" i="27" s="1"/>
  <c r="H31" i="27" s="1"/>
  <c r="J31" i="27" s="1"/>
  <c r="C31" i="27" l="1"/>
  <c r="L31" i="27" s="1"/>
  <c r="C32" i="27" s="1"/>
  <c r="F32" i="27" l="1"/>
  <c r="H32" i="27" s="1"/>
  <c r="J32" i="27" s="1"/>
  <c r="L32" i="27" l="1"/>
  <c r="F33" i="27" s="1"/>
  <c r="H33" i="27" s="1"/>
  <c r="J33" i="27" s="1"/>
  <c r="C33" i="27" l="1"/>
  <c r="L33" i="27" s="1"/>
  <c r="F34" i="27" s="1"/>
  <c r="H34" i="27" s="1"/>
  <c r="J34" i="27" s="1"/>
  <c r="C34" i="27"/>
  <c r="L34" i="27"/>
  <c r="F35" i="27" s="1"/>
  <c r="H35" i="27" s="1"/>
  <c r="J35" i="27" s="1"/>
  <c r="C35" i="27" l="1"/>
  <c r="L35" i="27"/>
  <c r="F36" i="27" s="1"/>
  <c r="H36" i="27" s="1"/>
  <c r="J36" i="27" s="1"/>
  <c r="C36" i="27" l="1"/>
  <c r="L36" i="27"/>
  <c r="F37" i="27" s="1"/>
  <c r="H37" i="27" s="1"/>
  <c r="J37" i="27" s="1"/>
  <c r="C37" i="27" l="1"/>
  <c r="L37" i="27"/>
  <c r="C38" i="27" s="1"/>
  <c r="F38" i="27" l="1"/>
  <c r="H38" i="27" s="1"/>
  <c r="J38" i="27" s="1"/>
  <c r="L38" i="27"/>
  <c r="C39" i="27" s="1"/>
  <c r="F39" i="27" l="1"/>
  <c r="H39" i="27" s="1"/>
  <c r="J39" i="27" s="1"/>
  <c r="L39" i="27"/>
  <c r="F40" i="27" l="1"/>
  <c r="H40" i="27" s="1"/>
  <c r="J40" i="27" s="1"/>
  <c r="C40" i="27"/>
  <c r="L40" i="27" l="1"/>
  <c r="C41" i="27" s="1"/>
  <c r="F41" i="27" l="1"/>
  <c r="H41" i="27" s="1"/>
  <c r="J41" i="27" s="1"/>
  <c r="L41" i="27" s="1"/>
  <c r="F42" i="27" s="1"/>
  <c r="H42" i="27" s="1"/>
  <c r="J42" i="27" s="1"/>
  <c r="C42" i="27" l="1"/>
  <c r="L42" i="27"/>
  <c r="C43" i="27" s="1"/>
  <c r="F43" i="27" l="1"/>
  <c r="H43" i="27" s="1"/>
  <c r="J43" i="27" s="1"/>
  <c r="L43" i="27"/>
  <c r="C44" i="27" l="1"/>
  <c r="F44" i="27"/>
  <c r="H44" i="27" s="1"/>
  <c r="J44" i="27" s="1"/>
  <c r="L44" i="27" l="1"/>
  <c r="C45" i="27"/>
  <c r="F45" i="27"/>
  <c r="H45" i="27" s="1"/>
  <c r="J45" i="27" s="1"/>
  <c r="L45" i="27" l="1"/>
  <c r="C46" i="27" l="1"/>
  <c r="F46" i="27"/>
  <c r="H46" i="27" s="1"/>
  <c r="J46" i="27" s="1"/>
  <c r="L46" i="27" l="1"/>
  <c r="C47" i="27" l="1"/>
  <c r="F47" i="27"/>
  <c r="H47" i="27" s="1"/>
  <c r="J47" i="27" s="1"/>
  <c r="L47" i="27" l="1"/>
  <c r="F48" i="27" l="1"/>
  <c r="H48" i="27" s="1"/>
  <c r="J48" i="27" s="1"/>
  <c r="C48" i="27"/>
  <c r="L48" i="27" l="1"/>
  <c r="C49" i="27" s="1"/>
  <c r="F49" i="27" l="1"/>
  <c r="H49" i="27" s="1"/>
  <c r="J49" i="27" s="1"/>
  <c r="L49" i="27" s="1"/>
  <c r="C50" i="27" l="1"/>
  <c r="F50" i="27"/>
  <c r="H50" i="27" s="1"/>
  <c r="J50" i="27" s="1"/>
  <c r="L50" i="27" l="1"/>
  <c r="C51" i="27" l="1"/>
  <c r="F51" i="27"/>
  <c r="H51" i="27" s="1"/>
  <c r="J51" i="27" s="1"/>
  <c r="L51" i="27" l="1"/>
  <c r="F52" i="27" l="1"/>
  <c r="H52" i="27" s="1"/>
  <c r="J52" i="27" s="1"/>
  <c r="C52" i="27"/>
  <c r="L52" i="27" l="1"/>
  <c r="C53" i="27" s="1"/>
  <c r="F53" i="27" l="1"/>
  <c r="H53" i="27" s="1"/>
  <c r="J53" i="27" s="1"/>
  <c r="L53" i="27" s="1"/>
  <c r="C54" i="27" s="1"/>
  <c r="F54" i="27"/>
  <c r="H54" i="27" s="1"/>
  <c r="J54" i="27" s="1"/>
  <c r="L54" i="27" l="1"/>
  <c r="C55" i="27" s="1"/>
  <c r="F55" i="27" l="1"/>
  <c r="H55" i="27" s="1"/>
  <c r="J55" i="27" s="1"/>
  <c r="L55" i="27" s="1"/>
  <c r="F56" i="27" l="1"/>
  <c r="H56" i="27" s="1"/>
  <c r="J56" i="27" s="1"/>
  <c r="C56" i="27"/>
  <c r="L56" i="27" l="1"/>
  <c r="C57" i="27" s="1"/>
  <c r="F57" i="27"/>
  <c r="H57" i="27" s="1"/>
  <c r="J57" i="27" s="1"/>
  <c r="L57" i="27" l="1"/>
  <c r="C58" i="27" l="1"/>
  <c r="F58" i="27"/>
  <c r="H58" i="27" s="1"/>
  <c r="J58" i="27" s="1"/>
  <c r="L58" i="27" l="1"/>
  <c r="F59" i="27" l="1"/>
  <c r="H59" i="27" s="1"/>
  <c r="J59" i="27" s="1"/>
  <c r="C59" i="27"/>
  <c r="L59" i="27" l="1"/>
  <c r="C60" i="27" l="1"/>
  <c r="F60" i="27"/>
  <c r="H60" i="27" s="1"/>
  <c r="J60" i="27" s="1"/>
  <c r="L60" i="27" l="1"/>
  <c r="F61" i="27" s="1"/>
  <c r="H61" i="27" s="1"/>
  <c r="J61" i="27" s="1"/>
  <c r="C61" i="27" l="1"/>
  <c r="L61" i="27" s="1"/>
  <c r="F62" i="27" l="1"/>
  <c r="H62" i="27" s="1"/>
  <c r="J62" i="27" s="1"/>
  <c r="C62" i="27"/>
  <c r="L62" i="27" l="1"/>
  <c r="C63" i="27" s="1"/>
  <c r="F63" i="27"/>
  <c r="H63" i="27" s="1"/>
  <c r="J63" i="27" s="1"/>
  <c r="L63" i="27" s="1"/>
  <c r="C64" i="27" l="1"/>
  <c r="F64" i="27"/>
  <c r="H64" i="27" s="1"/>
  <c r="J64" i="27" s="1"/>
  <c r="L64" i="27" l="1"/>
  <c r="F65" i="27" l="1"/>
  <c r="H65" i="27" s="1"/>
  <c r="J65" i="27" s="1"/>
  <c r="C65" i="27"/>
  <c r="L65" i="27" l="1"/>
  <c r="C66" i="27" s="1"/>
  <c r="F66" i="27" l="1"/>
  <c r="H66" i="27" s="1"/>
  <c r="J66" i="27" s="1"/>
  <c r="L66" i="27" l="1"/>
  <c r="F67" i="27" s="1"/>
  <c r="H67" i="27" s="1"/>
  <c r="J67" i="27" s="1"/>
  <c r="C67" i="27" l="1"/>
  <c r="L67" i="27" s="1"/>
  <c r="C68" i="27" s="1"/>
  <c r="F68" i="27" l="1"/>
  <c r="H68" i="27" s="1"/>
  <c r="J68" i="27" s="1"/>
  <c r="L68" i="27" l="1"/>
  <c r="C69" i="27" s="1"/>
  <c r="F69" i="27" l="1"/>
  <c r="H69" i="27" s="1"/>
  <c r="J69" i="27" s="1"/>
  <c r="L69" i="27"/>
  <c r="C70" i="27" l="1"/>
  <c r="F70" i="27"/>
  <c r="H70" i="27" s="1"/>
  <c r="J70" i="27" s="1"/>
  <c r="L70" i="27" l="1"/>
  <c r="F71" i="27" l="1"/>
  <c r="H71" i="27" s="1"/>
  <c r="J71" i="27" s="1"/>
  <c r="C71" i="27"/>
  <c r="L71" i="27" s="1"/>
  <c r="C72" i="27" l="1"/>
  <c r="F72" i="27"/>
  <c r="H72" i="27" s="1"/>
  <c r="J72" i="27" s="1"/>
  <c r="L72" i="27" l="1"/>
  <c r="C73" i="27" s="1"/>
  <c r="F73" i="27" l="1"/>
  <c r="H73" i="27" s="1"/>
  <c r="J73" i="27" s="1"/>
  <c r="L73" i="27"/>
  <c r="C74" i="27" s="1"/>
  <c r="F74" i="27"/>
  <c r="H74" i="27" s="1"/>
  <c r="J74" i="27" s="1"/>
  <c r="L74" i="27" l="1"/>
  <c r="C75" i="27"/>
  <c r="F75" i="27"/>
  <c r="H75" i="27" s="1"/>
  <c r="J75" i="27" s="1"/>
  <c r="L75" i="27" l="1"/>
  <c r="C76" i="27" l="1"/>
  <c r="F76" i="27"/>
  <c r="H76" i="27" s="1"/>
  <c r="J76" i="27" s="1"/>
  <c r="L76" i="27" l="1"/>
  <c r="F77" i="27" l="1"/>
  <c r="H77" i="27" s="1"/>
  <c r="J77" i="27" s="1"/>
  <c r="C77" i="27"/>
  <c r="L77" i="27" l="1"/>
  <c r="F78" i="27"/>
  <c r="H78" i="27" s="1"/>
  <c r="J78" i="27" s="1"/>
  <c r="C78" i="27"/>
  <c r="L78" i="27" l="1"/>
  <c r="F79" i="27" s="1"/>
  <c r="H79" i="27" s="1"/>
  <c r="J79" i="27" s="1"/>
  <c r="C79" i="27"/>
  <c r="L79" i="27" l="1"/>
  <c r="F80" i="27"/>
  <c r="H80" i="27" s="1"/>
  <c r="J80" i="27" s="1"/>
  <c r="C80" i="27"/>
  <c r="L80" i="27" l="1"/>
  <c r="C81" i="27" s="1"/>
  <c r="F81" i="27" l="1"/>
  <c r="H81" i="27" s="1"/>
  <c r="J81" i="27" s="1"/>
  <c r="L81" i="27"/>
  <c r="C82" i="27" s="1"/>
  <c r="F82" i="27" l="1"/>
  <c r="H82" i="27" s="1"/>
  <c r="J82" i="27" s="1"/>
  <c r="L82" i="27"/>
  <c r="C83" i="27" l="1"/>
  <c r="F83" i="27"/>
  <c r="H83" i="27" s="1"/>
  <c r="J83" i="27" s="1"/>
  <c r="L83" i="27" l="1"/>
  <c r="C84" i="27" l="1"/>
  <c r="F84" i="27"/>
  <c r="H84" i="27" s="1"/>
  <c r="J84" i="27" s="1"/>
  <c r="L84" i="27" s="1"/>
  <c r="F85" i="27" l="1"/>
  <c r="H85" i="27" s="1"/>
  <c r="J85" i="27" s="1"/>
  <c r="C85" i="27"/>
  <c r="L85" i="27" l="1"/>
  <c r="C86" i="27" s="1"/>
  <c r="F86" i="27" l="1"/>
  <c r="H86" i="27" s="1"/>
  <c r="J86" i="27" s="1"/>
  <c r="L86" i="27"/>
  <c r="F87" i="27"/>
  <c r="H87" i="27" s="1"/>
  <c r="J87" i="27" s="1"/>
  <c r="C87" i="27"/>
  <c r="L87" i="27" l="1"/>
  <c r="C88" i="27"/>
  <c r="F88" i="27"/>
  <c r="H88" i="27" s="1"/>
  <c r="J88" i="27" s="1"/>
  <c r="L88" i="27" l="1"/>
  <c r="F89" i="27"/>
  <c r="H89" i="27" s="1"/>
  <c r="J89" i="27" s="1"/>
  <c r="C89" i="27"/>
  <c r="L89" i="27" l="1"/>
  <c r="C90" i="27"/>
  <c r="F90" i="27"/>
  <c r="H90" i="27" s="1"/>
  <c r="J90" i="27" s="1"/>
  <c r="L90" i="27" l="1"/>
  <c r="F91" i="27" l="1"/>
  <c r="H91" i="27" s="1"/>
  <c r="J91" i="27" s="1"/>
  <c r="C91" i="27"/>
  <c r="L91" i="27" l="1"/>
  <c r="F92" i="27" s="1"/>
  <c r="H92" i="27" s="1"/>
  <c r="J92" i="27" s="1"/>
  <c r="C92" i="27" l="1"/>
  <c r="L92" i="27" s="1"/>
  <c r="C93" i="27"/>
  <c r="F93" i="27"/>
  <c r="H93" i="27" s="1"/>
  <c r="J93" i="27" s="1"/>
  <c r="L93" i="27" l="1"/>
  <c r="F94" i="27" l="1"/>
  <c r="H94" i="27" s="1"/>
  <c r="J94" i="27" s="1"/>
  <c r="C94" i="27"/>
  <c r="L94" i="27" l="1"/>
  <c r="C95" i="27" s="1"/>
  <c r="F95" i="27" l="1"/>
  <c r="H95" i="27" s="1"/>
  <c r="J95" i="27" s="1"/>
  <c r="L95" i="27"/>
  <c r="F96" i="27" s="1"/>
  <c r="H96" i="27" s="1"/>
  <c r="J96" i="27" s="1"/>
  <c r="C96" i="27" l="1"/>
  <c r="L96" i="27" s="1"/>
  <c r="C97" i="27" l="1"/>
  <c r="F97" i="27"/>
  <c r="H97" i="27" s="1"/>
  <c r="J97" i="27" s="1"/>
  <c r="L97" i="27" s="1"/>
  <c r="F98" i="27" s="1"/>
  <c r="H98" i="27" s="1"/>
  <c r="J98" i="27" s="1"/>
  <c r="C98" i="27" l="1"/>
  <c r="L98" i="27" s="1"/>
  <c r="F99" i="27"/>
  <c r="H99" i="27" s="1"/>
  <c r="J99" i="27" s="1"/>
  <c r="C99" i="27"/>
  <c r="L99" i="27" l="1"/>
  <c r="F100" i="27" s="1"/>
  <c r="H100" i="27" s="1"/>
  <c r="J100" i="27" s="1"/>
  <c r="C100" i="27" l="1"/>
  <c r="L100" i="27" s="1"/>
  <c r="C101" i="27" l="1"/>
  <c r="F101" i="27"/>
  <c r="H101" i="27" s="1"/>
  <c r="J101" i="27" s="1"/>
  <c r="L101" i="27" s="1"/>
  <c r="C102" i="27" l="1"/>
  <c r="F102" i="27"/>
  <c r="H102" i="27" s="1"/>
  <c r="J102" i="27" s="1"/>
  <c r="L102" i="27" l="1"/>
  <c r="C103" i="27" l="1"/>
  <c r="F103" i="27"/>
  <c r="H103" i="27" s="1"/>
  <c r="J103" i="27" s="1"/>
  <c r="L103" i="27" l="1"/>
  <c r="F104" i="27" s="1"/>
  <c r="H104" i="27" s="1"/>
  <c r="J104" i="27" s="1"/>
  <c r="C104" i="27" l="1"/>
  <c r="L104" i="27" s="1"/>
  <c r="C105" i="27" s="1"/>
  <c r="F105" i="27" l="1"/>
  <c r="H105" i="27" s="1"/>
  <c r="J105" i="27" s="1"/>
  <c r="L105" i="27"/>
  <c r="F106" i="27" l="1"/>
  <c r="H106" i="27" s="1"/>
  <c r="J106" i="27" s="1"/>
  <c r="C106" i="27"/>
  <c r="L106" i="27" l="1"/>
  <c r="C107" i="27" s="1"/>
  <c r="F107" i="27" l="1"/>
  <c r="H107" i="27" s="1"/>
  <c r="J107" i="27" s="1"/>
  <c r="L107" i="27" l="1"/>
  <c r="C108" i="27"/>
  <c r="F108" i="27"/>
  <c r="H108" i="27" s="1"/>
  <c r="J108" i="27" s="1"/>
  <c r="L108" i="27" l="1"/>
  <c r="F109" i="27" l="1"/>
  <c r="H109" i="27" s="1"/>
  <c r="J109" i="27" s="1"/>
  <c r="C109" i="27"/>
  <c r="L109" i="27" l="1"/>
  <c r="F110" i="27"/>
  <c r="H110" i="27" s="1"/>
  <c r="J110" i="27" s="1"/>
  <c r="C110" i="27"/>
  <c r="L110" i="27" l="1"/>
  <c r="C111" i="27" s="1"/>
  <c r="F111" i="27" l="1"/>
  <c r="H111" i="27" s="1"/>
  <c r="J111" i="27" s="1"/>
  <c r="L111" i="27"/>
  <c r="C112" i="27" l="1"/>
  <c r="F112" i="27"/>
  <c r="H112" i="27" s="1"/>
  <c r="J112" i="27" s="1"/>
  <c r="L112" i="27" s="1"/>
  <c r="F113" i="27" l="1"/>
  <c r="H113" i="27" s="1"/>
  <c r="J113" i="27" s="1"/>
  <c r="C113" i="27"/>
  <c r="L113" i="27" l="1"/>
  <c r="F114" i="27" l="1"/>
  <c r="H114" i="27" s="1"/>
  <c r="J114" i="27" s="1"/>
  <c r="C114" i="27"/>
  <c r="L114" i="27" l="1"/>
  <c r="F115" i="27"/>
  <c r="H115" i="27" s="1"/>
  <c r="J115" i="27" s="1"/>
  <c r="C115" i="27"/>
  <c r="L115" i="27" l="1"/>
  <c r="C116" i="27"/>
  <c r="F116" i="27"/>
  <c r="H116" i="27" s="1"/>
  <c r="J116" i="27" s="1"/>
  <c r="L116" i="27" l="1"/>
  <c r="C117" i="27" s="1"/>
  <c r="F117" i="27" l="1"/>
  <c r="H117" i="27" s="1"/>
  <c r="J117" i="27" s="1"/>
  <c r="L117" i="27" l="1"/>
  <c r="F118" i="27" l="1"/>
  <c r="H118" i="27" s="1"/>
  <c r="J118" i="27" s="1"/>
  <c r="C118" i="27"/>
  <c r="L118" i="27" s="1"/>
  <c r="F119" i="27" s="1"/>
  <c r="H119" i="27" s="1"/>
  <c r="J119" i="27" s="1"/>
  <c r="C119" i="27" l="1"/>
  <c r="L119" i="27" s="1"/>
  <c r="F120" i="27" l="1"/>
  <c r="H120" i="27" s="1"/>
  <c r="J120" i="27" s="1"/>
  <c r="C120" i="27"/>
  <c r="L120" i="27" l="1"/>
  <c r="C121" i="27" l="1"/>
  <c r="F121" i="27"/>
  <c r="H121" i="27" s="1"/>
  <c r="J121" i="27" s="1"/>
  <c r="L121" i="27" l="1"/>
  <c r="F122" i="27" l="1"/>
  <c r="H122" i="27" s="1"/>
  <c r="J122" i="27" s="1"/>
  <c r="C122" i="27"/>
  <c r="L122" i="27" s="1"/>
  <c r="C123" i="27" l="1"/>
  <c r="F123" i="27"/>
  <c r="H123" i="27" s="1"/>
  <c r="J123" i="27" s="1"/>
  <c r="L123" i="27" l="1"/>
  <c r="F124" i="27" l="1"/>
  <c r="H124" i="27" s="1"/>
  <c r="J124" i="27" s="1"/>
  <c r="C124" i="27"/>
  <c r="L124" i="27" l="1"/>
  <c r="C125" i="27" s="1"/>
  <c r="F125" i="27" l="1"/>
  <c r="H125" i="27" s="1"/>
  <c r="J125" i="27" s="1"/>
  <c r="L125" i="27" l="1"/>
  <c r="F126" i="27" l="1"/>
  <c r="H126" i="27" s="1"/>
  <c r="J126" i="27" s="1"/>
  <c r="C126" i="27"/>
  <c r="L126" i="27" s="1"/>
  <c r="F127" i="27" l="1"/>
  <c r="H127" i="27" s="1"/>
  <c r="J127" i="27" s="1"/>
  <c r="C127" i="27"/>
  <c r="L127" i="27" s="1"/>
  <c r="F128" i="27" l="1"/>
  <c r="H128" i="27" s="1"/>
  <c r="J128" i="27" s="1"/>
  <c r="C128" i="27"/>
  <c r="L128" i="27" s="1"/>
  <c r="F129" i="27" l="1"/>
  <c r="H129" i="27" s="1"/>
  <c r="J129" i="27" s="1"/>
  <c r="C129" i="27"/>
  <c r="L129" i="27" s="1"/>
  <c r="F130" i="27" l="1"/>
  <c r="H130" i="27" s="1"/>
  <c r="J130" i="27" s="1"/>
  <c r="C130" i="27"/>
  <c r="L130" i="27" s="1"/>
  <c r="F131" i="27" l="1"/>
  <c r="H131" i="27" s="1"/>
  <c r="J131" i="27" s="1"/>
  <c r="C131" i="27"/>
  <c r="L131" i="27" s="1"/>
  <c r="F132" i="27" l="1"/>
  <c r="H132" i="27" s="1"/>
  <c r="J132" i="27" s="1"/>
  <c r="C132" i="27"/>
  <c r="L132" i="27" s="1"/>
  <c r="F133" i="27" l="1"/>
  <c r="H133" i="27" s="1"/>
  <c r="J133" i="27" s="1"/>
  <c r="C133" i="27"/>
  <c r="L133" i="27" s="1"/>
  <c r="C134" i="27" l="1"/>
  <c r="F134" i="27"/>
  <c r="H134" i="27" s="1"/>
  <c r="J134" i="27" s="1"/>
  <c r="L134" i="27" l="1"/>
  <c r="F135" i="27" l="1"/>
  <c r="H135" i="27" s="1"/>
  <c r="J135" i="27" s="1"/>
  <c r="C135" i="27"/>
  <c r="L135" i="27" s="1"/>
  <c r="C136" i="27" l="1"/>
  <c r="F136" i="27"/>
  <c r="H136" i="27" s="1"/>
  <c r="J136" i="27" s="1"/>
  <c r="L136" i="27" l="1"/>
  <c r="C137" i="27" l="1"/>
  <c r="F137" i="27"/>
  <c r="H137" i="27" s="1"/>
  <c r="J137" i="27" s="1"/>
  <c r="L137" i="27" l="1"/>
  <c r="C138" i="27" l="1"/>
  <c r="F138" i="27"/>
  <c r="H138" i="27" s="1"/>
  <c r="J138" i="27" s="1"/>
  <c r="L138" i="27" l="1"/>
  <c r="C139" i="27" l="1"/>
  <c r="F139" i="27"/>
  <c r="H139" i="27" s="1"/>
  <c r="J139" i="27" s="1"/>
  <c r="L139" i="27" l="1"/>
  <c r="C140" i="27" l="1"/>
  <c r="F140" i="27"/>
  <c r="H140" i="27" s="1"/>
  <c r="J140" i="27" s="1"/>
  <c r="L140" i="27" l="1"/>
  <c r="C141" i="27" l="1"/>
  <c r="F141" i="27"/>
  <c r="H141" i="27" s="1"/>
  <c r="J141" i="27" s="1"/>
  <c r="L141" i="27" l="1"/>
  <c r="C142" i="27" l="1"/>
  <c r="F142" i="27"/>
  <c r="H142" i="27" s="1"/>
  <c r="J142" i="27" s="1"/>
  <c r="L142" i="27" l="1"/>
  <c r="F143" i="27" l="1"/>
  <c r="H143" i="27" s="1"/>
  <c r="J143" i="27" s="1"/>
  <c r="C143" i="27"/>
  <c r="L143" i="27" s="1"/>
  <c r="F144" i="27" l="1"/>
  <c r="H144" i="27" s="1"/>
  <c r="J144" i="27" s="1"/>
  <c r="C144" i="27"/>
  <c r="L144" i="27" s="1"/>
  <c r="F145" i="27" l="1"/>
  <c r="H145" i="27" s="1"/>
  <c r="J145" i="27" s="1"/>
  <c r="C145" i="27"/>
  <c r="L145" i="27" s="1"/>
  <c r="F146" i="27" l="1"/>
  <c r="H146" i="27" s="1"/>
  <c r="J146" i="27" s="1"/>
  <c r="C146" i="27"/>
  <c r="L146" i="27" s="1"/>
  <c r="F147" i="27" l="1"/>
  <c r="H147" i="27" s="1"/>
  <c r="J147" i="27" s="1"/>
  <c r="C147" i="27"/>
  <c r="L147" i="27" s="1"/>
  <c r="C148" i="27" l="1"/>
  <c r="F148" i="27"/>
  <c r="H148" i="27" s="1"/>
  <c r="J148" i="27" s="1"/>
  <c r="L148" i="27" l="1"/>
  <c r="C149" i="27" l="1"/>
  <c r="F149" i="27"/>
  <c r="H149" i="27" s="1"/>
  <c r="J149" i="27" s="1"/>
  <c r="L149" i="27" l="1"/>
  <c r="C150" i="27" l="1"/>
  <c r="F150" i="27"/>
  <c r="H150" i="27" s="1"/>
  <c r="J150" i="27" s="1"/>
  <c r="L150" i="27" l="1"/>
  <c r="C151" i="27" l="1"/>
  <c r="F151" i="27"/>
  <c r="H151" i="27" s="1"/>
  <c r="J151" i="27" s="1"/>
  <c r="L151" i="27" s="1"/>
  <c r="F152" i="27" l="1"/>
  <c r="H152" i="27" s="1"/>
  <c r="J152" i="27" s="1"/>
  <c r="C152" i="27"/>
  <c r="L152" i="27" s="1"/>
  <c r="C153" i="27" l="1"/>
  <c r="F153" i="27"/>
  <c r="H153" i="27" s="1"/>
  <c r="J153" i="27" s="1"/>
  <c r="L153" i="27" l="1"/>
  <c r="F154" i="27" l="1"/>
  <c r="H154" i="27" s="1"/>
  <c r="J154" i="27" s="1"/>
  <c r="C154" i="27"/>
  <c r="L154" i="27" s="1"/>
  <c r="F155" i="27" l="1"/>
  <c r="H155" i="27" s="1"/>
  <c r="J155" i="27" s="1"/>
  <c r="C155" i="27"/>
  <c r="L155" i="27" l="1"/>
  <c r="F156" i="27" s="1"/>
  <c r="H156" i="27" s="1"/>
  <c r="J156" i="27" s="1"/>
  <c r="C156" i="27"/>
  <c r="L156" i="27" l="1"/>
  <c r="F157" i="27" l="1"/>
  <c r="H157" i="27" s="1"/>
  <c r="J157" i="27" s="1"/>
  <c r="C157" i="27"/>
  <c r="L157" i="27" s="1"/>
  <c r="F158" i="27" l="1"/>
  <c r="H158" i="27" s="1"/>
  <c r="J158" i="27" s="1"/>
  <c r="C158" i="27"/>
  <c r="L158" i="27" s="1"/>
  <c r="F159" i="27" l="1"/>
  <c r="H159" i="27" s="1"/>
  <c r="J159" i="27" s="1"/>
  <c r="C159" i="27"/>
  <c r="L159" i="27" s="1"/>
  <c r="C160" i="27" l="1"/>
  <c r="F160" i="27"/>
  <c r="H160" i="27" s="1"/>
  <c r="J160" i="27" s="1"/>
  <c r="L160" i="27" l="1"/>
  <c r="C161" i="27" l="1"/>
  <c r="F161" i="27"/>
  <c r="H161" i="27" s="1"/>
  <c r="J161" i="27" s="1"/>
  <c r="L161" i="27" l="1"/>
  <c r="F162" i="27" l="1"/>
  <c r="H162" i="27" s="1"/>
  <c r="J162" i="27" s="1"/>
  <c r="C162" i="27"/>
  <c r="L162" i="27" s="1"/>
  <c r="F163" i="27" l="1"/>
  <c r="H163" i="27" s="1"/>
  <c r="J163" i="27" s="1"/>
  <c r="C163" i="27"/>
  <c r="L163" i="27" s="1"/>
  <c r="F164" i="27" l="1"/>
  <c r="H164" i="27" s="1"/>
  <c r="J164" i="27" s="1"/>
  <c r="C164" i="27"/>
  <c r="L164" i="27" s="1"/>
  <c r="C165" i="27" l="1"/>
  <c r="F165" i="27"/>
  <c r="H165" i="27" s="1"/>
  <c r="J165" i="27" s="1"/>
  <c r="L165" i="27" s="1"/>
  <c r="C166" i="27" l="1"/>
  <c r="F166" i="27"/>
  <c r="H166" i="27" s="1"/>
  <c r="J166" i="27" s="1"/>
  <c r="L166" i="27" l="1"/>
  <c r="F167" i="27" l="1"/>
  <c r="H167" i="27" s="1"/>
  <c r="J167" i="27" s="1"/>
  <c r="C167" i="27"/>
  <c r="L167" i="27" s="1"/>
  <c r="F168" i="27" l="1"/>
  <c r="H168" i="27" s="1"/>
  <c r="J168" i="27" s="1"/>
  <c r="C168" i="27"/>
  <c r="L168" i="27" s="1"/>
  <c r="C169" i="27" l="1"/>
  <c r="F169" i="27"/>
  <c r="H169" i="27" s="1"/>
  <c r="J169" i="27" s="1"/>
  <c r="L169" i="27" l="1"/>
  <c r="F170" i="27" l="1"/>
  <c r="H170" i="27" s="1"/>
  <c r="J170" i="27" s="1"/>
  <c r="C170" i="27"/>
  <c r="L170" i="27" s="1"/>
  <c r="F171" i="27" l="1"/>
  <c r="H171" i="27" s="1"/>
  <c r="J171" i="27" s="1"/>
  <c r="C171" i="27"/>
  <c r="L171" i="27" s="1"/>
  <c r="C172" i="27" l="1"/>
  <c r="F172" i="27"/>
  <c r="H172" i="27" s="1"/>
  <c r="J172" i="27" s="1"/>
  <c r="L172" i="27" l="1"/>
  <c r="C173" i="27" l="1"/>
  <c r="F173" i="27"/>
  <c r="H173" i="27" s="1"/>
  <c r="J173" i="27" s="1"/>
  <c r="L173" i="27" l="1"/>
  <c r="F174" i="27" l="1"/>
  <c r="H174" i="27" s="1"/>
  <c r="J174" i="27" s="1"/>
  <c r="C174" i="27"/>
  <c r="L174" i="27" s="1"/>
  <c r="F175" i="27" l="1"/>
  <c r="H175" i="27" s="1"/>
  <c r="J175" i="27" s="1"/>
  <c r="C175" i="27"/>
  <c r="L175" i="27" l="1"/>
  <c r="C176" i="27"/>
  <c r="F176" i="27"/>
  <c r="H176" i="27" s="1"/>
  <c r="J176" i="27" s="1"/>
  <c r="L176" i="27" l="1"/>
  <c r="F177" i="27" l="1"/>
  <c r="H177" i="27" s="1"/>
  <c r="J177" i="27" s="1"/>
  <c r="C177" i="27"/>
  <c r="L177" i="27" s="1"/>
  <c r="F178" i="27" l="1"/>
  <c r="H178" i="27" s="1"/>
  <c r="J178" i="27" s="1"/>
  <c r="C178" i="27"/>
  <c r="L178" i="27" s="1"/>
  <c r="F179" i="27" l="1"/>
  <c r="H179" i="27" s="1"/>
  <c r="J179" i="27" s="1"/>
  <c r="C179" i="27"/>
  <c r="L179" i="27" s="1"/>
  <c r="F180" i="27" l="1"/>
  <c r="H180" i="27" s="1"/>
  <c r="J180" i="27" s="1"/>
  <c r="C180" i="27"/>
  <c r="L180" i="27" s="1"/>
  <c r="F181" i="27" l="1"/>
  <c r="H181" i="27" s="1"/>
  <c r="J181" i="27" s="1"/>
  <c r="C181" i="27"/>
  <c r="L181" i="27" s="1"/>
  <c r="F182" i="27" l="1"/>
  <c r="H182" i="27" s="1"/>
  <c r="J182" i="27" s="1"/>
  <c r="C182" i="27"/>
  <c r="L182" i="27" l="1"/>
  <c r="C183" i="27" s="1"/>
  <c r="F183" i="27"/>
  <c r="H183" i="27" s="1"/>
  <c r="J183" i="27" s="1"/>
  <c r="L183" i="27" l="1"/>
  <c r="C184" i="27" l="1"/>
  <c r="F184" i="27"/>
  <c r="H184" i="27" s="1"/>
  <c r="J184" i="27" s="1"/>
  <c r="L184" i="27" l="1"/>
  <c r="C185" i="27" l="1"/>
  <c r="F185" i="27"/>
  <c r="H185" i="27" s="1"/>
  <c r="J185" i="27" s="1"/>
  <c r="L185" i="27" l="1"/>
  <c r="F186" i="27" l="1"/>
  <c r="H186" i="27" s="1"/>
  <c r="J186" i="27" s="1"/>
  <c r="C186" i="27"/>
  <c r="L186" i="27" s="1"/>
  <c r="C187" i="27" l="1"/>
  <c r="F187" i="27"/>
  <c r="H187" i="27" s="1"/>
  <c r="J187" i="27" s="1"/>
  <c r="L187" i="27" l="1"/>
  <c r="F188" i="27" l="1"/>
  <c r="H188" i="27" s="1"/>
  <c r="J188" i="27" s="1"/>
  <c r="C188" i="27"/>
  <c r="L188" i="27" l="1"/>
  <c r="C189" i="27"/>
  <c r="F189" i="27"/>
  <c r="H189" i="27" s="1"/>
  <c r="J189" i="27" s="1"/>
  <c r="L189" i="27" l="1"/>
  <c r="C190" i="27" l="1"/>
  <c r="F190" i="27"/>
  <c r="H190" i="27" s="1"/>
  <c r="J190" i="27" s="1"/>
  <c r="L190" i="27" l="1"/>
  <c r="F191" i="27" l="1"/>
  <c r="H191" i="27" s="1"/>
  <c r="J191" i="27" s="1"/>
  <c r="C191" i="27"/>
  <c r="L191" i="27" s="1"/>
  <c r="F192" i="27" l="1"/>
  <c r="H192" i="27" s="1"/>
  <c r="J192" i="27" s="1"/>
  <c r="C192" i="27"/>
  <c r="L192" i="27" l="1"/>
  <c r="F193" i="27"/>
  <c r="C193" i="27"/>
  <c r="H193" i="27" l="1"/>
  <c r="J193" i="27" l="1"/>
  <c r="L193" i="27" l="1"/>
  <c r="C194" i="27" l="1"/>
  <c r="F194" i="27"/>
  <c r="H194" i="27" l="1"/>
  <c r="J194" i="27" l="1"/>
  <c r="L194" i="27" l="1"/>
  <c r="C195" i="27" l="1"/>
  <c r="F195" i="27"/>
  <c r="H195" i="27" l="1"/>
  <c r="J195" i="27" l="1"/>
  <c r="L195" i="27" l="1"/>
  <c r="F196" i="27" l="1"/>
  <c r="C196" i="27"/>
  <c r="H196" i="27" l="1"/>
  <c r="J196" i="27" l="1"/>
  <c r="L196" i="27" l="1"/>
  <c r="F197" i="27" l="1"/>
  <c r="H197" i="27" s="1"/>
  <c r="J197" i="27" s="1"/>
  <c r="C197" i="27"/>
  <c r="L197" i="27" l="1"/>
  <c r="C198" i="27" s="1"/>
  <c r="F198" i="27" l="1"/>
  <c r="H198" i="27" s="1"/>
  <c r="J198" i="27" s="1"/>
  <c r="L198" i="27" s="1"/>
  <c r="C199" i="27" s="1"/>
  <c r="F199" i="27" l="1"/>
  <c r="H199" i="27" s="1"/>
  <c r="J199" i="27" s="1"/>
  <c r="L199" i="27" l="1"/>
  <c r="C200" i="27" l="1"/>
  <c r="F200" i="27"/>
  <c r="H200" i="27" s="1"/>
  <c r="J200" i="27" s="1"/>
  <c r="L200" i="27" l="1"/>
  <c r="C201" i="27" l="1"/>
  <c r="L201" i="27" s="1"/>
  <c r="F201" i="27"/>
  <c r="H201" i="27" s="1"/>
  <c r="J201" i="27" s="1"/>
  <c r="F202" i="27" l="1"/>
  <c r="H202" i="27" s="1"/>
  <c r="J202" i="27" s="1"/>
  <c r="C202" i="27"/>
  <c r="L202" i="27" l="1"/>
  <c r="F203" i="27" l="1"/>
  <c r="H203" i="27" s="1"/>
  <c r="J203" i="27" s="1"/>
  <c r="C203" i="27"/>
  <c r="L203" i="27" l="1"/>
  <c r="F204" i="27" l="1"/>
  <c r="H204" i="27" s="1"/>
  <c r="J204" i="27" s="1"/>
  <c r="C204" i="27"/>
  <c r="L204" i="27" l="1"/>
  <c r="F205" i="27" l="1"/>
  <c r="H205" i="27" s="1"/>
  <c r="J205" i="27" s="1"/>
  <c r="C205" i="27"/>
  <c r="L205" i="27" s="1"/>
  <c r="F206" i="27" l="1"/>
  <c r="H206" i="27" s="1"/>
  <c r="J206" i="27" s="1"/>
  <c r="C206" i="27"/>
  <c r="L206" i="27" l="1"/>
  <c r="F207" i="27" l="1"/>
  <c r="H207" i="27" s="1"/>
  <c r="J207" i="27" s="1"/>
  <c r="C207" i="27"/>
  <c r="L207" i="27" l="1"/>
  <c r="F208" i="27" l="1"/>
  <c r="H208" i="27" s="1"/>
  <c r="J208" i="27" s="1"/>
  <c r="C208" i="27"/>
  <c r="L208" i="27" s="1"/>
  <c r="F209" i="27" l="1"/>
  <c r="H209" i="27" s="1"/>
  <c r="J209" i="27" s="1"/>
  <c r="C209" i="27"/>
  <c r="L209" i="27" s="1"/>
  <c r="C210" i="27" l="1"/>
  <c r="F210" i="27"/>
  <c r="H210" i="27" l="1"/>
  <c r="J210" i="27" l="1"/>
  <c r="L210" i="27" l="1"/>
  <c r="C211" i="27" l="1"/>
  <c r="F211" i="27"/>
  <c r="H211" i="27" l="1"/>
  <c r="J211" i="27" l="1"/>
  <c r="L211" i="27" l="1"/>
  <c r="C212" i="27" l="1"/>
  <c r="F212" i="27"/>
  <c r="H212" i="27" l="1"/>
  <c r="F213" i="27"/>
  <c r="C6" i="24" s="1"/>
  <c r="C7" i="24" s="1"/>
  <c r="C9" i="24" s="1"/>
  <c r="C10" i="24" s="1"/>
  <c r="J212" i="27" l="1"/>
  <c r="H213" i="27"/>
  <c r="G215" i="27" s="1"/>
  <c r="J213" i="27" l="1"/>
  <c r="L212" i="2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tc={418CC6C2-6B62-4CB3-A6C9-92B2A4C5B22E}</author>
  </authors>
  <commentList>
    <comment ref="O1" authorId="0" shapeId="0" xr:uid="{418CC6C2-6B62-4CB3-A6C9-92B2A4C5B22E}">
      <text>
        <t>[Threaded comment]
Your version of Excel allows you to read this threaded comment; however, any edits to it will get removed if the file is opened in a newer version of Excel. Learn more: https://go.microsoft.com/fwlink/?linkid=870924
Comment:
    Total is through June 2022 and used to correct formulas in columns M &amp; N starting in June 2022 and going foward.</t>
      </text>
    </comment>
  </commentList>
</comments>
</file>

<file path=xl/sharedStrings.xml><?xml version="1.0" encoding="utf-8"?>
<sst xmlns="http://schemas.openxmlformats.org/spreadsheetml/2006/main" count="241" uniqueCount="185">
  <si>
    <t>Kentucky Power Company</t>
  </si>
  <si>
    <t>Month</t>
  </si>
  <si>
    <t xml:space="preserve"> </t>
  </si>
  <si>
    <t>Unit 1</t>
  </si>
  <si>
    <t>Total</t>
  </si>
  <si>
    <t>Gross-up</t>
  </si>
  <si>
    <t>KENTUCKY POWER COMPANY</t>
  </si>
  <si>
    <t>SECTION V</t>
  </si>
  <si>
    <t>COST OF CAPITAL</t>
  </si>
  <si>
    <t>WORKPAPER S-2</t>
  </si>
  <si>
    <t>PAGE 1 OF 3</t>
  </si>
  <si>
    <t>Reapportioned</t>
  </si>
  <si>
    <t>Annual</t>
  </si>
  <si>
    <t>Weighted</t>
  </si>
  <si>
    <t>Kentucky</t>
  </si>
  <si>
    <t>Percentage</t>
  </si>
  <si>
    <t>Cost</t>
  </si>
  <si>
    <t>Average</t>
  </si>
  <si>
    <t>Line</t>
  </si>
  <si>
    <t>Jurisdictional</t>
  </si>
  <si>
    <t>of</t>
  </si>
  <si>
    <t>No.</t>
  </si>
  <si>
    <t>Description</t>
  </si>
  <si>
    <t>Capital   1/</t>
  </si>
  <si>
    <t>Rate</t>
  </si>
  <si>
    <t>Percent</t>
  </si>
  <si>
    <t>(6) = (4) X (5)</t>
  </si>
  <si>
    <t>Long Term Debt</t>
  </si>
  <si>
    <t>2/</t>
  </si>
  <si>
    <t>Short Term Debt</t>
  </si>
  <si>
    <t>3/</t>
  </si>
  <si>
    <t>Accounts Receivable Financing 4/</t>
  </si>
  <si>
    <t>5/</t>
  </si>
  <si>
    <t>Common Equity</t>
  </si>
  <si>
    <t>6/</t>
  </si>
  <si>
    <t>-------------------</t>
  </si>
  <si>
    <t>==========</t>
  </si>
  <si>
    <t>1/</t>
  </si>
  <si>
    <t>Per workpaper S-3, Pg 2, Ln 16</t>
  </si>
  <si>
    <t>4/</t>
  </si>
  <si>
    <t>13 Month Average Accounts Receivable Balance and 13 Month Average Annual Carrying Cost</t>
  </si>
  <si>
    <t>Per Recommendation of William Avera</t>
  </si>
  <si>
    <t>Computation of the Gross Revenue</t>
  </si>
  <si>
    <t>Conversion Factor</t>
  </si>
  <si>
    <t>PAGE 2 OF 3</t>
  </si>
  <si>
    <t>Line       No.</t>
  </si>
  <si>
    <t>Operating Revenues</t>
  </si>
  <si>
    <t>Less: Uncollectible Accounts Expense   1/</t>
  </si>
  <si>
    <t>KPSC Maintenance Fee</t>
  </si>
  <si>
    <t>---------------------</t>
  </si>
  <si>
    <t>Income Before income Taxes</t>
  </si>
  <si>
    <t>Less: State Income Taxes (L4 X 5.3947%)   2/</t>
  </si>
  <si>
    <t>Income Before Federal Income Taxes</t>
  </si>
  <si>
    <t>Less: Federal income Taxes (L6 X 35.00%)</t>
  </si>
  <si>
    <t>Operating Income Percentage</t>
  </si>
  <si>
    <t>Gross Revenue Conversion Factor (100% / L8)</t>
  </si>
  <si>
    <t>===========</t>
  </si>
  <si>
    <t>Gross Revenue CF Excluding Taxes (100%/ L4)</t>
  </si>
  <si>
    <t>WACC</t>
  </si>
  <si>
    <t>Additions</t>
  </si>
  <si>
    <t>CC</t>
  </si>
  <si>
    <t>Components Subject 
to WACC Return:</t>
  </si>
  <si>
    <t>Totals</t>
  </si>
  <si>
    <t>Monthly</t>
  </si>
  <si>
    <t>Monthly Payment</t>
  </si>
  <si>
    <t>Factor Calc</t>
  </si>
  <si>
    <t>Factor</t>
  </si>
  <si>
    <t>Retirement Costs</t>
  </si>
  <si>
    <t>Monthly WACC Calculation</t>
  </si>
  <si>
    <t>*</t>
  </si>
  <si>
    <t>ADIT Balance</t>
  </si>
  <si>
    <t>Components Subject to WACC Ending Balance</t>
  </si>
  <si>
    <t>Components Subject to WACC Beginning Balance</t>
  </si>
  <si>
    <t>*  Represents the reversal of the original ADIT included in the beginning balance.</t>
  </si>
  <si>
    <t>Actual June 30, 
2015 Balance</t>
  </si>
  <si>
    <t>NBV:  (1823379, 76)</t>
  </si>
  <si>
    <t>ARO Cash Flow (1823380)</t>
  </si>
  <si>
    <t>NBV</t>
  </si>
  <si>
    <t>M&amp;S</t>
  </si>
  <si>
    <t>Net Recovery</t>
  </si>
  <si>
    <t>Jurisdictional Factor</t>
  </si>
  <si>
    <t>Retail</t>
  </si>
  <si>
    <t>Total Company</t>
  </si>
  <si>
    <t>Monthly Revenue</t>
  </si>
  <si>
    <t>Monthly Change in ADIT on RA</t>
  </si>
  <si>
    <t>KY Jurisdictional</t>
  </si>
  <si>
    <t>Note this schedule is updated with Commission orders that impact gross up factors for KY.</t>
  </si>
  <si>
    <t>Note this schedule is updated with Commission orders that impact the WACC and CAP. structure  for KY.</t>
  </si>
  <si>
    <t>Cost after 
6/30/15</t>
  </si>
  <si>
    <t>Unit 2 O&amp;M (1823518)</t>
  </si>
  <si>
    <t>Unit 1 NBV (101/108)</t>
  </si>
  <si>
    <t>Unusable M&amp;S U2 (1823378)</t>
  </si>
  <si>
    <t>Unusable M&amp;S U1</t>
  </si>
  <si>
    <t>Change in Retirement Costs</t>
  </si>
  <si>
    <t>Retirement Costs Balance</t>
  </si>
  <si>
    <t>FOR ADIT CALCULATION ONLY - Reg. Asset 
(excluding M&amp;S and U1 NBV)</t>
  </si>
  <si>
    <t>Asbestos Adjustment Entry</t>
  </si>
  <si>
    <t>Net Book Value</t>
  </si>
  <si>
    <t>Cost of Removal</t>
  </si>
  <si>
    <t>Materials &amp; Supplies</t>
  </si>
  <si>
    <t>Asset Retirement Obligation Spent</t>
  </si>
  <si>
    <t>Unit 2 Operational &amp; Maintenance Expense</t>
  </si>
  <si>
    <t>Current Value of Coal Related Materials &amp; Supplies that is no longer usable.  
Regulatory asset is adjusted for inventory movement (transfers, scrap sales and other adjustments)</t>
  </si>
  <si>
    <t>Operational and Maintenance Costs Recoverable through the BSRR</t>
  </si>
  <si>
    <t>In June 2015, this represents the Net Book Value of Unit 2.  In December 2015, we transferred in the Net Book Value of Coal Related Assets for Unit 1.  Unit 1 retired in November 2015.
You will fill in current month activity after Day 5 of close.</t>
  </si>
  <si>
    <t>Cost of Removal is segregated from the NBV to provide visibility to the future cash outflows for the cost of removal.
You will fill in current month activity after Day 5 of close.</t>
  </si>
  <si>
    <t>Actual Coal related Asset Retirement Costs spent to date.
You will fill in current month activity after Day 5 of close.</t>
  </si>
  <si>
    <t>Net Book Value of Unit 1.  This balance was transferred to 1823379 in November 2015 as the Unit retired.
This amount should always be zero starting in November 2015.</t>
  </si>
  <si>
    <t>Current Value of Unit 1 Coal Related Materials &amp; Supplies that is no longer usable.  This balance was transferred to 1823378 in November 2015 as the Unit retired.
This amount should always be zero starting in November 2015.</t>
  </si>
  <si>
    <t>Unit 1 Coal Retirement (November 2015)</t>
  </si>
  <si>
    <t>Unit 1 Coal Retirement (Nov 2015)</t>
  </si>
  <si>
    <t>June 30, 2015 Balance</t>
  </si>
  <si>
    <t>Additions after 6/30/15</t>
  </si>
  <si>
    <t>Plus: Carrying Charges Incurred</t>
  </si>
  <si>
    <t>Less: Revenue collected</t>
  </si>
  <si>
    <t>Cumulative Actuals</t>
  </si>
  <si>
    <t xml:space="preserve"> Beginning Balance</t>
  </si>
  <si>
    <t>Levelized Payment</t>
  </si>
  <si>
    <t>Calculated Change in Reg Asset</t>
  </si>
  <si>
    <t>Ending Balance</t>
  </si>
  <si>
    <t xml:space="preserve">Components Subject to Recovery </t>
  </si>
  <si>
    <t>Amortization of Retirement Costs</t>
  </si>
  <si>
    <t>WACC Carrying Charges</t>
  </si>
  <si>
    <t>Total Costs to Recover</t>
  </si>
  <si>
    <t>Monthly Revenue Payment --&gt; Annual Revenue / 12 months</t>
  </si>
  <si>
    <t>Monthly Change in ADIT on RA at 21%</t>
  </si>
  <si>
    <t>Excess unprotected  ADIT will be amortized over 18 years beg 1/1/2018</t>
  </si>
  <si>
    <t>Beginning Jan 18, 2018</t>
  </si>
  <si>
    <t>ADIT</t>
  </si>
  <si>
    <t>Unamortized Excess Unprotected ADIT</t>
  </si>
  <si>
    <t>*Estimated future ADIT calculated as  Regulatory Asset Retirement Costs * 21%, actual ADIT calculated monthly for purpose of over/under</t>
  </si>
  <si>
    <t>Excess Unprotected ADFIT (Difference between 35% and 21%)</t>
  </si>
  <si>
    <t>December 2017 Reg Asset Balance Subject to ADIT</t>
  </si>
  <si>
    <t>Balance Net of Recovery</t>
  </si>
  <si>
    <t>Total Beginning Balance</t>
  </si>
  <si>
    <t>TEST YEAR ENDED 2/28/2017</t>
  </si>
  <si>
    <t>Test Year Twelve Ended 2/28/2017</t>
  </si>
  <si>
    <t>Schedule 3, Column 14, Lines 1, 2, 3 &amp; 4</t>
  </si>
  <si>
    <t>Per workpaper S-3, Pg 1, Ln 15, Col 14</t>
  </si>
  <si>
    <t>Per Commission Order Case No. 2017-00179</t>
  </si>
  <si>
    <t>**Excess Unprotected ADIT is being credited to customers in the Federal Tax Cut Tariff</t>
  </si>
  <si>
    <t>ADIT @ 35%</t>
  </si>
  <si>
    <t>ADIT @ 21%</t>
  </si>
  <si>
    <t>7/1/18-6/30/19</t>
  </si>
  <si>
    <t>Remaining Excess Unprotected ADFIT Balance</t>
  </si>
  <si>
    <t>Big Sandy Decommissioning Cost Component Summary</t>
  </si>
  <si>
    <t>Unprotected Excess ADIT Amortization</t>
  </si>
  <si>
    <t>7/1/19-6/30/20</t>
  </si>
  <si>
    <t>Beginning Jan 14, 2021</t>
  </si>
  <si>
    <t>7/1/20-6/30/21</t>
  </si>
  <si>
    <t>Excess unprotected amortization changed to 3 years beg Jan 2021 - Jan 2024</t>
  </si>
  <si>
    <t>TO TAX FOR ADIT CALCULATION</t>
  </si>
  <si>
    <t>LINE NO.</t>
  </si>
  <si>
    <t>Component</t>
  </si>
  <si>
    <t>Balances</t>
  </si>
  <si>
    <t>Cap.                                Structure</t>
  </si>
  <si>
    <t>Cost                                                Rates</t>
  </si>
  <si>
    <t>WACC                                              (Net of Tax)</t>
  </si>
  <si>
    <t>GRCF</t>
  </si>
  <si>
    <t>WACC       (PRE-TAX)</t>
  </si>
  <si>
    <t>L/T DEBT</t>
  </si>
  <si>
    <t>S/T DEBT</t>
  </si>
  <si>
    <t>ACCTS REC FINANCING</t>
  </si>
  <si>
    <t>C EQUITY</t>
  </si>
  <si>
    <t>TOTAL</t>
  </si>
  <si>
    <t>Debt</t>
  </si>
  <si>
    <t>Equity</t>
  </si>
  <si>
    <t>Less Uncollectible Accounts Expense</t>
  </si>
  <si>
    <t>KPSC Maintenance Assessment Fee</t>
  </si>
  <si>
    <t>Income Before Income Taxes</t>
  </si>
  <si>
    <t>Less State Income Taxes (Ln 4 x 5.8545)</t>
  </si>
  <si>
    <t>Taxable Income for Federal Income Taxes</t>
  </si>
  <si>
    <t>Less Federal Income Taxes (Ln 11*21%)</t>
  </si>
  <si>
    <t>Operating  Income Percentage</t>
  </si>
  <si>
    <t>Gross Up Factor  (100.00/Ln 9)</t>
  </si>
  <si>
    <t>As provided in Appendix A, Page 3 of 3, by the Public Service Commission in Order dated January 13, 2021 in Case No. 2020-00174 and as amended by the March 17, 2021 Order.</t>
  </si>
  <si>
    <t xml:space="preserve">  </t>
  </si>
  <si>
    <t>7/1/21-6/30/22</t>
  </si>
  <si>
    <t>less Excess Unprotected ADIT returned Jan 2018 -June 2022</t>
  </si>
  <si>
    <t>Big Sandy Decommissioning Rider (BSDR) 2023 Rate Update Summary</t>
  </si>
  <si>
    <t>7/1/22-6/30/23</t>
  </si>
  <si>
    <t>Remaining Reg Asset to Collect Over 17 Years</t>
  </si>
  <si>
    <t>Less: BSRR collection July 2015 - June 2023</t>
  </si>
  <si>
    <t>July 2023 Estimated ADIT at 21%*</t>
  </si>
  <si>
    <t>Annual Revenue --&gt; Total Costs / 17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</si>
</sst>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_);\(0\)"/>
    <numFmt numFmtId="166" formatCode="#,##0.000_);\(#,##0.000\)"/>
    <numFmt numFmtId="167" formatCode="0.0000%"/>
    <numFmt numFmtId="168" formatCode="0.000000"/>
    <numFmt numFmtId="169" formatCode="0.00000%"/>
    <numFmt numFmtId="170" formatCode="0.000000%"/>
    <numFmt numFmtId="171" formatCode="0.000000_);\(0.000000\)"/>
    <numFmt numFmtId="172" formatCode="_(* #,##0.0_);_(* \(#,##0.0\);&quot;&quot;;_(@_)"/>
    <numFmt numFmtId="173" formatCode="[Blue]#,##0,_);[Red]\(#,##0,\)"/>
    <numFmt numFmtId="174" formatCode="_(* #,##0.000_);_(* \(#,##0.000\);_(* &quot;-&quot;??_);_(@_)"/>
    <numFmt numFmtId="175" formatCode="_(* #,##0.00000_);_(* \(#,##0.00000\);_(* &quot;-&quot;?????_);_(@_)"/>
    <numFmt numFmtId="176" formatCode="[$-409]mmmm\-yy;@"/>
    <numFmt numFmtId="177" formatCode="m/d/yy;@"/>
    <numFmt numFmtId="178" formatCode="_(&quot;$&quot;* #,##0_);_(&quot;$&quot;* \(#,##0\);_(&quot;$&quot;* &quot;-&quot;??_);_(@_)"/>
    <numFmt numFmtId="179" formatCode="0.000%"/>
    <numFmt numFmtId="180" formatCode="0.0000"/>
    <numFmt numFmtId="181" formatCode="#,##0.0000_);\(#,##0.0000\)"/>
    <numFmt numFmtId="182" formatCode="_(* #,##0.0000_);_(* \(#,##0.0000\);_(* &quot;-&quot;??_);_(@_)"/>
  </numFmts>
  <fonts count="9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name val="Arial Unicode MS"/>
      <family val="2"/>
    </font>
    <font>
      <sz val="12"/>
      <name val="Arial MT"/>
    </font>
    <font>
      <sz val="10"/>
      <color indexed="8"/>
      <name val="Arial"/>
      <family val="2"/>
    </font>
    <font>
      <sz val="10"/>
      <color indexed="8"/>
      <name val="Tahoma"/>
      <family val="2"/>
    </font>
    <font>
      <sz val="10"/>
      <color indexed="9"/>
      <name val="Arial"/>
      <family val="2"/>
    </font>
    <font>
      <sz val="10"/>
      <color indexed="9"/>
      <name val="Tahoma"/>
      <family val="2"/>
    </font>
    <font>
      <sz val="10"/>
      <color indexed="20"/>
      <name val="Arial"/>
      <family val="2"/>
    </font>
    <font>
      <sz val="10"/>
      <color indexed="20"/>
      <name val="Tahoma"/>
      <family val="2"/>
    </font>
    <font>
      <b/>
      <sz val="10"/>
      <color indexed="52"/>
      <name val="Arial"/>
      <family val="2"/>
    </font>
    <font>
      <b/>
      <sz val="10"/>
      <color indexed="52"/>
      <name val="Tahoma"/>
      <family val="2"/>
    </font>
    <font>
      <b/>
      <sz val="10"/>
      <color indexed="9"/>
      <name val="Arial"/>
      <family val="2"/>
    </font>
    <font>
      <b/>
      <sz val="10"/>
      <color indexed="9"/>
      <name val="Tahoma"/>
      <family val="2"/>
    </font>
    <font>
      <b/>
      <sz val="10"/>
      <name val="Arial Unicode MS"/>
      <family val="2"/>
    </font>
    <font>
      <i/>
      <sz val="10"/>
      <color indexed="23"/>
      <name val="Arial"/>
      <family val="2"/>
    </font>
    <font>
      <i/>
      <sz val="10"/>
      <color indexed="23"/>
      <name val="Tahoma"/>
      <family val="2"/>
    </font>
    <font>
      <sz val="10"/>
      <color indexed="17"/>
      <name val="Arial"/>
      <family val="2"/>
    </font>
    <font>
      <sz val="10"/>
      <color indexed="17"/>
      <name val="Tahoma"/>
      <family val="2"/>
    </font>
    <font>
      <b/>
      <sz val="15"/>
      <color indexed="62"/>
      <name val="Calibri"/>
      <family val="2"/>
    </font>
    <font>
      <b/>
      <sz val="15"/>
      <color indexed="62"/>
      <name val="Arial"/>
      <family val="2"/>
    </font>
    <font>
      <b/>
      <sz val="15"/>
      <color indexed="56"/>
      <name val="Tahoma"/>
      <family val="2"/>
    </font>
    <font>
      <b/>
      <sz val="15"/>
      <color indexed="56"/>
      <name val="Arial"/>
      <family val="2"/>
    </font>
    <font>
      <b/>
      <sz val="13"/>
      <color indexed="62"/>
      <name val="Calibri"/>
      <family val="2"/>
    </font>
    <font>
      <b/>
      <sz val="13"/>
      <color indexed="62"/>
      <name val="Arial"/>
      <family val="2"/>
    </font>
    <font>
      <b/>
      <sz val="13"/>
      <color indexed="56"/>
      <name val="Tahoma"/>
      <family val="2"/>
    </font>
    <font>
      <b/>
      <sz val="13"/>
      <color indexed="56"/>
      <name val="Arial"/>
      <family val="2"/>
    </font>
    <font>
      <b/>
      <sz val="11"/>
      <color indexed="62"/>
      <name val="Calibri"/>
      <family val="2"/>
    </font>
    <font>
      <b/>
      <sz val="11"/>
      <color indexed="62"/>
      <name val="Arial"/>
      <family val="2"/>
    </font>
    <font>
      <b/>
      <sz val="11"/>
      <color indexed="56"/>
      <name val="Tahoma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62"/>
      <name val="Tahoma"/>
      <family val="2"/>
    </font>
    <font>
      <b/>
      <sz val="12"/>
      <color indexed="12"/>
      <name val="Arial"/>
      <family val="2"/>
    </font>
    <font>
      <sz val="10"/>
      <color indexed="52"/>
      <name val="Arial"/>
      <family val="2"/>
    </font>
    <font>
      <sz val="10"/>
      <color indexed="52"/>
      <name val="Tahoma"/>
      <family val="2"/>
    </font>
    <font>
      <sz val="10"/>
      <color indexed="60"/>
      <name val="Arial"/>
      <family val="2"/>
    </font>
    <font>
      <sz val="10"/>
      <color indexed="60"/>
      <name val="Tahoma"/>
      <family val="2"/>
    </font>
    <font>
      <sz val="10"/>
      <color indexed="64"/>
      <name val="Arial"/>
      <family val="2"/>
    </font>
    <font>
      <sz val="8"/>
      <color indexed="48"/>
      <name val="Arial"/>
      <family val="2"/>
    </font>
    <font>
      <b/>
      <sz val="10"/>
      <color indexed="63"/>
      <name val="Arial"/>
      <family val="2"/>
    </font>
    <font>
      <b/>
      <sz val="10"/>
      <color indexed="63"/>
      <name val="Tahoma"/>
      <family val="2"/>
    </font>
    <font>
      <b/>
      <sz val="18"/>
      <color indexed="62"/>
      <name val="Cambria"/>
      <family val="2"/>
    </font>
    <font>
      <b/>
      <sz val="10"/>
      <color indexed="8"/>
      <name val="Arial"/>
      <family val="2"/>
    </font>
    <font>
      <b/>
      <sz val="10"/>
      <color indexed="8"/>
      <name val="Tahoma"/>
      <family val="2"/>
    </font>
    <font>
      <sz val="10"/>
      <color indexed="10"/>
      <name val="Arial"/>
      <family val="2"/>
    </font>
    <font>
      <sz val="10"/>
      <color indexed="10"/>
      <name val="Tahoma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 Unicode MS"/>
    </font>
    <font>
      <b/>
      <sz val="10"/>
      <color indexed="12"/>
      <name val="Arial"/>
      <family val="2"/>
    </font>
    <font>
      <sz val="10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0"/>
      <name val="MS Sans Serif"/>
    </font>
    <font>
      <b/>
      <sz val="10"/>
      <name val="MS Sans Serif"/>
    </font>
    <font>
      <sz val="9"/>
      <color indexed="81"/>
      <name val="Tahoma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14"/>
      </patternFill>
    </fill>
    <fill>
      <patternFill patternType="solid">
        <fgColor indexed="55"/>
      </patternFill>
    </fill>
    <fill>
      <patternFill patternType="mediumGray">
        <fgColor indexed="22"/>
      </patternFill>
    </fill>
    <fill>
      <patternFill patternType="solid">
        <fgColor indexed="8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40">
    <xf numFmtId="0" fontId="0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7" fillId="2" borderId="0" applyNumberFormat="0" applyBorder="0" applyAlignment="0" applyProtection="0"/>
    <xf numFmtId="0" fontId="26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7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7" fillId="5" borderId="0" applyNumberFormat="0" applyBorder="0" applyAlignment="0" applyProtection="0"/>
    <xf numFmtId="0" fontId="26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7" fillId="7" borderId="0" applyNumberFormat="0" applyBorder="0" applyAlignment="0" applyProtection="0"/>
    <xf numFmtId="0" fontId="26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7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7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7" fillId="10" borderId="0" applyNumberFormat="0" applyBorder="0" applyAlignment="0" applyProtection="0"/>
    <xf numFmtId="0" fontId="26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7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7" fillId="13" borderId="0" applyNumberFormat="0" applyBorder="0" applyAlignment="0" applyProtection="0"/>
    <xf numFmtId="0" fontId="26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7" fillId="7" borderId="0" applyNumberFormat="0" applyBorder="0" applyAlignment="0" applyProtection="0"/>
    <xf numFmtId="0" fontId="26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7" fillId="10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7" fillId="15" borderId="0" applyNumberFormat="0" applyBorder="0" applyAlignment="0" applyProtection="0"/>
    <xf numFmtId="0" fontId="26" fillId="15" borderId="0" applyNumberFormat="0" applyBorder="0" applyAlignment="0" applyProtection="0"/>
    <xf numFmtId="0" fontId="1" fillId="15" borderId="0" applyNumberFormat="0" applyBorder="0" applyAlignment="0" applyProtection="0"/>
    <xf numFmtId="0" fontId="7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9" fillId="16" borderId="0" applyNumberFormat="0" applyBorder="0" applyAlignment="0" applyProtection="0"/>
    <xf numFmtId="0" fontId="28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9" fillId="12" borderId="0" applyNumberFormat="0" applyBorder="0" applyAlignment="0" applyProtection="0"/>
    <xf numFmtId="0" fontId="7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9" fillId="13" borderId="0" applyNumberFormat="0" applyBorder="0" applyAlignment="0" applyProtection="0"/>
    <xf numFmtId="0" fontId="28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9" fillId="18" borderId="0" applyNumberFormat="0" applyBorder="0" applyAlignment="0" applyProtection="0"/>
    <xf numFmtId="0" fontId="28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9" fillId="17" borderId="0" applyNumberFormat="0" applyBorder="0" applyAlignment="0" applyProtection="0"/>
    <xf numFmtId="0" fontId="7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9" fillId="19" borderId="0" applyNumberFormat="0" applyBorder="0" applyAlignment="0" applyProtection="0"/>
    <xf numFmtId="0" fontId="28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9" fillId="20" borderId="0" applyNumberFormat="0" applyBorder="0" applyAlignment="0" applyProtection="0"/>
    <xf numFmtId="0" fontId="28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9" fillId="21" borderId="0" applyNumberFormat="0" applyBorder="0" applyAlignment="0" applyProtection="0"/>
    <xf numFmtId="0" fontId="7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9" fillId="22" borderId="0" applyNumberFormat="0" applyBorder="0" applyAlignment="0" applyProtection="0"/>
    <xf numFmtId="0" fontId="7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9" fillId="18" borderId="0" applyNumberFormat="0" applyBorder="0" applyAlignment="0" applyProtection="0"/>
    <xf numFmtId="0" fontId="28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9" fillId="17" borderId="0" applyNumberFormat="0" applyBorder="0" applyAlignment="0" applyProtection="0"/>
    <xf numFmtId="0" fontId="7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9" fillId="24" borderId="0" applyNumberFormat="0" applyBorder="0" applyAlignment="0" applyProtection="0"/>
    <xf numFmtId="0" fontId="8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1" fillId="4" borderId="0" applyNumberFormat="0" applyBorder="0" applyAlignment="0" applyProtection="0"/>
    <xf numFmtId="0" fontId="30" fillId="4" borderId="0" applyNumberFormat="0" applyBorder="0" applyAlignment="0" applyProtection="0"/>
    <xf numFmtId="0" fontId="8" fillId="4" borderId="0" applyNumberFormat="0" applyBorder="0" applyAlignment="0" applyProtection="0"/>
    <xf numFmtId="0" fontId="9" fillId="3" borderId="1" applyNumberFormat="0" applyAlignment="0" applyProtection="0"/>
    <xf numFmtId="0" fontId="32" fillId="3" borderId="1" applyNumberFormat="0" applyAlignment="0" applyProtection="0"/>
    <xf numFmtId="0" fontId="32" fillId="3" borderId="1" applyNumberFormat="0" applyAlignment="0" applyProtection="0"/>
    <xf numFmtId="0" fontId="32" fillId="3" borderId="1" applyNumberFormat="0" applyAlignment="0" applyProtection="0"/>
    <xf numFmtId="0" fontId="33" fillId="3" borderId="1" applyNumberFormat="0" applyAlignment="0" applyProtection="0"/>
    <xf numFmtId="0" fontId="10" fillId="11" borderId="2" applyNumberFormat="0" applyAlignment="0" applyProtection="0"/>
    <xf numFmtId="0" fontId="34" fillId="11" borderId="2" applyNumberFormat="0" applyAlignment="0" applyProtection="0"/>
    <xf numFmtId="0" fontId="34" fillId="11" borderId="2" applyNumberFormat="0" applyAlignment="0" applyProtection="0"/>
    <xf numFmtId="0" fontId="34" fillId="11" borderId="2" applyNumberFormat="0" applyAlignment="0" applyProtection="0"/>
    <xf numFmtId="0" fontId="35" fillId="26" borderId="2" applyNumberFormat="0" applyAlignment="0" applyProtection="0"/>
    <xf numFmtId="0" fontId="34" fillId="26" borderId="2" applyNumberFormat="0" applyAlignment="0" applyProtection="0"/>
    <xf numFmtId="0" fontId="10" fillId="26" borderId="2" applyNumberFormat="0" applyAlignment="0" applyProtection="0"/>
    <xf numFmtId="43" fontId="6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6" fillId="0" borderId="0" applyFont="0" applyFill="0" applyBorder="0" applyAlignment="0" applyProtection="0"/>
    <xf numFmtId="40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4" fontId="69" fillId="0" borderId="0" applyFont="0" applyFill="0" applyBorder="0" applyAlignment="0" applyProtection="0"/>
    <xf numFmtId="44" fontId="69" fillId="0" borderId="0" applyFont="0" applyFill="0" applyBorder="0" applyAlignment="0" applyProtection="0"/>
    <xf numFmtId="44" fontId="69" fillId="0" borderId="0" applyFont="0" applyFill="0" applyBorder="0" applyAlignment="0" applyProtection="0"/>
    <xf numFmtId="44" fontId="69" fillId="0" borderId="0" applyFont="0" applyFill="0" applyBorder="0" applyAlignment="0" applyProtection="0"/>
    <xf numFmtId="44" fontId="69" fillId="0" borderId="0" applyFont="0" applyFill="0" applyBorder="0" applyAlignment="0" applyProtection="0"/>
    <xf numFmtId="44" fontId="69" fillId="0" borderId="0" applyFont="0" applyFill="0" applyBorder="0" applyAlignment="0" applyProtection="0"/>
    <xf numFmtId="44" fontId="69" fillId="0" borderId="0" applyFont="0" applyFill="0" applyBorder="0" applyAlignment="0" applyProtection="0"/>
    <xf numFmtId="44" fontId="69" fillId="0" borderId="0" applyFont="0" applyFill="0" applyBorder="0" applyAlignment="0" applyProtection="0"/>
    <xf numFmtId="44" fontId="69" fillId="0" borderId="0" applyFont="0" applyFill="0" applyBorder="0" applyAlignment="0" applyProtection="0"/>
    <xf numFmtId="44" fontId="69" fillId="0" borderId="0" applyFont="0" applyFill="0" applyBorder="0" applyAlignment="0" applyProtection="0"/>
    <xf numFmtId="44" fontId="69" fillId="0" borderId="0" applyFont="0" applyFill="0" applyBorder="0" applyAlignment="0" applyProtection="0"/>
    <xf numFmtId="44" fontId="69" fillId="0" borderId="0" applyFont="0" applyFill="0" applyBorder="0" applyAlignment="0" applyProtection="0"/>
    <xf numFmtId="44" fontId="6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8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40" fillId="5" borderId="0" applyNumberFormat="0" applyBorder="0" applyAlignment="0" applyProtection="0"/>
    <xf numFmtId="0" fontId="41" fillId="0" borderId="4" applyNumberFormat="0" applyFill="0" applyAlignment="0" applyProtection="0"/>
    <xf numFmtId="0" fontId="42" fillId="0" borderId="4" applyNumberFormat="0" applyFill="0" applyAlignment="0" applyProtection="0"/>
    <xf numFmtId="0" fontId="42" fillId="0" borderId="4" applyNumberFormat="0" applyFill="0" applyAlignment="0" applyProtection="0"/>
    <xf numFmtId="0" fontId="42" fillId="0" borderId="4" applyNumberFormat="0" applyFill="0" applyAlignment="0" applyProtection="0"/>
    <xf numFmtId="0" fontId="43" fillId="0" borderId="3" applyNumberFormat="0" applyFill="0" applyAlignment="0" applyProtection="0"/>
    <xf numFmtId="0" fontId="44" fillId="0" borderId="3" applyNumberFormat="0" applyFill="0" applyAlignment="0" applyProtection="0"/>
    <xf numFmtId="0" fontId="13" fillId="0" borderId="3" applyNumberFormat="0" applyFill="0" applyAlignment="0" applyProtection="0"/>
    <xf numFmtId="0" fontId="45" fillId="0" borderId="6" applyNumberFormat="0" applyFill="0" applyAlignment="0" applyProtection="0"/>
    <xf numFmtId="0" fontId="46" fillId="0" borderId="6" applyNumberFormat="0" applyFill="0" applyAlignment="0" applyProtection="0"/>
    <xf numFmtId="0" fontId="46" fillId="0" borderId="6" applyNumberFormat="0" applyFill="0" applyAlignment="0" applyProtection="0"/>
    <xf numFmtId="0" fontId="46" fillId="0" borderId="6" applyNumberFormat="0" applyFill="0" applyAlignment="0" applyProtection="0"/>
    <xf numFmtId="0" fontId="47" fillId="0" borderId="5" applyNumberFormat="0" applyFill="0" applyAlignment="0" applyProtection="0"/>
    <xf numFmtId="0" fontId="48" fillId="0" borderId="5" applyNumberFormat="0" applyFill="0" applyAlignment="0" applyProtection="0"/>
    <xf numFmtId="0" fontId="14" fillId="0" borderId="5" applyNumberFormat="0" applyFill="0" applyAlignment="0" applyProtection="0"/>
    <xf numFmtId="0" fontId="49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1" fillId="0" borderId="7" applyNumberFormat="0" applyFill="0" applyAlignment="0" applyProtection="0"/>
    <xf numFmtId="0" fontId="52" fillId="0" borderId="7" applyNumberFormat="0" applyFill="0" applyAlignment="0" applyProtection="0"/>
    <xf numFmtId="0" fontId="15" fillId="0" borderId="7" applyNumberFormat="0" applyFill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9" borderId="1" applyNumberFormat="0" applyAlignment="0" applyProtection="0"/>
    <xf numFmtId="0" fontId="53" fillId="9" borderId="1" applyNumberFormat="0" applyAlignment="0" applyProtection="0"/>
    <xf numFmtId="0" fontId="53" fillId="9" borderId="1" applyNumberFormat="0" applyAlignment="0" applyProtection="0"/>
    <xf numFmtId="0" fontId="53" fillId="9" borderId="1" applyNumberFormat="0" applyAlignment="0" applyProtection="0"/>
    <xf numFmtId="0" fontId="54" fillId="9" borderId="1" applyNumberFormat="0" applyAlignment="0" applyProtection="0"/>
    <xf numFmtId="41" fontId="55" fillId="0" borderId="0">
      <alignment horizontal="left"/>
    </xf>
    <xf numFmtId="0" fontId="17" fillId="0" borderId="9" applyNumberFormat="0" applyFill="0" applyAlignment="0" applyProtection="0"/>
    <xf numFmtId="0" fontId="56" fillId="0" borderId="9" applyNumberFormat="0" applyFill="0" applyAlignment="0" applyProtection="0"/>
    <xf numFmtId="0" fontId="56" fillId="0" borderId="9" applyNumberFormat="0" applyFill="0" applyAlignment="0" applyProtection="0"/>
    <xf numFmtId="0" fontId="56" fillId="0" borderId="9" applyNumberFormat="0" applyFill="0" applyAlignment="0" applyProtection="0"/>
    <xf numFmtId="0" fontId="57" fillId="0" borderId="9" applyNumberFormat="0" applyFill="0" applyAlignment="0" applyProtection="0"/>
    <xf numFmtId="0" fontId="1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9" fillId="14" borderId="0" applyNumberFormat="0" applyBorder="0" applyAlignment="0" applyProtection="0"/>
    <xf numFmtId="0" fontId="70" fillId="0" borderId="0"/>
    <xf numFmtId="0" fontId="24" fillId="0" borderId="0"/>
    <xf numFmtId="37" fontId="25" fillId="0" borderId="0"/>
    <xf numFmtId="0" fontId="25" fillId="0" borderId="0"/>
    <xf numFmtId="0" fontId="4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38" fontId="2" fillId="0" borderId="0"/>
    <xf numFmtId="38" fontId="2" fillId="0" borderId="0"/>
    <xf numFmtId="38" fontId="2" fillId="0" borderId="0"/>
    <xf numFmtId="38" fontId="2" fillId="0" borderId="0"/>
    <xf numFmtId="0" fontId="2" fillId="0" borderId="0"/>
    <xf numFmtId="0" fontId="69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38" fontId="2" fillId="0" borderId="0"/>
    <xf numFmtId="38" fontId="2" fillId="0" borderId="0"/>
    <xf numFmtId="38" fontId="2" fillId="0" borderId="0"/>
    <xf numFmtId="38" fontId="2" fillId="0" borderId="0"/>
    <xf numFmtId="38" fontId="2" fillId="0" borderId="0"/>
    <xf numFmtId="38" fontId="2" fillId="0" borderId="0"/>
    <xf numFmtId="38" fontId="2" fillId="0" borderId="0"/>
    <xf numFmtId="38" fontId="2" fillId="0" borderId="0"/>
    <xf numFmtId="38" fontId="2" fillId="0" borderId="0"/>
    <xf numFmtId="38" fontId="2" fillId="0" borderId="0"/>
    <xf numFmtId="0" fontId="3" fillId="0" borderId="0"/>
    <xf numFmtId="0" fontId="60" fillId="0" borderId="0"/>
    <xf numFmtId="0" fontId="60" fillId="0" borderId="0"/>
    <xf numFmtId="0" fontId="24" fillId="0" borderId="0"/>
    <xf numFmtId="0" fontId="4" fillId="0" borderId="0"/>
    <xf numFmtId="0" fontId="24" fillId="0" borderId="0"/>
    <xf numFmtId="0" fontId="24" fillId="0" borderId="0"/>
    <xf numFmtId="0" fontId="2" fillId="0" borderId="0"/>
    <xf numFmtId="0" fontId="60" fillId="0" borderId="0"/>
    <xf numFmtId="38" fontId="2" fillId="0" borderId="0"/>
    <xf numFmtId="38" fontId="2" fillId="0" borderId="0"/>
    <xf numFmtId="38" fontId="2" fillId="0" borderId="0"/>
    <xf numFmtId="38" fontId="2" fillId="0" borderId="0"/>
    <xf numFmtId="38" fontId="2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23" fillId="0" borderId="0"/>
    <xf numFmtId="0" fontId="2" fillId="0" borderId="0"/>
    <xf numFmtId="0" fontId="6" fillId="0" borderId="0"/>
    <xf numFmtId="0" fontId="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2" fillId="0" borderId="0"/>
    <xf numFmtId="0" fontId="70" fillId="0" borderId="0"/>
    <xf numFmtId="0" fontId="70" fillId="0" borderId="0"/>
    <xf numFmtId="0" fontId="70" fillId="0" borderId="0"/>
    <xf numFmtId="0" fontId="2" fillId="6" borderId="10" applyNumberFormat="0" applyFont="0" applyAlignment="0" applyProtection="0"/>
    <xf numFmtId="0" fontId="2" fillId="6" borderId="1" applyNumberFormat="0" applyFont="0" applyAlignment="0" applyProtection="0"/>
    <xf numFmtId="0" fontId="2" fillId="6" borderId="1" applyNumberFormat="0" applyFont="0" applyAlignment="0" applyProtection="0"/>
    <xf numFmtId="0" fontId="2" fillId="6" borderId="1" applyNumberFormat="0" applyFont="0" applyAlignment="0" applyProtection="0"/>
    <xf numFmtId="0" fontId="2" fillId="6" borderId="1" applyNumberFormat="0" applyFont="0" applyAlignment="0" applyProtection="0"/>
    <xf numFmtId="0" fontId="2" fillId="6" borderId="1" applyNumberFormat="0" applyFont="0" applyAlignment="0" applyProtection="0"/>
    <xf numFmtId="0" fontId="2" fillId="6" borderId="1" applyNumberFormat="0" applyFont="0" applyAlignment="0" applyProtection="0"/>
    <xf numFmtId="0" fontId="2" fillId="6" borderId="1" applyNumberFormat="0" applyFont="0" applyAlignment="0" applyProtection="0"/>
    <xf numFmtId="0" fontId="2" fillId="6" borderId="1" applyNumberFormat="0" applyFont="0" applyAlignment="0" applyProtection="0"/>
    <xf numFmtId="0" fontId="2" fillId="6" borderId="1" applyNumberFormat="0" applyFont="0" applyAlignment="0" applyProtection="0"/>
    <xf numFmtId="0" fontId="2" fillId="6" borderId="1" applyNumberFormat="0" applyFont="0" applyAlignment="0" applyProtection="0"/>
    <xf numFmtId="0" fontId="2" fillId="6" borderId="1" applyNumberFormat="0" applyFont="0" applyAlignment="0" applyProtection="0"/>
    <xf numFmtId="0" fontId="2" fillId="6" borderId="1" applyNumberFormat="0" applyFont="0" applyAlignment="0" applyProtection="0"/>
    <xf numFmtId="0" fontId="2" fillId="6" borderId="1" applyNumberFormat="0" applyFont="0" applyAlignment="0" applyProtection="0"/>
    <xf numFmtId="0" fontId="2" fillId="6" borderId="1" applyNumberFormat="0" applyFont="0" applyAlignment="0" applyProtection="0"/>
    <xf numFmtId="0" fontId="2" fillId="6" borderId="1" applyNumberFormat="0" applyFont="0" applyAlignment="0" applyProtection="0"/>
    <xf numFmtId="0" fontId="2" fillId="6" borderId="1" applyNumberFormat="0" applyFont="0" applyAlignment="0" applyProtection="0"/>
    <xf numFmtId="0" fontId="2" fillId="6" borderId="1" applyNumberFormat="0" applyFont="0" applyAlignment="0" applyProtection="0"/>
    <xf numFmtId="0" fontId="2" fillId="6" borderId="1" applyNumberFormat="0" applyFont="0" applyAlignment="0" applyProtection="0"/>
    <xf numFmtId="0" fontId="2" fillId="6" borderId="1" applyNumberFormat="0" applyFont="0" applyAlignment="0" applyProtection="0"/>
    <xf numFmtId="43" fontId="53" fillId="0" borderId="0"/>
    <xf numFmtId="173" fontId="61" fillId="0" borderId="0"/>
    <xf numFmtId="0" fontId="19" fillId="3" borderId="11" applyNumberFormat="0" applyAlignment="0" applyProtection="0"/>
    <xf numFmtId="0" fontId="62" fillId="3" borderId="11" applyNumberFormat="0" applyAlignment="0" applyProtection="0"/>
    <xf numFmtId="0" fontId="62" fillId="3" borderId="11" applyNumberFormat="0" applyAlignment="0" applyProtection="0"/>
    <xf numFmtId="0" fontId="62" fillId="3" borderId="11" applyNumberFormat="0" applyAlignment="0" applyProtection="0"/>
    <xf numFmtId="0" fontId="63" fillId="3" borderId="11" applyNumberFormat="0" applyAlignment="0" applyProtection="0"/>
    <xf numFmtId="9" fontId="6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 applyNumberFormat="0" applyFont="0" applyFill="0" applyBorder="0" applyAlignment="0" applyProtection="0">
      <alignment horizontal="left"/>
    </xf>
    <xf numFmtId="0" fontId="4" fillId="0" borderId="0" applyNumberFormat="0" applyFont="0" applyFill="0" applyBorder="0" applyAlignment="0" applyProtection="0">
      <alignment horizontal="left"/>
    </xf>
    <xf numFmtId="0" fontId="4" fillId="0" borderId="0" applyNumberFormat="0" applyFont="0" applyFill="0" applyBorder="0" applyAlignment="0" applyProtection="0">
      <alignment horizontal="left"/>
    </xf>
    <xf numFmtId="0" fontId="4" fillId="0" borderId="0" applyNumberFormat="0" applyFont="0" applyFill="0" applyBorder="0" applyAlignment="0" applyProtection="0">
      <alignment horizontal="left"/>
    </xf>
    <xf numFmtId="0" fontId="4" fillId="0" borderId="0" applyNumberFormat="0" applyFont="0" applyFill="0" applyBorder="0" applyAlignment="0" applyProtection="0">
      <alignment horizontal="left"/>
    </xf>
    <xf numFmtId="0" fontId="4" fillId="0" borderId="0" applyNumberFormat="0" applyFont="0" applyFill="0" applyBorder="0" applyAlignment="0" applyProtection="0">
      <alignment horizontal="left"/>
    </xf>
    <xf numFmtId="0" fontId="4" fillId="0" borderId="0" applyNumberFormat="0" applyFont="0" applyFill="0" applyBorder="0" applyAlignment="0" applyProtection="0">
      <alignment horizontal="left"/>
    </xf>
    <xf numFmtId="0" fontId="4" fillId="0" borderId="0" applyNumberFormat="0" applyFont="0" applyFill="0" applyBorder="0" applyAlignment="0" applyProtection="0">
      <alignment horizontal="left"/>
    </xf>
    <xf numFmtId="0" fontId="4" fillId="0" borderId="0" applyNumberFormat="0" applyFont="0" applyFill="0" applyBorder="0" applyAlignment="0" applyProtection="0">
      <alignment horizontal="left"/>
    </xf>
    <xf numFmtId="15" fontId="4" fillId="0" borderId="0" applyFont="0" applyFill="0" applyBorder="0" applyAlignment="0" applyProtection="0"/>
    <xf numFmtId="15" fontId="4" fillId="0" borderId="0" applyFont="0" applyFill="0" applyBorder="0" applyAlignment="0" applyProtection="0"/>
    <xf numFmtId="15" fontId="4" fillId="0" borderId="0" applyFont="0" applyFill="0" applyBorder="0" applyAlignment="0" applyProtection="0"/>
    <xf numFmtId="15" fontId="4" fillId="0" borderId="0" applyFont="0" applyFill="0" applyBorder="0" applyAlignment="0" applyProtection="0"/>
    <xf numFmtId="15" fontId="4" fillId="0" borderId="0" applyFont="0" applyFill="0" applyBorder="0" applyAlignment="0" applyProtection="0"/>
    <xf numFmtId="15" fontId="4" fillId="0" borderId="0" applyFont="0" applyFill="0" applyBorder="0" applyAlignment="0" applyProtection="0"/>
    <xf numFmtId="15" fontId="4" fillId="0" borderId="0" applyFont="0" applyFill="0" applyBorder="0" applyAlignment="0" applyProtection="0"/>
    <xf numFmtId="15" fontId="4" fillId="0" borderId="0" applyFont="0" applyFill="0" applyBorder="0" applyAlignment="0" applyProtection="0"/>
    <xf numFmtId="1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0" fontId="5" fillId="0" borderId="12">
      <alignment horizontal="center"/>
    </xf>
    <xf numFmtId="0" fontId="5" fillId="0" borderId="12">
      <alignment horizontal="center"/>
    </xf>
    <xf numFmtId="0" fontId="5" fillId="0" borderId="12">
      <alignment horizontal="center"/>
    </xf>
    <xf numFmtId="0" fontId="5" fillId="0" borderId="12">
      <alignment horizontal="center"/>
    </xf>
    <xf numFmtId="0" fontId="5" fillId="0" borderId="12">
      <alignment horizontal="center"/>
    </xf>
    <xf numFmtId="0" fontId="5" fillId="0" borderId="12">
      <alignment horizontal="center"/>
    </xf>
    <xf numFmtId="0" fontId="5" fillId="0" borderId="12">
      <alignment horizontal="center"/>
    </xf>
    <xf numFmtId="0" fontId="5" fillId="0" borderId="12">
      <alignment horizontal="center"/>
    </xf>
    <xf numFmtId="0" fontId="5" fillId="0" borderId="12">
      <alignment horizontal="center"/>
    </xf>
    <xf numFmtId="0" fontId="5" fillId="0" borderId="12">
      <alignment horizontal="center"/>
    </xf>
    <xf numFmtId="0" fontId="5" fillId="0" borderId="12">
      <alignment horizontal="center"/>
    </xf>
    <xf numFmtId="0" fontId="5" fillId="0" borderId="12">
      <alignment horizontal="center"/>
    </xf>
    <xf numFmtId="0" fontId="5" fillId="0" borderId="12">
      <alignment horizontal="center"/>
    </xf>
    <xf numFmtId="0" fontId="5" fillId="0" borderId="12">
      <alignment horizontal="center"/>
    </xf>
    <xf numFmtId="0" fontId="5" fillId="0" borderId="12">
      <alignment horizontal="center"/>
    </xf>
    <xf numFmtId="0" fontId="5" fillId="0" borderId="12">
      <alignment horizontal="center"/>
    </xf>
    <xf numFmtId="0" fontId="5" fillId="0" borderId="12">
      <alignment horizontal="center"/>
    </xf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0" fontId="4" fillId="27" borderId="0" applyNumberFormat="0" applyFont="0" applyBorder="0" applyAlignment="0" applyProtection="0"/>
    <xf numFmtId="0" fontId="4" fillId="27" borderId="0" applyNumberFormat="0" applyFont="0" applyBorder="0" applyAlignment="0" applyProtection="0"/>
    <xf numFmtId="0" fontId="4" fillId="27" borderId="0" applyNumberFormat="0" applyFont="0" applyBorder="0" applyAlignment="0" applyProtection="0"/>
    <xf numFmtId="0" fontId="4" fillId="27" borderId="0" applyNumberFormat="0" applyFont="0" applyBorder="0" applyAlignment="0" applyProtection="0"/>
    <xf numFmtId="0" fontId="4" fillId="27" borderId="0" applyNumberFormat="0" applyFont="0" applyBorder="0" applyAlignment="0" applyProtection="0"/>
    <xf numFmtId="0" fontId="4" fillId="27" borderId="0" applyNumberFormat="0" applyFont="0" applyBorder="0" applyAlignment="0" applyProtection="0"/>
    <xf numFmtId="0" fontId="4" fillId="27" borderId="0" applyNumberFormat="0" applyFont="0" applyBorder="0" applyAlignment="0" applyProtection="0"/>
    <xf numFmtId="0" fontId="4" fillId="27" borderId="0" applyNumberFormat="0" applyFont="0" applyBorder="0" applyAlignment="0" applyProtection="0"/>
    <xf numFmtId="0" fontId="4" fillId="27" borderId="0" applyNumberFormat="0" applyFont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4" applyNumberFormat="0" applyFill="0" applyAlignment="0" applyProtection="0"/>
    <xf numFmtId="0" fontId="65" fillId="0" borderId="14" applyNumberFormat="0" applyFill="0" applyAlignment="0" applyProtection="0"/>
    <xf numFmtId="0" fontId="65" fillId="0" borderId="14" applyNumberFormat="0" applyFill="0" applyAlignment="0" applyProtection="0"/>
    <xf numFmtId="0" fontId="65" fillId="0" borderId="14" applyNumberFormat="0" applyFill="0" applyAlignment="0" applyProtection="0"/>
    <xf numFmtId="0" fontId="66" fillId="0" borderId="13" applyNumberFormat="0" applyFill="0" applyAlignment="0" applyProtection="0"/>
    <xf numFmtId="0" fontId="65" fillId="0" borderId="13" applyNumberFormat="0" applyFill="0" applyAlignment="0" applyProtection="0"/>
    <xf numFmtId="0" fontId="21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78" fillId="0" borderId="0"/>
    <xf numFmtId="0" fontId="80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 applyNumberFormat="0" applyFont="0" applyFill="0" applyBorder="0" applyAlignment="0" applyProtection="0">
      <alignment horizontal="left"/>
    </xf>
    <xf numFmtId="15" fontId="88" fillId="0" borderId="0" applyFont="0" applyFill="0" applyBorder="0" applyAlignment="0" applyProtection="0"/>
    <xf numFmtId="4" fontId="88" fillId="0" borderId="0" applyFont="0" applyFill="0" applyBorder="0" applyAlignment="0" applyProtection="0"/>
    <xf numFmtId="0" fontId="89" fillId="0" borderId="12">
      <alignment horizontal="center"/>
    </xf>
    <xf numFmtId="3" fontId="88" fillId="0" borderId="0" applyFont="0" applyFill="0" applyBorder="0" applyAlignment="0" applyProtection="0"/>
    <xf numFmtId="0" fontId="88" fillId="27" borderId="0" applyNumberFormat="0" applyFont="0" applyBorder="0" applyAlignment="0" applyProtection="0"/>
  </cellStyleXfs>
  <cellXfs count="244">
    <xf numFmtId="0" fontId="0" fillId="0" borderId="0" xfId="0"/>
    <xf numFmtId="10" fontId="0" fillId="0" borderId="0" xfId="0" applyNumberFormat="1"/>
    <xf numFmtId="43" fontId="0" fillId="0" borderId="0" xfId="0" applyNumberFormat="1"/>
    <xf numFmtId="49" fontId="0" fillId="0" borderId="0" xfId="0" applyNumberFormat="1"/>
    <xf numFmtId="165" fontId="0" fillId="0" borderId="0" xfId="0" applyNumberFormat="1"/>
    <xf numFmtId="5" fontId="0" fillId="0" borderId="0" xfId="0" applyNumberFormat="1"/>
    <xf numFmtId="37" fontId="0" fillId="0" borderId="0" xfId="0" applyNumberFormat="1"/>
    <xf numFmtId="166" fontId="0" fillId="0" borderId="0" xfId="0" applyNumberFormat="1"/>
    <xf numFmtId="167" fontId="0" fillId="0" borderId="0" xfId="0" applyNumberFormat="1"/>
    <xf numFmtId="168" fontId="0" fillId="0" borderId="0" xfId="0" applyNumberFormat="1"/>
    <xf numFmtId="169" fontId="0" fillId="0" borderId="0" xfId="0" applyNumberFormat="1"/>
    <xf numFmtId="170" fontId="0" fillId="0" borderId="0" xfId="0" applyNumberFormat="1"/>
    <xf numFmtId="171" fontId="0" fillId="0" borderId="0" xfId="0" applyNumberFormat="1"/>
    <xf numFmtId="10" fontId="69" fillId="0" borderId="0" xfId="608" applyNumberFormat="1" applyFont="1"/>
    <xf numFmtId="43" fontId="69" fillId="0" borderId="0" xfId="178" applyFont="1"/>
    <xf numFmtId="175" fontId="0" fillId="0" borderId="0" xfId="0" applyNumberFormat="1"/>
    <xf numFmtId="0" fontId="71" fillId="0" borderId="12" xfId="0" applyFont="1" applyFill="1" applyBorder="1" applyAlignment="1">
      <alignment horizontal="center"/>
    </xf>
    <xf numFmtId="177" fontId="0" fillId="0" borderId="0" xfId="0" applyNumberFormat="1" applyFill="1"/>
    <xf numFmtId="44" fontId="0" fillId="0" borderId="0" xfId="0" applyNumberFormat="1" applyFill="1"/>
    <xf numFmtId="6" fontId="72" fillId="0" borderId="0" xfId="0" applyNumberFormat="1" applyFont="1" applyFill="1"/>
    <xf numFmtId="6" fontId="72" fillId="0" borderId="0" xfId="178" applyNumberFormat="1" applyFont="1" applyFill="1"/>
    <xf numFmtId="8" fontId="72" fillId="0" borderId="0" xfId="0" applyNumberFormat="1" applyFont="1" applyFill="1"/>
    <xf numFmtId="0" fontId="0" fillId="0" borderId="0" xfId="0" applyFill="1" applyAlignment="1">
      <alignment horizontal="center"/>
    </xf>
    <xf numFmtId="43" fontId="69" fillId="0" borderId="0" xfId="178" applyFont="1" applyFill="1"/>
    <xf numFmtId="14" fontId="0" fillId="0" borderId="0" xfId="0" applyNumberFormat="1" applyFill="1"/>
    <xf numFmtId="0" fontId="72" fillId="0" borderId="0" xfId="0" applyFont="1" applyFill="1"/>
    <xf numFmtId="8" fontId="0" fillId="0" borderId="0" xfId="0" applyNumberFormat="1" applyFill="1"/>
    <xf numFmtId="43" fontId="0" fillId="0" borderId="0" xfId="0" applyNumberFormat="1" applyFill="1"/>
    <xf numFmtId="167" fontId="69" fillId="0" borderId="0" xfId="608" applyNumberFormat="1" applyFont="1" applyFill="1"/>
    <xf numFmtId="0" fontId="73" fillId="0" borderId="0" xfId="0" applyFont="1" applyFill="1"/>
    <xf numFmtId="0" fontId="74" fillId="0" borderId="0" xfId="0" applyFont="1" applyFill="1"/>
    <xf numFmtId="174" fontId="69" fillId="0" borderId="0" xfId="178" applyNumberFormat="1" applyFont="1" applyFill="1" applyAlignment="1">
      <alignment horizontal="center"/>
    </xf>
    <xf numFmtId="167" fontId="69" fillId="0" borderId="0" xfId="608" applyNumberFormat="1" applyFont="1" applyFill="1" applyAlignment="1">
      <alignment horizontal="center"/>
    </xf>
    <xf numFmtId="0" fontId="74" fillId="0" borderId="0" xfId="0" applyFont="1" applyFill="1" applyAlignment="1">
      <alignment horizontal="center" wrapText="1"/>
    </xf>
    <xf numFmtId="0" fontId="0" fillId="0" borderId="0" xfId="0" applyFill="1"/>
    <xf numFmtId="8" fontId="72" fillId="0" borderId="0" xfId="178" applyNumberFormat="1" applyFont="1" applyFill="1"/>
    <xf numFmtId="0" fontId="0" fillId="0" borderId="0" xfId="0" applyFill="1" applyBorder="1"/>
    <xf numFmtId="164" fontId="72" fillId="0" borderId="0" xfId="178" applyNumberFormat="1" applyFont="1" applyFill="1"/>
    <xf numFmtId="164" fontId="0" fillId="0" borderId="0" xfId="0" applyNumberFormat="1" applyFill="1"/>
    <xf numFmtId="179" fontId="0" fillId="0" borderId="0" xfId="0" applyNumberFormat="1"/>
    <xf numFmtId="0" fontId="71" fillId="0" borderId="0" xfId="0" applyFont="1" applyFill="1"/>
    <xf numFmtId="49" fontId="0" fillId="0" borderId="0" xfId="0" applyNumberFormat="1" applyFill="1"/>
    <xf numFmtId="180" fontId="0" fillId="0" borderId="0" xfId="0" applyNumberFormat="1"/>
    <xf numFmtId="5" fontId="73" fillId="0" borderId="0" xfId="0" applyNumberFormat="1" applyFont="1"/>
    <xf numFmtId="37" fontId="73" fillId="0" borderId="0" xfId="0" applyNumberFormat="1" applyFont="1"/>
    <xf numFmtId="164" fontId="0" fillId="0" borderId="0" xfId="178" applyNumberFormat="1" applyFont="1" applyFill="1"/>
    <xf numFmtId="1" fontId="72" fillId="0" borderId="0" xfId="0" applyNumberFormat="1" applyFont="1" applyFill="1"/>
    <xf numFmtId="6" fontId="72" fillId="0" borderId="0" xfId="0" applyNumberFormat="1" applyFont="1" applyFill="1" applyAlignment="1">
      <alignment horizontal="center"/>
    </xf>
    <xf numFmtId="6" fontId="74" fillId="0" borderId="0" xfId="0" applyNumberFormat="1" applyFont="1" applyFill="1" applyAlignment="1">
      <alignment horizontal="center" wrapText="1"/>
    </xf>
    <xf numFmtId="6" fontId="72" fillId="0" borderId="0" xfId="178" quotePrefix="1" applyNumberFormat="1" applyFont="1" applyFill="1"/>
    <xf numFmtId="0" fontId="2" fillId="0" borderId="0" xfId="459" applyAlignment="1">
      <alignment horizontal="center"/>
    </xf>
    <xf numFmtId="0" fontId="2" fillId="0" borderId="0" xfId="459"/>
    <xf numFmtId="49" fontId="2" fillId="0" borderId="0" xfId="459" applyNumberFormat="1" applyAlignment="1">
      <alignment horizontal="left"/>
    </xf>
    <xf numFmtId="0" fontId="2" fillId="0" borderId="0" xfId="459" applyFont="1"/>
    <xf numFmtId="0" fontId="2" fillId="0" borderId="0" xfId="459" applyBorder="1" applyAlignment="1">
      <alignment horizontal="center"/>
    </xf>
    <xf numFmtId="0" fontId="2" fillId="0" borderId="0" xfId="459" applyBorder="1"/>
    <xf numFmtId="49" fontId="4" fillId="0" borderId="31" xfId="437" applyNumberFormat="1" applyBorder="1" applyAlignment="1">
      <alignment horizontal="center" wrapText="1"/>
    </xf>
    <xf numFmtId="49" fontId="4" fillId="28" borderId="32" xfId="437" applyNumberFormat="1" applyFill="1" applyBorder="1" applyAlignment="1">
      <alignment wrapText="1"/>
    </xf>
    <xf numFmtId="49" fontId="4" fillId="0" borderId="25" xfId="437" applyNumberFormat="1" applyBorder="1" applyAlignment="1">
      <alignment horizontal="center" wrapText="1"/>
    </xf>
    <xf numFmtId="49" fontId="4" fillId="28" borderId="33" xfId="437" applyNumberFormat="1" applyFill="1" applyBorder="1" applyAlignment="1">
      <alignment wrapText="1"/>
    </xf>
    <xf numFmtId="49" fontId="4" fillId="0" borderId="33" xfId="437" applyNumberFormat="1" applyBorder="1" applyAlignment="1">
      <alignment horizontal="center" wrapText="1"/>
    </xf>
    <xf numFmtId="49" fontId="4" fillId="0" borderId="31" xfId="437" applyNumberFormat="1" applyFill="1" applyBorder="1" applyAlignment="1">
      <alignment wrapText="1"/>
    </xf>
    <xf numFmtId="0" fontId="4" fillId="28" borderId="33" xfId="437" applyFill="1" applyBorder="1"/>
    <xf numFmtId="0" fontId="4" fillId="0" borderId="33" xfId="437" applyBorder="1" applyAlignment="1">
      <alignment horizontal="center"/>
    </xf>
    <xf numFmtId="0" fontId="4" fillId="28" borderId="33" xfId="437" applyFill="1" applyBorder="1" applyAlignment="1">
      <alignment horizontal="center"/>
    </xf>
    <xf numFmtId="0" fontId="4" fillId="0" borderId="33" xfId="437" applyBorder="1"/>
    <xf numFmtId="49" fontId="4" fillId="0" borderId="26" xfId="437" applyNumberFormat="1" applyBorder="1" applyAlignment="1">
      <alignment horizontal="center" wrapText="1"/>
    </xf>
    <xf numFmtId="49" fontId="2" fillId="0" borderId="0" xfId="459" applyNumberFormat="1" applyBorder="1" applyAlignment="1">
      <alignment horizontal="center" wrapText="1"/>
    </xf>
    <xf numFmtId="49" fontId="4" fillId="0" borderId="19" xfId="437" applyNumberFormat="1" applyBorder="1" applyAlignment="1">
      <alignment horizontal="center" wrapText="1"/>
    </xf>
    <xf numFmtId="49" fontId="4" fillId="28" borderId="0" xfId="437" applyNumberFormat="1" applyFill="1" applyBorder="1" applyAlignment="1">
      <alignment wrapText="1"/>
    </xf>
    <xf numFmtId="49" fontId="4" fillId="0" borderId="0" xfId="437" applyNumberFormat="1" applyBorder="1" applyAlignment="1">
      <alignment horizontal="center" wrapText="1"/>
    </xf>
    <xf numFmtId="168" fontId="79" fillId="0" borderId="0" xfId="437" applyNumberFormat="1" applyFont="1" applyBorder="1" applyAlignment="1">
      <alignment horizontal="center" wrapText="1"/>
    </xf>
    <xf numFmtId="49" fontId="4" fillId="0" borderId="28" xfId="437" applyNumberFormat="1" applyFill="1" applyBorder="1" applyAlignment="1">
      <alignment wrapText="1"/>
    </xf>
    <xf numFmtId="0" fontId="4" fillId="28" borderId="0" xfId="437" applyFill="1" applyBorder="1"/>
    <xf numFmtId="0" fontId="4" fillId="0" borderId="0" xfId="437" applyBorder="1" applyAlignment="1">
      <alignment horizontal="center"/>
    </xf>
    <xf numFmtId="0" fontId="4" fillId="28" borderId="0" xfId="437" applyFill="1" applyBorder="1" applyAlignment="1">
      <alignment horizontal="center"/>
    </xf>
    <xf numFmtId="0" fontId="4" fillId="0" borderId="0" xfId="437" applyBorder="1"/>
    <xf numFmtId="49" fontId="4" fillId="0" borderId="24" xfId="437" applyNumberFormat="1" applyBorder="1" applyAlignment="1">
      <alignment horizontal="center" wrapText="1"/>
    </xf>
    <xf numFmtId="0" fontId="4" fillId="0" borderId="27" xfId="437" applyBorder="1" applyAlignment="1">
      <alignment horizontal="center"/>
    </xf>
    <xf numFmtId="0" fontId="4" fillId="28" borderId="32" xfId="437" applyFill="1" applyBorder="1"/>
    <xf numFmtId="0" fontId="4" fillId="0" borderId="32" xfId="437" applyBorder="1"/>
    <xf numFmtId="0" fontId="4" fillId="0" borderId="27" xfId="437" applyFill="1" applyBorder="1"/>
    <xf numFmtId="0" fontId="4" fillId="0" borderId="34" xfId="437" applyBorder="1"/>
    <xf numFmtId="0" fontId="0" fillId="0" borderId="28" xfId="437" applyFont="1" applyBorder="1" applyAlignment="1">
      <alignment horizontal="center"/>
    </xf>
    <xf numFmtId="5" fontId="26" fillId="0" borderId="0" xfId="437" applyNumberFormat="1" applyFont="1" applyBorder="1"/>
    <xf numFmtId="10" fontId="4" fillId="0" borderId="0" xfId="437" applyNumberFormat="1" applyBorder="1"/>
    <xf numFmtId="10" fontId="26" fillId="0" borderId="0" xfId="437" applyNumberFormat="1" applyFont="1" applyBorder="1"/>
    <xf numFmtId="0" fontId="4" fillId="0" borderId="28" xfId="437" applyFill="1" applyBorder="1"/>
    <xf numFmtId="168" fontId="4" fillId="0" borderId="0" xfId="437" applyNumberFormat="1" applyBorder="1" applyAlignment="1">
      <alignment horizontal="center"/>
    </xf>
    <xf numFmtId="0" fontId="0" fillId="0" borderId="0" xfId="437" applyFont="1" applyBorder="1"/>
    <xf numFmtId="10" fontId="4" fillId="0" borderId="24" xfId="437" applyNumberFormat="1" applyBorder="1"/>
    <xf numFmtId="10" fontId="2" fillId="0" borderId="0" xfId="459" applyNumberFormat="1" applyBorder="1"/>
    <xf numFmtId="0" fontId="80" fillId="0" borderId="0" xfId="724"/>
    <xf numFmtId="49" fontId="4" fillId="0" borderId="0" xfId="437" applyNumberFormat="1" applyFill="1" applyBorder="1" applyAlignment="1">
      <alignment wrapText="1"/>
    </xf>
    <xf numFmtId="10" fontId="79" fillId="0" borderId="0" xfId="437" applyNumberFormat="1" applyFont="1" applyBorder="1"/>
    <xf numFmtId="0" fontId="2" fillId="0" borderId="28" xfId="437" applyFont="1" applyBorder="1" applyAlignment="1">
      <alignment horizontal="center"/>
    </xf>
    <xf numFmtId="168" fontId="79" fillId="0" borderId="0" xfId="437" applyNumberFormat="1" applyFont="1" applyBorder="1" applyAlignment="1">
      <alignment horizontal="center"/>
    </xf>
    <xf numFmtId="0" fontId="0" fillId="0" borderId="0" xfId="437" applyFont="1" applyBorder="1" applyAlignment="1">
      <alignment horizontal="center"/>
    </xf>
    <xf numFmtId="179" fontId="4" fillId="0" borderId="0" xfId="437" applyNumberFormat="1" applyBorder="1"/>
    <xf numFmtId="179" fontId="67" fillId="0" borderId="0" xfId="437" applyNumberFormat="1" applyFont="1" applyBorder="1"/>
    <xf numFmtId="181" fontId="2" fillId="0" borderId="0" xfId="459" applyNumberFormat="1" applyBorder="1"/>
    <xf numFmtId="5" fontId="65" fillId="0" borderId="0" xfId="437" applyNumberFormat="1" applyFont="1" applyBorder="1"/>
    <xf numFmtId="10" fontId="81" fillId="0" borderId="0" xfId="437" applyNumberFormat="1" applyFont="1" applyBorder="1"/>
    <xf numFmtId="10" fontId="81" fillId="0" borderId="24" xfId="437" quotePrefix="1" applyNumberFormat="1" applyFont="1" applyBorder="1" applyAlignment="1">
      <alignment horizontal="right" wrapText="1"/>
    </xf>
    <xf numFmtId="10" fontId="81" fillId="0" borderId="0" xfId="459" applyNumberFormat="1" applyFont="1" applyBorder="1" applyAlignment="1">
      <alignment horizontal="center" wrapText="1"/>
    </xf>
    <xf numFmtId="0" fontId="4" fillId="0" borderId="24" xfId="437" applyBorder="1"/>
    <xf numFmtId="0" fontId="0" fillId="0" borderId="29" xfId="437" applyFont="1" applyBorder="1" applyAlignment="1">
      <alignment horizontal="center"/>
    </xf>
    <xf numFmtId="0" fontId="4" fillId="28" borderId="12" xfId="437" applyFill="1" applyBorder="1"/>
    <xf numFmtId="0" fontId="4" fillId="0" borderId="12" xfId="437" applyBorder="1"/>
    <xf numFmtId="0" fontId="4" fillId="0" borderId="29" xfId="437" applyFill="1" applyBorder="1"/>
    <xf numFmtId="0" fontId="4" fillId="0" borderId="35" xfId="437" applyBorder="1"/>
    <xf numFmtId="0" fontId="2" fillId="0" borderId="19" xfId="459" applyBorder="1" applyAlignment="1">
      <alignment horizontal="center"/>
    </xf>
    <xf numFmtId="0" fontId="2" fillId="28" borderId="0" xfId="459" applyFill="1" applyBorder="1"/>
    <xf numFmtId="0" fontId="2" fillId="28" borderId="0" xfId="459" applyFill="1" applyBorder="1" applyAlignment="1">
      <alignment horizontal="center"/>
    </xf>
    <xf numFmtId="0" fontId="2" fillId="0" borderId="24" xfId="459" applyBorder="1"/>
    <xf numFmtId="0" fontId="2" fillId="0" borderId="0" xfId="459" applyFill="1" applyBorder="1" applyAlignment="1">
      <alignment horizontal="center"/>
    </xf>
    <xf numFmtId="0" fontId="2" fillId="0" borderId="0" xfId="459" applyFill="1" applyBorder="1"/>
    <xf numFmtId="0" fontId="2" fillId="0" borderId="0" xfId="459" applyFill="1"/>
    <xf numFmtId="0" fontId="82" fillId="0" borderId="0" xfId="459" applyFont="1" applyFill="1" applyBorder="1" applyAlignment="1">
      <alignment horizontal="center"/>
    </xf>
    <xf numFmtId="182" fontId="4" fillId="0" borderId="0" xfId="202" applyNumberFormat="1" applyFont="1" applyBorder="1"/>
    <xf numFmtId="0" fontId="4" fillId="0" borderId="0" xfId="437"/>
    <xf numFmtId="182" fontId="4" fillId="0" borderId="0" xfId="202" applyNumberFormat="1" applyFont="1"/>
    <xf numFmtId="0" fontId="0" fillId="0" borderId="0" xfId="437" applyFont="1"/>
    <xf numFmtId="180" fontId="4" fillId="0" borderId="0" xfId="437" applyNumberFormat="1"/>
    <xf numFmtId="0" fontId="2" fillId="0" borderId="0" xfId="437" applyFont="1"/>
    <xf numFmtId="0" fontId="2" fillId="0" borderId="0" xfId="459" applyFont="1" applyAlignment="1">
      <alignment horizontal="center"/>
    </xf>
    <xf numFmtId="43" fontId="4" fillId="0" borderId="0" xfId="437" applyNumberFormat="1"/>
    <xf numFmtId="0" fontId="4" fillId="0" borderId="0" xfId="437" applyAlignment="1">
      <alignment horizontal="center"/>
    </xf>
    <xf numFmtId="182" fontId="4" fillId="0" borderId="0" xfId="202" applyNumberFormat="1" applyFont="1" applyAlignment="1">
      <alignment vertical="center"/>
    </xf>
    <xf numFmtId="168" fontId="4" fillId="0" borderId="0" xfId="437" applyNumberFormat="1"/>
    <xf numFmtId="0" fontId="2" fillId="0" borderId="0" xfId="437" applyFont="1" applyAlignment="1">
      <alignment horizontal="center"/>
    </xf>
    <xf numFmtId="0" fontId="2" fillId="0" borderId="0" xfId="459" applyFont="1" applyAlignment="1">
      <alignment horizontal="center" vertical="center"/>
    </xf>
    <xf numFmtId="0" fontId="2" fillId="0" borderId="0" xfId="459" applyFont="1" applyAlignment="1">
      <alignment horizontal="left" wrapText="1"/>
    </xf>
    <xf numFmtId="0" fontId="81" fillId="0" borderId="0" xfId="437" applyFont="1" applyFill="1" applyBorder="1" applyAlignment="1">
      <alignment horizontal="center" vertical="center"/>
    </xf>
    <xf numFmtId="37" fontId="2" fillId="0" borderId="0" xfId="437" applyNumberFormat="1" applyFont="1" applyFill="1" applyBorder="1" applyAlignment="1">
      <alignment horizontal="center"/>
    </xf>
    <xf numFmtId="0" fontId="2" fillId="0" borderId="0" xfId="437" applyFont="1" applyFill="1" applyBorder="1"/>
    <xf numFmtId="0" fontId="4" fillId="0" borderId="0" xfId="437" applyFill="1" applyBorder="1"/>
    <xf numFmtId="10" fontId="4" fillId="0" borderId="0" xfId="437" applyNumberFormat="1" applyFill="1" applyBorder="1"/>
    <xf numFmtId="0" fontId="4" fillId="0" borderId="0" xfId="437" applyFill="1" applyBorder="1" applyAlignment="1">
      <alignment horizontal="center"/>
    </xf>
    <xf numFmtId="0" fontId="4" fillId="0" borderId="0" xfId="437" applyFill="1"/>
    <xf numFmtId="49" fontId="2" fillId="0" borderId="0" xfId="437" applyNumberFormat="1" applyFont="1" applyFill="1" applyBorder="1" applyAlignment="1">
      <alignment horizontal="center" wrapText="1"/>
    </xf>
    <xf numFmtId="37" fontId="4" fillId="0" borderId="0" xfId="437" applyNumberFormat="1" applyFill="1" applyBorder="1" applyAlignment="1">
      <alignment horizontal="center"/>
    </xf>
    <xf numFmtId="0" fontId="71" fillId="0" borderId="0" xfId="0" applyFont="1" applyFill="1" applyBorder="1" applyAlignment="1">
      <alignment horizontal="center"/>
    </xf>
    <xf numFmtId="0" fontId="83" fillId="0" borderId="0" xfId="0" applyFont="1" applyFill="1" applyAlignment="1">
      <alignment horizontal="center"/>
    </xf>
    <xf numFmtId="0" fontId="83" fillId="0" borderId="0" xfId="0" applyFont="1" applyFill="1"/>
    <xf numFmtId="176" fontId="83" fillId="0" borderId="0" xfId="0" quotePrefix="1" applyNumberFormat="1" applyFont="1" applyFill="1"/>
    <xf numFmtId="43" fontId="83" fillId="0" borderId="0" xfId="178" applyFont="1" applyFill="1"/>
    <xf numFmtId="14" fontId="83" fillId="0" borderId="0" xfId="0" quotePrefix="1" applyNumberFormat="1" applyFont="1" applyFill="1" applyAlignment="1">
      <alignment horizontal="right"/>
    </xf>
    <xf numFmtId="174" fontId="83" fillId="0" borderId="0" xfId="178" applyNumberFormat="1" applyFont="1" applyFill="1"/>
    <xf numFmtId="43" fontId="83" fillId="0" borderId="0" xfId="0" applyNumberFormat="1" applyFont="1" applyFill="1"/>
    <xf numFmtId="0" fontId="84" fillId="0" borderId="0" xfId="0" applyFont="1" applyFill="1"/>
    <xf numFmtId="167" fontId="83" fillId="0" borderId="0" xfId="608" applyNumberFormat="1" applyFont="1" applyFill="1"/>
    <xf numFmtId="0" fontId="85" fillId="0" borderId="0" xfId="0" applyFont="1" applyFill="1"/>
    <xf numFmtId="8" fontId="84" fillId="0" borderId="0" xfId="0" applyNumberFormat="1" applyFont="1" applyFill="1"/>
    <xf numFmtId="174" fontId="83" fillId="0" borderId="0" xfId="178" applyNumberFormat="1" applyFont="1" applyFill="1" applyAlignment="1">
      <alignment horizontal="center"/>
    </xf>
    <xf numFmtId="167" fontId="83" fillId="0" borderId="0" xfId="608" applyNumberFormat="1" applyFont="1" applyFill="1" applyAlignment="1">
      <alignment horizontal="center"/>
    </xf>
    <xf numFmtId="9" fontId="83" fillId="0" borderId="0" xfId="608" applyFont="1" applyFill="1" applyAlignment="1">
      <alignment horizontal="center"/>
    </xf>
    <xf numFmtId="0" fontId="86" fillId="0" borderId="0" xfId="0" applyFont="1" applyFill="1" applyBorder="1" applyAlignment="1">
      <alignment horizontal="center"/>
    </xf>
    <xf numFmtId="0" fontId="84" fillId="0" borderId="0" xfId="0" applyFont="1" applyFill="1" applyAlignment="1">
      <alignment horizontal="center"/>
    </xf>
    <xf numFmtId="0" fontId="85" fillId="0" borderId="0" xfId="0" applyFont="1" applyFill="1" applyAlignment="1">
      <alignment horizontal="center" wrapText="1"/>
    </xf>
    <xf numFmtId="14" fontId="83" fillId="0" borderId="0" xfId="0" applyNumberFormat="1" applyFont="1" applyFill="1"/>
    <xf numFmtId="0" fontId="83" fillId="0" borderId="0" xfId="0" applyFont="1" applyFill="1" applyBorder="1"/>
    <xf numFmtId="8" fontId="83" fillId="0" borderId="0" xfId="0" applyNumberFormat="1" applyFont="1" applyFill="1"/>
    <xf numFmtId="176" fontId="83" fillId="0" borderId="0" xfId="0" applyNumberFormat="1" applyFont="1" applyFill="1"/>
    <xf numFmtId="43" fontId="84" fillId="0" borderId="0" xfId="178" applyNumberFormat="1" applyFont="1" applyFill="1"/>
    <xf numFmtId="8" fontId="84" fillId="0" borderId="0" xfId="178" applyNumberFormat="1" applyFont="1" applyFill="1"/>
    <xf numFmtId="176" fontId="83" fillId="0" borderId="0" xfId="0" applyNumberFormat="1" applyFont="1" applyFill="1" applyBorder="1"/>
    <xf numFmtId="8" fontId="83" fillId="0" borderId="0" xfId="0" applyNumberFormat="1" applyFont="1" applyFill="1" applyBorder="1"/>
    <xf numFmtId="43" fontId="83" fillId="0" borderId="0" xfId="178" applyFont="1" applyFill="1" applyBorder="1"/>
    <xf numFmtId="8" fontId="84" fillId="0" borderId="0" xfId="178" applyNumberFormat="1" applyFont="1" applyFill="1" applyBorder="1"/>
    <xf numFmtId="43" fontId="83" fillId="0" borderId="0" xfId="0" applyNumberFormat="1" applyFont="1" applyFill="1" applyBorder="1"/>
    <xf numFmtId="43" fontId="84" fillId="0" borderId="0" xfId="178" applyNumberFormat="1" applyFont="1" applyFill="1" applyBorder="1"/>
    <xf numFmtId="43" fontId="84" fillId="0" borderId="0" xfId="0" applyNumberFormat="1" applyFont="1" applyFill="1"/>
    <xf numFmtId="0" fontId="83" fillId="0" borderId="15" xfId="0" applyFont="1" applyFill="1" applyBorder="1"/>
    <xf numFmtId="0" fontId="83" fillId="0" borderId="15" xfId="0" applyFont="1" applyFill="1" applyBorder="1" applyAlignment="1">
      <alignment horizontal="center"/>
    </xf>
    <xf numFmtId="0" fontId="83" fillId="0" borderId="0" xfId="0" applyFont="1" applyFill="1" applyAlignment="1">
      <alignment wrapText="1"/>
    </xf>
    <xf numFmtId="176" fontId="83" fillId="0" borderId="0" xfId="0" applyNumberFormat="1" applyFont="1" applyFill="1" applyAlignment="1">
      <alignment horizontal="center"/>
    </xf>
    <xf numFmtId="164" fontId="83" fillId="0" borderId="0" xfId="178" applyNumberFormat="1" applyFont="1" applyFill="1" applyAlignment="1">
      <alignment wrapText="1"/>
    </xf>
    <xf numFmtId="164" fontId="83" fillId="0" borderId="0" xfId="178" applyNumberFormat="1" applyFont="1" applyFill="1"/>
    <xf numFmtId="0" fontId="86" fillId="0" borderId="0" xfId="0" applyFont="1" applyFill="1" applyAlignment="1">
      <alignment wrapText="1"/>
    </xf>
    <xf numFmtId="164" fontId="83" fillId="0" borderId="15" xfId="178" applyNumberFormat="1" applyFont="1" applyFill="1" applyBorder="1"/>
    <xf numFmtId="0" fontId="85" fillId="0" borderId="0" xfId="0" applyFont="1" applyFill="1" applyAlignment="1">
      <alignment wrapText="1"/>
    </xf>
    <xf numFmtId="164" fontId="83" fillId="0" borderId="0" xfId="0" applyNumberFormat="1" applyFont="1" applyFill="1"/>
    <xf numFmtId="43" fontId="83" fillId="0" borderId="15" xfId="178" applyNumberFormat="1" applyFont="1" applyFill="1" applyBorder="1"/>
    <xf numFmtId="164" fontId="83" fillId="0" borderId="0" xfId="178" applyNumberFormat="1" applyFont="1" applyFill="1" applyBorder="1"/>
    <xf numFmtId="164" fontId="86" fillId="0" borderId="0" xfId="178" applyNumberFormat="1" applyFont="1" applyFill="1" applyBorder="1"/>
    <xf numFmtId="43" fontId="83" fillId="0" borderId="0" xfId="178" applyNumberFormat="1" applyFont="1" applyFill="1" applyBorder="1"/>
    <xf numFmtId="8" fontId="83" fillId="0" borderId="0" xfId="0" applyNumberFormat="1" applyFont="1" applyFill="1" applyBorder="1" applyAlignment="1"/>
    <xf numFmtId="164" fontId="86" fillId="0" borderId="0" xfId="0" applyNumberFormat="1" applyFont="1" applyFill="1" applyBorder="1"/>
    <xf numFmtId="0" fontId="87" fillId="0" borderId="0" xfId="0" applyFont="1" applyFill="1" applyAlignment="1"/>
    <xf numFmtId="164" fontId="83" fillId="0" borderId="0" xfId="0" applyNumberFormat="1" applyFont="1" applyFill="1" applyBorder="1"/>
    <xf numFmtId="0" fontId="83" fillId="0" borderId="0" xfId="0" applyFont="1" applyFill="1" applyAlignment="1">
      <alignment horizontal="left"/>
    </xf>
    <xf numFmtId="8" fontId="83" fillId="0" borderId="15" xfId="0" applyNumberFormat="1" applyFont="1" applyFill="1" applyBorder="1"/>
    <xf numFmtId="8" fontId="86" fillId="0" borderId="0" xfId="0" applyNumberFormat="1" applyFont="1" applyFill="1"/>
    <xf numFmtId="164" fontId="85" fillId="0" borderId="0" xfId="178" applyNumberFormat="1" applyFont="1" applyFill="1"/>
    <xf numFmtId="43" fontId="83" fillId="0" borderId="0" xfId="178" applyNumberFormat="1" applyFont="1" applyFill="1"/>
    <xf numFmtId="164" fontId="87" fillId="0" borderId="0" xfId="178" applyNumberFormat="1" applyFont="1" applyFill="1"/>
    <xf numFmtId="164" fontId="86" fillId="0" borderId="30" xfId="0" applyNumberFormat="1" applyFont="1" applyFill="1" applyBorder="1"/>
    <xf numFmtId="8" fontId="86" fillId="0" borderId="0" xfId="0" applyNumberFormat="1" applyFont="1" applyFill="1" applyAlignment="1">
      <alignment wrapText="1"/>
    </xf>
    <xf numFmtId="164" fontId="83" fillId="0" borderId="0" xfId="0" quotePrefix="1" applyNumberFormat="1" applyFont="1" applyFill="1" applyBorder="1"/>
    <xf numFmtId="164" fontId="83" fillId="0" borderId="0" xfId="0" quotePrefix="1" applyNumberFormat="1" applyFont="1" applyFill="1"/>
    <xf numFmtId="6" fontId="83" fillId="0" borderId="0" xfId="0" applyNumberFormat="1" applyFont="1" applyFill="1"/>
    <xf numFmtId="6" fontId="83" fillId="0" borderId="0" xfId="0" applyNumberFormat="1" applyFont="1" applyFill="1" applyBorder="1"/>
    <xf numFmtId="0" fontId="86" fillId="0" borderId="0" xfId="0" applyFont="1" applyFill="1" applyAlignment="1">
      <alignment horizontal="center"/>
    </xf>
    <xf numFmtId="0" fontId="86" fillId="0" borderId="0" xfId="0" applyFont="1" applyFill="1" applyAlignment="1">
      <alignment horizontal="center" wrapText="1"/>
    </xf>
    <xf numFmtId="0" fontId="86" fillId="0" borderId="0" xfId="0" applyFont="1" applyFill="1"/>
    <xf numFmtId="0" fontId="0" fillId="0" borderId="19" xfId="0" applyFill="1" applyBorder="1"/>
    <xf numFmtId="0" fontId="0" fillId="0" borderId="24" xfId="0" applyFill="1" applyBorder="1"/>
    <xf numFmtId="0" fontId="75" fillId="0" borderId="23" xfId="0" applyFont="1" applyFill="1" applyBorder="1"/>
    <xf numFmtId="0" fontId="75" fillId="0" borderId="22" xfId="0" applyFont="1" applyFill="1" applyBorder="1"/>
    <xf numFmtId="0" fontId="75" fillId="0" borderId="19" xfId="0" applyFont="1" applyFill="1" applyBorder="1"/>
    <xf numFmtId="178" fontId="75" fillId="0" borderId="18" xfId="328" applyNumberFormat="1" applyFont="1" applyFill="1" applyBorder="1"/>
    <xf numFmtId="178" fontId="0" fillId="0" borderId="0" xfId="0" applyNumberFormat="1" applyFill="1" applyBorder="1"/>
    <xf numFmtId="178" fontId="0" fillId="0" borderId="0" xfId="328" applyNumberFormat="1" applyFont="1" applyFill="1" applyBorder="1"/>
    <xf numFmtId="0" fontId="75" fillId="0" borderId="21" xfId="0" applyFont="1" applyFill="1" applyBorder="1"/>
    <xf numFmtId="178" fontId="75" fillId="0" borderId="20" xfId="328" applyNumberFormat="1" applyFont="1" applyFill="1" applyBorder="1"/>
    <xf numFmtId="0" fontId="76" fillId="0" borderId="19" xfId="0" applyFont="1" applyFill="1" applyBorder="1"/>
    <xf numFmtId="178" fontId="76" fillId="0" borderId="18" xfId="328" applyNumberFormat="1" applyFont="1" applyFill="1" applyBorder="1"/>
    <xf numFmtId="10" fontId="0" fillId="0" borderId="0" xfId="608" applyNumberFormat="1" applyFont="1" applyFill="1"/>
    <xf numFmtId="178" fontId="0" fillId="0" borderId="0" xfId="0" applyNumberFormat="1" applyFill="1"/>
    <xf numFmtId="0" fontId="75" fillId="0" borderId="17" xfId="0" applyFont="1" applyFill="1" applyBorder="1"/>
    <xf numFmtId="178" fontId="75" fillId="0" borderId="16" xfId="328" applyNumberFormat="1" applyFont="1" applyFill="1" applyBorder="1"/>
    <xf numFmtId="164" fontId="83" fillId="0" borderId="15" xfId="178" applyNumberFormat="1" applyFont="1" applyFill="1" applyBorder="1" applyAlignment="1">
      <alignment wrapText="1"/>
    </xf>
    <xf numFmtId="43" fontId="83" fillId="0" borderId="15" xfId="0" applyNumberFormat="1" applyFont="1" applyFill="1" applyBorder="1"/>
    <xf numFmtId="164" fontId="87" fillId="0" borderId="15" xfId="178" applyNumberFormat="1" applyFont="1" applyFill="1" applyBorder="1"/>
    <xf numFmtId="164" fontId="85" fillId="0" borderId="15" xfId="178" applyNumberFormat="1" applyFont="1" applyFill="1" applyBorder="1"/>
    <xf numFmtId="44" fontId="69" fillId="0" borderId="0" xfId="328" applyFont="1" applyFill="1"/>
    <xf numFmtId="43" fontId="83" fillId="0" borderId="0" xfId="178" applyFont="1"/>
    <xf numFmtId="4" fontId="87" fillId="0" borderId="0" xfId="736" applyFont="1"/>
    <xf numFmtId="43" fontId="84" fillId="0" borderId="0" xfId="178" applyFont="1" applyFill="1"/>
    <xf numFmtId="0" fontId="77" fillId="0" borderId="25" xfId="0" applyFont="1" applyFill="1" applyBorder="1" applyAlignment="1">
      <alignment horizontal="center" vertical="center"/>
    </xf>
    <xf numFmtId="0" fontId="77" fillId="0" borderId="26" xfId="0" applyFont="1" applyFill="1" applyBorder="1" applyAlignment="1">
      <alignment horizontal="center" vertical="center"/>
    </xf>
    <xf numFmtId="0" fontId="83" fillId="0" borderId="15" xfId="0" applyFont="1" applyFill="1" applyBorder="1" applyAlignment="1">
      <alignment horizontal="center"/>
    </xf>
    <xf numFmtId="0" fontId="86" fillId="0" borderId="0" xfId="0" applyFont="1" applyFill="1" applyAlignment="1">
      <alignment horizontal="center"/>
    </xf>
    <xf numFmtId="0" fontId="83" fillId="0" borderId="0" xfId="0" applyFont="1" applyFill="1" applyAlignment="1">
      <alignment horizontal="left" wrapText="1"/>
    </xf>
    <xf numFmtId="0" fontId="84" fillId="0" borderId="27" xfId="0" applyFont="1" applyFill="1" applyBorder="1" applyAlignment="1">
      <alignment horizontal="center" vertical="top" wrapText="1"/>
    </xf>
    <xf numFmtId="0" fontId="84" fillId="0" borderId="28" xfId="0" applyFont="1" applyFill="1" applyBorder="1" applyAlignment="1">
      <alignment horizontal="center" vertical="top" wrapText="1"/>
    </xf>
    <xf numFmtId="0" fontId="84" fillId="0" borderId="29" xfId="0" applyFont="1" applyFill="1" applyBorder="1" applyAlignment="1">
      <alignment horizontal="center" vertical="top" wrapText="1"/>
    </xf>
    <xf numFmtId="0" fontId="71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center"/>
    </xf>
    <xf numFmtId="0" fontId="2" fillId="0" borderId="0" xfId="459" applyFont="1" applyAlignment="1">
      <alignment horizontal="left" wrapText="1"/>
    </xf>
    <xf numFmtId="0" fontId="2" fillId="0" borderId="0" xfId="437" applyFont="1" applyFill="1" applyBorder="1" applyAlignment="1">
      <alignment horizontal="left" wrapText="1"/>
    </xf>
    <xf numFmtId="40" fontId="83" fillId="0" borderId="0" xfId="0" applyNumberFormat="1" applyFont="1" applyFill="1"/>
    <xf numFmtId="177" fontId="83" fillId="0" borderId="0" xfId="0" applyNumberFormat="1" applyFont="1" applyFill="1" applyAlignment="1">
      <alignment horizontal="center"/>
    </xf>
  </cellXfs>
  <cellStyles count="740">
    <cellStyle name="20% - Accent1 2" xfId="1" xr:uid="{00000000-0005-0000-0000-000000000000}"/>
    <cellStyle name="20% - Accent1 2 2" xfId="2" xr:uid="{00000000-0005-0000-0000-000001000000}"/>
    <cellStyle name="20% - Accent1 3" xfId="3" xr:uid="{00000000-0005-0000-0000-000002000000}"/>
    <cellStyle name="20% - Accent1 4" xfId="4" xr:uid="{00000000-0005-0000-0000-000003000000}"/>
    <cellStyle name="20% - Accent1 5" xfId="5" xr:uid="{00000000-0005-0000-0000-000004000000}"/>
    <cellStyle name="20% - Accent1 6" xfId="6" xr:uid="{00000000-0005-0000-0000-000005000000}"/>
    <cellStyle name="20% - Accent1 7" xfId="7" xr:uid="{00000000-0005-0000-0000-000006000000}"/>
    <cellStyle name="20% - Accent1 8" xfId="8" xr:uid="{00000000-0005-0000-0000-000007000000}"/>
    <cellStyle name="20% - Accent2 2" xfId="9" xr:uid="{00000000-0005-0000-0000-000008000000}"/>
    <cellStyle name="20% - Accent2 2 2" xfId="10" xr:uid="{00000000-0005-0000-0000-000009000000}"/>
    <cellStyle name="20% - Accent2 3" xfId="11" xr:uid="{00000000-0005-0000-0000-00000A000000}"/>
    <cellStyle name="20% - Accent2 4" xfId="12" xr:uid="{00000000-0005-0000-0000-00000B000000}"/>
    <cellStyle name="20% - Accent2 5" xfId="13" xr:uid="{00000000-0005-0000-0000-00000C000000}"/>
    <cellStyle name="20% - Accent2 6" xfId="14" xr:uid="{00000000-0005-0000-0000-00000D000000}"/>
    <cellStyle name="20% - Accent3 2" xfId="15" xr:uid="{00000000-0005-0000-0000-00000E000000}"/>
    <cellStyle name="20% - Accent3 2 2" xfId="16" xr:uid="{00000000-0005-0000-0000-00000F000000}"/>
    <cellStyle name="20% - Accent3 3" xfId="17" xr:uid="{00000000-0005-0000-0000-000010000000}"/>
    <cellStyle name="20% - Accent3 4" xfId="18" xr:uid="{00000000-0005-0000-0000-000011000000}"/>
    <cellStyle name="20% - Accent3 5" xfId="19" xr:uid="{00000000-0005-0000-0000-000012000000}"/>
    <cellStyle name="20% - Accent3 6" xfId="20" xr:uid="{00000000-0005-0000-0000-000013000000}"/>
    <cellStyle name="20% - Accent3 7" xfId="21" xr:uid="{00000000-0005-0000-0000-000014000000}"/>
    <cellStyle name="20% - Accent3 8" xfId="22" xr:uid="{00000000-0005-0000-0000-000015000000}"/>
    <cellStyle name="20% - Accent4 2" xfId="23" xr:uid="{00000000-0005-0000-0000-000016000000}"/>
    <cellStyle name="20% - Accent4 2 2" xfId="24" xr:uid="{00000000-0005-0000-0000-000017000000}"/>
    <cellStyle name="20% - Accent4 3" xfId="25" xr:uid="{00000000-0005-0000-0000-000018000000}"/>
    <cellStyle name="20% - Accent4 4" xfId="26" xr:uid="{00000000-0005-0000-0000-000019000000}"/>
    <cellStyle name="20% - Accent4 5" xfId="27" xr:uid="{00000000-0005-0000-0000-00001A000000}"/>
    <cellStyle name="20% - Accent4 6" xfId="28" xr:uid="{00000000-0005-0000-0000-00001B000000}"/>
    <cellStyle name="20% - Accent4 7" xfId="29" xr:uid="{00000000-0005-0000-0000-00001C000000}"/>
    <cellStyle name="20% - Accent4 8" xfId="30" xr:uid="{00000000-0005-0000-0000-00001D000000}"/>
    <cellStyle name="20% - Accent5 2" xfId="31" xr:uid="{00000000-0005-0000-0000-00001E000000}"/>
    <cellStyle name="20% - Accent5 2 2" xfId="32" xr:uid="{00000000-0005-0000-0000-00001F000000}"/>
    <cellStyle name="20% - Accent5 3" xfId="33" xr:uid="{00000000-0005-0000-0000-000020000000}"/>
    <cellStyle name="20% - Accent5 4" xfId="34" xr:uid="{00000000-0005-0000-0000-000021000000}"/>
    <cellStyle name="20% - Accent5 5" xfId="35" xr:uid="{00000000-0005-0000-0000-000022000000}"/>
    <cellStyle name="20% - Accent5 6" xfId="36" xr:uid="{00000000-0005-0000-0000-000023000000}"/>
    <cellStyle name="20% - Accent6 2" xfId="37" xr:uid="{00000000-0005-0000-0000-000024000000}"/>
    <cellStyle name="20% - Accent6 2 2" xfId="38" xr:uid="{00000000-0005-0000-0000-000025000000}"/>
    <cellStyle name="20% - Accent6 3" xfId="39" xr:uid="{00000000-0005-0000-0000-000026000000}"/>
    <cellStyle name="20% - Accent6 4" xfId="40" xr:uid="{00000000-0005-0000-0000-000027000000}"/>
    <cellStyle name="20% - Accent6 5" xfId="41" xr:uid="{00000000-0005-0000-0000-000028000000}"/>
    <cellStyle name="20% - Accent6 6" xfId="42" xr:uid="{00000000-0005-0000-0000-000029000000}"/>
    <cellStyle name="40% - Accent1 2" xfId="43" xr:uid="{00000000-0005-0000-0000-00002A000000}"/>
    <cellStyle name="40% - Accent1 2 2" xfId="44" xr:uid="{00000000-0005-0000-0000-00002B000000}"/>
    <cellStyle name="40% - Accent1 3" xfId="45" xr:uid="{00000000-0005-0000-0000-00002C000000}"/>
    <cellStyle name="40% - Accent1 4" xfId="46" xr:uid="{00000000-0005-0000-0000-00002D000000}"/>
    <cellStyle name="40% - Accent1 5" xfId="47" xr:uid="{00000000-0005-0000-0000-00002E000000}"/>
    <cellStyle name="40% - Accent1 6" xfId="48" xr:uid="{00000000-0005-0000-0000-00002F000000}"/>
    <cellStyle name="40% - Accent1 7" xfId="49" xr:uid="{00000000-0005-0000-0000-000030000000}"/>
    <cellStyle name="40% - Accent1 8" xfId="50" xr:uid="{00000000-0005-0000-0000-000031000000}"/>
    <cellStyle name="40% - Accent2 2" xfId="51" xr:uid="{00000000-0005-0000-0000-000032000000}"/>
    <cellStyle name="40% - Accent2 2 2" xfId="52" xr:uid="{00000000-0005-0000-0000-000033000000}"/>
    <cellStyle name="40% - Accent2 3" xfId="53" xr:uid="{00000000-0005-0000-0000-000034000000}"/>
    <cellStyle name="40% - Accent2 4" xfId="54" xr:uid="{00000000-0005-0000-0000-000035000000}"/>
    <cellStyle name="40% - Accent2 5" xfId="55" xr:uid="{00000000-0005-0000-0000-000036000000}"/>
    <cellStyle name="40% - Accent2 6" xfId="56" xr:uid="{00000000-0005-0000-0000-000037000000}"/>
    <cellStyle name="40% - Accent3 2" xfId="57" xr:uid="{00000000-0005-0000-0000-000038000000}"/>
    <cellStyle name="40% - Accent3 2 2" xfId="58" xr:uid="{00000000-0005-0000-0000-000039000000}"/>
    <cellStyle name="40% - Accent3 3" xfId="59" xr:uid="{00000000-0005-0000-0000-00003A000000}"/>
    <cellStyle name="40% - Accent3 4" xfId="60" xr:uid="{00000000-0005-0000-0000-00003B000000}"/>
    <cellStyle name="40% - Accent3 5" xfId="61" xr:uid="{00000000-0005-0000-0000-00003C000000}"/>
    <cellStyle name="40% - Accent3 6" xfId="62" xr:uid="{00000000-0005-0000-0000-00003D000000}"/>
    <cellStyle name="40% - Accent3 7" xfId="63" xr:uid="{00000000-0005-0000-0000-00003E000000}"/>
    <cellStyle name="40% - Accent3 8" xfId="64" xr:uid="{00000000-0005-0000-0000-00003F000000}"/>
    <cellStyle name="40% - Accent4 2" xfId="65" xr:uid="{00000000-0005-0000-0000-000040000000}"/>
    <cellStyle name="40% - Accent4 2 2" xfId="66" xr:uid="{00000000-0005-0000-0000-000041000000}"/>
    <cellStyle name="40% - Accent4 3" xfId="67" xr:uid="{00000000-0005-0000-0000-000042000000}"/>
    <cellStyle name="40% - Accent4 4" xfId="68" xr:uid="{00000000-0005-0000-0000-000043000000}"/>
    <cellStyle name="40% - Accent4 5" xfId="69" xr:uid="{00000000-0005-0000-0000-000044000000}"/>
    <cellStyle name="40% - Accent4 6" xfId="70" xr:uid="{00000000-0005-0000-0000-000045000000}"/>
    <cellStyle name="40% - Accent4 7" xfId="71" xr:uid="{00000000-0005-0000-0000-000046000000}"/>
    <cellStyle name="40% - Accent4 8" xfId="72" xr:uid="{00000000-0005-0000-0000-000047000000}"/>
    <cellStyle name="40% - Accent5 2" xfId="73" xr:uid="{00000000-0005-0000-0000-000048000000}"/>
    <cellStyle name="40% - Accent5 2 2" xfId="74" xr:uid="{00000000-0005-0000-0000-000049000000}"/>
    <cellStyle name="40% - Accent5 3" xfId="75" xr:uid="{00000000-0005-0000-0000-00004A000000}"/>
    <cellStyle name="40% - Accent5 4" xfId="76" xr:uid="{00000000-0005-0000-0000-00004B000000}"/>
    <cellStyle name="40% - Accent5 5" xfId="77" xr:uid="{00000000-0005-0000-0000-00004C000000}"/>
    <cellStyle name="40% - Accent5 6" xfId="78" xr:uid="{00000000-0005-0000-0000-00004D000000}"/>
    <cellStyle name="40% - Accent6 2" xfId="79" xr:uid="{00000000-0005-0000-0000-00004E000000}"/>
    <cellStyle name="40% - Accent6 2 2" xfId="80" xr:uid="{00000000-0005-0000-0000-00004F000000}"/>
    <cellStyle name="40% - Accent6 3" xfId="81" xr:uid="{00000000-0005-0000-0000-000050000000}"/>
    <cellStyle name="40% - Accent6 4" xfId="82" xr:uid="{00000000-0005-0000-0000-000051000000}"/>
    <cellStyle name="40% - Accent6 5" xfId="83" xr:uid="{00000000-0005-0000-0000-000052000000}"/>
    <cellStyle name="40% - Accent6 6" xfId="84" xr:uid="{00000000-0005-0000-0000-000053000000}"/>
    <cellStyle name="40% - Accent6 7" xfId="85" xr:uid="{00000000-0005-0000-0000-000054000000}"/>
    <cellStyle name="40% - Accent6 8" xfId="86" xr:uid="{00000000-0005-0000-0000-000055000000}"/>
    <cellStyle name="60% - Accent1 2" xfId="87" xr:uid="{00000000-0005-0000-0000-000056000000}"/>
    <cellStyle name="60% - Accent1 3" xfId="88" xr:uid="{00000000-0005-0000-0000-000057000000}"/>
    <cellStyle name="60% - Accent1 4" xfId="89" xr:uid="{00000000-0005-0000-0000-000058000000}"/>
    <cellStyle name="60% - Accent1 5" xfId="90" xr:uid="{00000000-0005-0000-0000-000059000000}"/>
    <cellStyle name="60% - Accent1 6" xfId="91" xr:uid="{00000000-0005-0000-0000-00005A000000}"/>
    <cellStyle name="60% - Accent1 7" xfId="92" xr:uid="{00000000-0005-0000-0000-00005B000000}"/>
    <cellStyle name="60% - Accent1 8" xfId="93" xr:uid="{00000000-0005-0000-0000-00005C000000}"/>
    <cellStyle name="60% - Accent2 2" xfId="94" xr:uid="{00000000-0005-0000-0000-00005D000000}"/>
    <cellStyle name="60% - Accent2 3" xfId="95" xr:uid="{00000000-0005-0000-0000-00005E000000}"/>
    <cellStyle name="60% - Accent2 4" xfId="96" xr:uid="{00000000-0005-0000-0000-00005F000000}"/>
    <cellStyle name="60% - Accent2 5" xfId="97" xr:uid="{00000000-0005-0000-0000-000060000000}"/>
    <cellStyle name="60% - Accent2 6" xfId="98" xr:uid="{00000000-0005-0000-0000-000061000000}"/>
    <cellStyle name="60% - Accent3 2" xfId="99" xr:uid="{00000000-0005-0000-0000-000062000000}"/>
    <cellStyle name="60% - Accent3 3" xfId="100" xr:uid="{00000000-0005-0000-0000-000063000000}"/>
    <cellStyle name="60% - Accent3 4" xfId="101" xr:uid="{00000000-0005-0000-0000-000064000000}"/>
    <cellStyle name="60% - Accent3 5" xfId="102" xr:uid="{00000000-0005-0000-0000-000065000000}"/>
    <cellStyle name="60% - Accent3 6" xfId="103" xr:uid="{00000000-0005-0000-0000-000066000000}"/>
    <cellStyle name="60% - Accent3 7" xfId="104" xr:uid="{00000000-0005-0000-0000-000067000000}"/>
    <cellStyle name="60% - Accent3 8" xfId="105" xr:uid="{00000000-0005-0000-0000-000068000000}"/>
    <cellStyle name="60% - Accent4 2" xfId="106" xr:uid="{00000000-0005-0000-0000-000069000000}"/>
    <cellStyle name="60% - Accent4 3" xfId="107" xr:uid="{00000000-0005-0000-0000-00006A000000}"/>
    <cellStyle name="60% - Accent4 4" xfId="108" xr:uid="{00000000-0005-0000-0000-00006B000000}"/>
    <cellStyle name="60% - Accent4 5" xfId="109" xr:uid="{00000000-0005-0000-0000-00006C000000}"/>
    <cellStyle name="60% - Accent4 6" xfId="110" xr:uid="{00000000-0005-0000-0000-00006D000000}"/>
    <cellStyle name="60% - Accent4 7" xfId="111" xr:uid="{00000000-0005-0000-0000-00006E000000}"/>
    <cellStyle name="60% - Accent4 8" xfId="112" xr:uid="{00000000-0005-0000-0000-00006F000000}"/>
    <cellStyle name="60% - Accent5 2" xfId="113" xr:uid="{00000000-0005-0000-0000-000070000000}"/>
    <cellStyle name="60% - Accent5 3" xfId="114" xr:uid="{00000000-0005-0000-0000-000071000000}"/>
    <cellStyle name="60% - Accent5 4" xfId="115" xr:uid="{00000000-0005-0000-0000-000072000000}"/>
    <cellStyle name="60% - Accent5 5" xfId="116" xr:uid="{00000000-0005-0000-0000-000073000000}"/>
    <cellStyle name="60% - Accent5 6" xfId="117" xr:uid="{00000000-0005-0000-0000-000074000000}"/>
    <cellStyle name="60% - Accent6 2" xfId="118" xr:uid="{00000000-0005-0000-0000-000075000000}"/>
    <cellStyle name="60% - Accent6 3" xfId="119" xr:uid="{00000000-0005-0000-0000-000076000000}"/>
    <cellStyle name="60% - Accent6 4" xfId="120" xr:uid="{00000000-0005-0000-0000-000077000000}"/>
    <cellStyle name="60% - Accent6 5" xfId="121" xr:uid="{00000000-0005-0000-0000-000078000000}"/>
    <cellStyle name="60% - Accent6 6" xfId="122" xr:uid="{00000000-0005-0000-0000-000079000000}"/>
    <cellStyle name="60% - Accent6 7" xfId="123" xr:uid="{00000000-0005-0000-0000-00007A000000}"/>
    <cellStyle name="60% - Accent6 8" xfId="124" xr:uid="{00000000-0005-0000-0000-00007B000000}"/>
    <cellStyle name="Accent1 2" xfId="125" xr:uid="{00000000-0005-0000-0000-00007C000000}"/>
    <cellStyle name="Accent1 3" xfId="126" xr:uid="{00000000-0005-0000-0000-00007D000000}"/>
    <cellStyle name="Accent1 4" xfId="127" xr:uid="{00000000-0005-0000-0000-00007E000000}"/>
    <cellStyle name="Accent1 5" xfId="128" xr:uid="{00000000-0005-0000-0000-00007F000000}"/>
    <cellStyle name="Accent1 6" xfId="129" xr:uid="{00000000-0005-0000-0000-000080000000}"/>
    <cellStyle name="Accent1 7" xfId="130" xr:uid="{00000000-0005-0000-0000-000081000000}"/>
    <cellStyle name="Accent1 8" xfId="131" xr:uid="{00000000-0005-0000-0000-000082000000}"/>
    <cellStyle name="Accent2 2" xfId="132" xr:uid="{00000000-0005-0000-0000-000083000000}"/>
    <cellStyle name="Accent2 3" xfId="133" xr:uid="{00000000-0005-0000-0000-000084000000}"/>
    <cellStyle name="Accent2 4" xfId="134" xr:uid="{00000000-0005-0000-0000-000085000000}"/>
    <cellStyle name="Accent2 5" xfId="135" xr:uid="{00000000-0005-0000-0000-000086000000}"/>
    <cellStyle name="Accent2 6" xfId="136" xr:uid="{00000000-0005-0000-0000-000087000000}"/>
    <cellStyle name="Accent3 2" xfId="137" xr:uid="{00000000-0005-0000-0000-000088000000}"/>
    <cellStyle name="Accent3 3" xfId="138" xr:uid="{00000000-0005-0000-0000-000089000000}"/>
    <cellStyle name="Accent3 4" xfId="139" xr:uid="{00000000-0005-0000-0000-00008A000000}"/>
    <cellStyle name="Accent3 5" xfId="140" xr:uid="{00000000-0005-0000-0000-00008B000000}"/>
    <cellStyle name="Accent3 6" xfId="141" xr:uid="{00000000-0005-0000-0000-00008C000000}"/>
    <cellStyle name="Accent4 2" xfId="142" xr:uid="{00000000-0005-0000-0000-00008D000000}"/>
    <cellStyle name="Accent4 3" xfId="143" xr:uid="{00000000-0005-0000-0000-00008E000000}"/>
    <cellStyle name="Accent4 4" xfId="144" xr:uid="{00000000-0005-0000-0000-00008F000000}"/>
    <cellStyle name="Accent4 5" xfId="145" xr:uid="{00000000-0005-0000-0000-000090000000}"/>
    <cellStyle name="Accent4 6" xfId="146" xr:uid="{00000000-0005-0000-0000-000091000000}"/>
    <cellStyle name="Accent4 7" xfId="147" xr:uid="{00000000-0005-0000-0000-000092000000}"/>
    <cellStyle name="Accent4 8" xfId="148" xr:uid="{00000000-0005-0000-0000-000093000000}"/>
    <cellStyle name="Accent5 2" xfId="149" xr:uid="{00000000-0005-0000-0000-000094000000}"/>
    <cellStyle name="Accent5 3" xfId="150" xr:uid="{00000000-0005-0000-0000-000095000000}"/>
    <cellStyle name="Accent5 4" xfId="151" xr:uid="{00000000-0005-0000-0000-000096000000}"/>
    <cellStyle name="Accent5 5" xfId="152" xr:uid="{00000000-0005-0000-0000-000097000000}"/>
    <cellStyle name="Accent5 6" xfId="153" xr:uid="{00000000-0005-0000-0000-000098000000}"/>
    <cellStyle name="Accent6 2" xfId="154" xr:uid="{00000000-0005-0000-0000-000099000000}"/>
    <cellStyle name="Accent6 3" xfId="155" xr:uid="{00000000-0005-0000-0000-00009A000000}"/>
    <cellStyle name="Accent6 4" xfId="156" xr:uid="{00000000-0005-0000-0000-00009B000000}"/>
    <cellStyle name="Accent6 5" xfId="157" xr:uid="{00000000-0005-0000-0000-00009C000000}"/>
    <cellStyle name="Accent6 6" xfId="158" xr:uid="{00000000-0005-0000-0000-00009D000000}"/>
    <cellStyle name="Bad 2" xfId="159" xr:uid="{00000000-0005-0000-0000-00009E000000}"/>
    <cellStyle name="Bad 3" xfId="160" xr:uid="{00000000-0005-0000-0000-00009F000000}"/>
    <cellStyle name="Bad 4" xfId="161" xr:uid="{00000000-0005-0000-0000-0000A0000000}"/>
    <cellStyle name="Bad 5" xfId="162" xr:uid="{00000000-0005-0000-0000-0000A1000000}"/>
    <cellStyle name="Bad 6" xfId="163" xr:uid="{00000000-0005-0000-0000-0000A2000000}"/>
    <cellStyle name="Bad 7" xfId="164" xr:uid="{00000000-0005-0000-0000-0000A3000000}"/>
    <cellStyle name="Bad 8" xfId="165" xr:uid="{00000000-0005-0000-0000-0000A4000000}"/>
    <cellStyle name="Calculation 2" xfId="166" xr:uid="{00000000-0005-0000-0000-0000A5000000}"/>
    <cellStyle name="Calculation 3" xfId="167" xr:uid="{00000000-0005-0000-0000-0000A6000000}"/>
    <cellStyle name="Calculation 4" xfId="168" xr:uid="{00000000-0005-0000-0000-0000A7000000}"/>
    <cellStyle name="Calculation 5" xfId="169" xr:uid="{00000000-0005-0000-0000-0000A8000000}"/>
    <cellStyle name="Calculation 6" xfId="170" xr:uid="{00000000-0005-0000-0000-0000A9000000}"/>
    <cellStyle name="Check Cell 2" xfId="171" xr:uid="{00000000-0005-0000-0000-0000AA000000}"/>
    <cellStyle name="Check Cell 3" xfId="172" xr:uid="{00000000-0005-0000-0000-0000AB000000}"/>
    <cellStyle name="Check Cell 4" xfId="173" xr:uid="{00000000-0005-0000-0000-0000AC000000}"/>
    <cellStyle name="Check Cell 5" xfId="174" xr:uid="{00000000-0005-0000-0000-0000AD000000}"/>
    <cellStyle name="Check Cell 6" xfId="175" xr:uid="{00000000-0005-0000-0000-0000AE000000}"/>
    <cellStyle name="Check Cell 7" xfId="176" xr:uid="{00000000-0005-0000-0000-0000AF000000}"/>
    <cellStyle name="Check Cell 8" xfId="177" xr:uid="{00000000-0005-0000-0000-0000B0000000}"/>
    <cellStyle name="Comma" xfId="178" builtinId="3"/>
    <cellStyle name="Comma 10" xfId="179" xr:uid="{00000000-0005-0000-0000-0000B2000000}"/>
    <cellStyle name="Comma 11" xfId="180" xr:uid="{00000000-0005-0000-0000-0000B3000000}"/>
    <cellStyle name="Comma 12" xfId="181" xr:uid="{00000000-0005-0000-0000-0000B4000000}"/>
    <cellStyle name="Comma 13" xfId="182" xr:uid="{00000000-0005-0000-0000-0000B5000000}"/>
    <cellStyle name="Comma 14" xfId="183" xr:uid="{00000000-0005-0000-0000-0000B6000000}"/>
    <cellStyle name="Comma 15" xfId="184" xr:uid="{00000000-0005-0000-0000-0000B7000000}"/>
    <cellStyle name="Comma 16" xfId="185" xr:uid="{00000000-0005-0000-0000-0000B8000000}"/>
    <cellStyle name="Comma 17" xfId="186" xr:uid="{00000000-0005-0000-0000-0000B9000000}"/>
    <cellStyle name="Comma 17 2" xfId="187" xr:uid="{00000000-0005-0000-0000-0000BA000000}"/>
    <cellStyle name="Comma 17 2 2" xfId="188" xr:uid="{00000000-0005-0000-0000-0000BB000000}"/>
    <cellStyle name="Comma 17 2 2 2" xfId="189" xr:uid="{00000000-0005-0000-0000-0000BC000000}"/>
    <cellStyle name="Comma 17 2 3" xfId="190" xr:uid="{00000000-0005-0000-0000-0000BD000000}"/>
    <cellStyle name="Comma 17 3" xfId="191" xr:uid="{00000000-0005-0000-0000-0000BE000000}"/>
    <cellStyle name="Comma 17 3 2" xfId="192" xr:uid="{00000000-0005-0000-0000-0000BF000000}"/>
    <cellStyle name="Comma 17 3 2 2" xfId="193" xr:uid="{00000000-0005-0000-0000-0000C0000000}"/>
    <cellStyle name="Comma 17 3 3" xfId="194" xr:uid="{00000000-0005-0000-0000-0000C1000000}"/>
    <cellStyle name="Comma 17 4" xfId="195" xr:uid="{00000000-0005-0000-0000-0000C2000000}"/>
    <cellStyle name="Comma 17 4 2" xfId="196" xr:uid="{00000000-0005-0000-0000-0000C3000000}"/>
    <cellStyle name="Comma 17 5" xfId="197" xr:uid="{00000000-0005-0000-0000-0000C4000000}"/>
    <cellStyle name="Comma 18" xfId="198" xr:uid="{00000000-0005-0000-0000-0000C5000000}"/>
    <cellStyle name="Comma 19" xfId="199" xr:uid="{00000000-0005-0000-0000-0000C6000000}"/>
    <cellStyle name="Comma 2" xfId="200" xr:uid="{00000000-0005-0000-0000-0000C7000000}"/>
    <cellStyle name="Comma 2 2" xfId="201" xr:uid="{00000000-0005-0000-0000-0000C8000000}"/>
    <cellStyle name="Comma 2 2 2" xfId="202" xr:uid="{00000000-0005-0000-0000-0000C9000000}"/>
    <cellStyle name="Comma 2 2 3" xfId="203" xr:uid="{00000000-0005-0000-0000-0000CA000000}"/>
    <cellStyle name="Comma 2 3" xfId="204" xr:uid="{00000000-0005-0000-0000-0000CB000000}"/>
    <cellStyle name="Comma 2 4" xfId="205" xr:uid="{00000000-0005-0000-0000-0000CC000000}"/>
    <cellStyle name="Comma 2 5" xfId="206" xr:uid="{00000000-0005-0000-0000-0000CD000000}"/>
    <cellStyle name="Comma 2_Allocators" xfId="207" xr:uid="{00000000-0005-0000-0000-0000CE000000}"/>
    <cellStyle name="Comma 20" xfId="208" xr:uid="{00000000-0005-0000-0000-0000CF000000}"/>
    <cellStyle name="Comma 20 2" xfId="209" xr:uid="{00000000-0005-0000-0000-0000D0000000}"/>
    <cellStyle name="Comma 20 2 2" xfId="210" xr:uid="{00000000-0005-0000-0000-0000D1000000}"/>
    <cellStyle name="Comma 20 2 2 2" xfId="211" xr:uid="{00000000-0005-0000-0000-0000D2000000}"/>
    <cellStyle name="Comma 20 2 3" xfId="212" xr:uid="{00000000-0005-0000-0000-0000D3000000}"/>
    <cellStyle name="Comma 20 3" xfId="213" xr:uid="{00000000-0005-0000-0000-0000D4000000}"/>
    <cellStyle name="Comma 20 3 2" xfId="214" xr:uid="{00000000-0005-0000-0000-0000D5000000}"/>
    <cellStyle name="Comma 20 3 2 2" xfId="215" xr:uid="{00000000-0005-0000-0000-0000D6000000}"/>
    <cellStyle name="Comma 20 3 3" xfId="216" xr:uid="{00000000-0005-0000-0000-0000D7000000}"/>
    <cellStyle name="Comma 20 4" xfId="217" xr:uid="{00000000-0005-0000-0000-0000D8000000}"/>
    <cellStyle name="Comma 20 4 2" xfId="218" xr:uid="{00000000-0005-0000-0000-0000D9000000}"/>
    <cellStyle name="Comma 20 5" xfId="219" xr:uid="{00000000-0005-0000-0000-0000DA000000}"/>
    <cellStyle name="Comma 21" xfId="220" xr:uid="{00000000-0005-0000-0000-0000DB000000}"/>
    <cellStyle name="Comma 3" xfId="221" xr:uid="{00000000-0005-0000-0000-0000DC000000}"/>
    <cellStyle name="Comma 3 10" xfId="222" xr:uid="{00000000-0005-0000-0000-0000DD000000}"/>
    <cellStyle name="Comma 3 10 2" xfId="223" xr:uid="{00000000-0005-0000-0000-0000DE000000}"/>
    <cellStyle name="Comma 3 10 2 2" xfId="224" xr:uid="{00000000-0005-0000-0000-0000DF000000}"/>
    <cellStyle name="Comma 3 10 2 2 2" xfId="225" xr:uid="{00000000-0005-0000-0000-0000E0000000}"/>
    <cellStyle name="Comma 3 10 2 3" xfId="226" xr:uid="{00000000-0005-0000-0000-0000E1000000}"/>
    <cellStyle name="Comma 3 10 3" xfId="227" xr:uid="{00000000-0005-0000-0000-0000E2000000}"/>
    <cellStyle name="Comma 3 10 3 2" xfId="228" xr:uid="{00000000-0005-0000-0000-0000E3000000}"/>
    <cellStyle name="Comma 3 10 3 2 2" xfId="229" xr:uid="{00000000-0005-0000-0000-0000E4000000}"/>
    <cellStyle name="Comma 3 10 3 3" xfId="230" xr:uid="{00000000-0005-0000-0000-0000E5000000}"/>
    <cellStyle name="Comma 3 10 4" xfId="231" xr:uid="{00000000-0005-0000-0000-0000E6000000}"/>
    <cellStyle name="Comma 3 10 4 2" xfId="232" xr:uid="{00000000-0005-0000-0000-0000E7000000}"/>
    <cellStyle name="Comma 3 10 5" xfId="233" xr:uid="{00000000-0005-0000-0000-0000E8000000}"/>
    <cellStyle name="Comma 3 11" xfId="234" xr:uid="{00000000-0005-0000-0000-0000E9000000}"/>
    <cellStyle name="Comma 3 12" xfId="235" xr:uid="{00000000-0005-0000-0000-0000EA000000}"/>
    <cellStyle name="Comma 3 12 2" xfId="236" xr:uid="{00000000-0005-0000-0000-0000EB000000}"/>
    <cellStyle name="Comma 3 12 2 2" xfId="237" xr:uid="{00000000-0005-0000-0000-0000EC000000}"/>
    <cellStyle name="Comma 3 12 3" xfId="238" xr:uid="{00000000-0005-0000-0000-0000ED000000}"/>
    <cellStyle name="Comma 3 13" xfId="239" xr:uid="{00000000-0005-0000-0000-0000EE000000}"/>
    <cellStyle name="Comma 3 2" xfId="240" xr:uid="{00000000-0005-0000-0000-0000EF000000}"/>
    <cellStyle name="Comma 3 3" xfId="241" xr:uid="{00000000-0005-0000-0000-0000F0000000}"/>
    <cellStyle name="Comma 3 4" xfId="242" xr:uid="{00000000-0005-0000-0000-0000F1000000}"/>
    <cellStyle name="Comma 3 4 2" xfId="243" xr:uid="{00000000-0005-0000-0000-0000F2000000}"/>
    <cellStyle name="Comma 3 4 2 2" xfId="244" xr:uid="{00000000-0005-0000-0000-0000F3000000}"/>
    <cellStyle name="Comma 3 4 2 2 2" xfId="245" xr:uid="{00000000-0005-0000-0000-0000F4000000}"/>
    <cellStyle name="Comma 3 4 2 3" xfId="246" xr:uid="{00000000-0005-0000-0000-0000F5000000}"/>
    <cellStyle name="Comma 3 4 3" xfId="247" xr:uid="{00000000-0005-0000-0000-0000F6000000}"/>
    <cellStyle name="Comma 3 4 3 2" xfId="248" xr:uid="{00000000-0005-0000-0000-0000F7000000}"/>
    <cellStyle name="Comma 3 4 3 2 2" xfId="249" xr:uid="{00000000-0005-0000-0000-0000F8000000}"/>
    <cellStyle name="Comma 3 4 3 3" xfId="250" xr:uid="{00000000-0005-0000-0000-0000F9000000}"/>
    <cellStyle name="Comma 3 4 4" xfId="251" xr:uid="{00000000-0005-0000-0000-0000FA000000}"/>
    <cellStyle name="Comma 3 4 4 2" xfId="252" xr:uid="{00000000-0005-0000-0000-0000FB000000}"/>
    <cellStyle name="Comma 3 4 5" xfId="253" xr:uid="{00000000-0005-0000-0000-0000FC000000}"/>
    <cellStyle name="Comma 3 5" xfId="254" xr:uid="{00000000-0005-0000-0000-0000FD000000}"/>
    <cellStyle name="Comma 3 5 2" xfId="255" xr:uid="{00000000-0005-0000-0000-0000FE000000}"/>
    <cellStyle name="Comma 3 5 2 2" xfId="256" xr:uid="{00000000-0005-0000-0000-0000FF000000}"/>
    <cellStyle name="Comma 3 5 2 2 2" xfId="257" xr:uid="{00000000-0005-0000-0000-000000010000}"/>
    <cellStyle name="Comma 3 5 2 3" xfId="258" xr:uid="{00000000-0005-0000-0000-000001010000}"/>
    <cellStyle name="Comma 3 5 3" xfId="259" xr:uid="{00000000-0005-0000-0000-000002010000}"/>
    <cellStyle name="Comma 3 5 3 2" xfId="260" xr:uid="{00000000-0005-0000-0000-000003010000}"/>
    <cellStyle name="Comma 3 5 3 2 2" xfId="261" xr:uid="{00000000-0005-0000-0000-000004010000}"/>
    <cellStyle name="Comma 3 5 3 3" xfId="262" xr:uid="{00000000-0005-0000-0000-000005010000}"/>
    <cellStyle name="Comma 3 5 4" xfId="263" xr:uid="{00000000-0005-0000-0000-000006010000}"/>
    <cellStyle name="Comma 3 5 4 2" xfId="264" xr:uid="{00000000-0005-0000-0000-000007010000}"/>
    <cellStyle name="Comma 3 5 5" xfId="265" xr:uid="{00000000-0005-0000-0000-000008010000}"/>
    <cellStyle name="Comma 3 6" xfId="266" xr:uid="{00000000-0005-0000-0000-000009010000}"/>
    <cellStyle name="Comma 3 6 2" xfId="267" xr:uid="{00000000-0005-0000-0000-00000A010000}"/>
    <cellStyle name="Comma 3 6 2 2" xfId="268" xr:uid="{00000000-0005-0000-0000-00000B010000}"/>
    <cellStyle name="Comma 3 6 2 2 2" xfId="269" xr:uid="{00000000-0005-0000-0000-00000C010000}"/>
    <cellStyle name="Comma 3 6 2 3" xfId="270" xr:uid="{00000000-0005-0000-0000-00000D010000}"/>
    <cellStyle name="Comma 3 6 3" xfId="271" xr:uid="{00000000-0005-0000-0000-00000E010000}"/>
    <cellStyle name="Comma 3 6 3 2" xfId="272" xr:uid="{00000000-0005-0000-0000-00000F010000}"/>
    <cellStyle name="Comma 3 6 3 2 2" xfId="273" xr:uid="{00000000-0005-0000-0000-000010010000}"/>
    <cellStyle name="Comma 3 6 3 3" xfId="274" xr:uid="{00000000-0005-0000-0000-000011010000}"/>
    <cellStyle name="Comma 3 6 4" xfId="275" xr:uid="{00000000-0005-0000-0000-000012010000}"/>
    <cellStyle name="Comma 3 6 4 2" xfId="276" xr:uid="{00000000-0005-0000-0000-000013010000}"/>
    <cellStyle name="Comma 3 6 5" xfId="277" xr:uid="{00000000-0005-0000-0000-000014010000}"/>
    <cellStyle name="Comma 3 7" xfId="278" xr:uid="{00000000-0005-0000-0000-000015010000}"/>
    <cellStyle name="Comma 3 7 2" xfId="279" xr:uid="{00000000-0005-0000-0000-000016010000}"/>
    <cellStyle name="Comma 3 7 2 2" xfId="280" xr:uid="{00000000-0005-0000-0000-000017010000}"/>
    <cellStyle name="Comma 3 7 2 2 2" xfId="281" xr:uid="{00000000-0005-0000-0000-000018010000}"/>
    <cellStyle name="Comma 3 7 2 3" xfId="282" xr:uid="{00000000-0005-0000-0000-000019010000}"/>
    <cellStyle name="Comma 3 7 3" xfId="283" xr:uid="{00000000-0005-0000-0000-00001A010000}"/>
    <cellStyle name="Comma 3 7 3 2" xfId="284" xr:uid="{00000000-0005-0000-0000-00001B010000}"/>
    <cellStyle name="Comma 3 7 3 2 2" xfId="285" xr:uid="{00000000-0005-0000-0000-00001C010000}"/>
    <cellStyle name="Comma 3 7 3 3" xfId="286" xr:uid="{00000000-0005-0000-0000-00001D010000}"/>
    <cellStyle name="Comma 3 7 4" xfId="287" xr:uid="{00000000-0005-0000-0000-00001E010000}"/>
    <cellStyle name="Comma 3 7 4 2" xfId="288" xr:uid="{00000000-0005-0000-0000-00001F010000}"/>
    <cellStyle name="Comma 3 7 5" xfId="289" xr:uid="{00000000-0005-0000-0000-000020010000}"/>
    <cellStyle name="Comma 3 8" xfId="290" xr:uid="{00000000-0005-0000-0000-000021010000}"/>
    <cellStyle name="Comma 3 8 2" xfId="291" xr:uid="{00000000-0005-0000-0000-000022010000}"/>
    <cellStyle name="Comma 3 8 2 2" xfId="292" xr:uid="{00000000-0005-0000-0000-000023010000}"/>
    <cellStyle name="Comma 3 8 2 2 2" xfId="293" xr:uid="{00000000-0005-0000-0000-000024010000}"/>
    <cellStyle name="Comma 3 8 2 3" xfId="294" xr:uid="{00000000-0005-0000-0000-000025010000}"/>
    <cellStyle name="Comma 3 8 3" xfId="295" xr:uid="{00000000-0005-0000-0000-000026010000}"/>
    <cellStyle name="Comma 3 8 3 2" xfId="296" xr:uid="{00000000-0005-0000-0000-000027010000}"/>
    <cellStyle name="Comma 3 8 3 2 2" xfId="297" xr:uid="{00000000-0005-0000-0000-000028010000}"/>
    <cellStyle name="Comma 3 8 3 3" xfId="298" xr:uid="{00000000-0005-0000-0000-000029010000}"/>
    <cellStyle name="Comma 3 8 4" xfId="299" xr:uid="{00000000-0005-0000-0000-00002A010000}"/>
    <cellStyle name="Comma 3 8 4 2" xfId="300" xr:uid="{00000000-0005-0000-0000-00002B010000}"/>
    <cellStyle name="Comma 3 8 5" xfId="301" xr:uid="{00000000-0005-0000-0000-00002C010000}"/>
    <cellStyle name="Comma 3 9" xfId="302" xr:uid="{00000000-0005-0000-0000-00002D010000}"/>
    <cellStyle name="Comma 3 9 2" xfId="303" xr:uid="{00000000-0005-0000-0000-00002E010000}"/>
    <cellStyle name="Comma 3 9 2 2" xfId="304" xr:uid="{00000000-0005-0000-0000-00002F010000}"/>
    <cellStyle name="Comma 3 9 2 2 2" xfId="305" xr:uid="{00000000-0005-0000-0000-000030010000}"/>
    <cellStyle name="Comma 3 9 2 3" xfId="306" xr:uid="{00000000-0005-0000-0000-000031010000}"/>
    <cellStyle name="Comma 3 9 3" xfId="307" xr:uid="{00000000-0005-0000-0000-000032010000}"/>
    <cellStyle name="Comma 3 9 3 2" xfId="308" xr:uid="{00000000-0005-0000-0000-000033010000}"/>
    <cellStyle name="Comma 3 9 3 2 2" xfId="309" xr:uid="{00000000-0005-0000-0000-000034010000}"/>
    <cellStyle name="Comma 3 9 3 3" xfId="310" xr:uid="{00000000-0005-0000-0000-000035010000}"/>
    <cellStyle name="Comma 3 9 4" xfId="311" xr:uid="{00000000-0005-0000-0000-000036010000}"/>
    <cellStyle name="Comma 3 9 4 2" xfId="312" xr:uid="{00000000-0005-0000-0000-000037010000}"/>
    <cellStyle name="Comma 3 9 5" xfId="313" xr:uid="{00000000-0005-0000-0000-000038010000}"/>
    <cellStyle name="Comma 4" xfId="314" xr:uid="{00000000-0005-0000-0000-000039010000}"/>
    <cellStyle name="Comma 4 2" xfId="315" xr:uid="{00000000-0005-0000-0000-00003A010000}"/>
    <cellStyle name="Comma 4 3" xfId="316" xr:uid="{00000000-0005-0000-0000-00003B010000}"/>
    <cellStyle name="Comma 4 4" xfId="317" xr:uid="{00000000-0005-0000-0000-00003C010000}"/>
    <cellStyle name="Comma 5" xfId="318" xr:uid="{00000000-0005-0000-0000-00003D010000}"/>
    <cellStyle name="Comma 6" xfId="319" xr:uid="{00000000-0005-0000-0000-00003E010000}"/>
    <cellStyle name="Comma 6 2" xfId="320" xr:uid="{00000000-0005-0000-0000-00003F010000}"/>
    <cellStyle name="Comma 7" xfId="321" xr:uid="{00000000-0005-0000-0000-000040010000}"/>
    <cellStyle name="Comma 7 2" xfId="322" xr:uid="{00000000-0005-0000-0000-000041010000}"/>
    <cellStyle name="Comma 8" xfId="323" xr:uid="{00000000-0005-0000-0000-000042010000}"/>
    <cellStyle name="Comma 8 2" xfId="324" xr:uid="{00000000-0005-0000-0000-000043010000}"/>
    <cellStyle name="Comma 9" xfId="325" xr:uid="{00000000-0005-0000-0000-000044010000}"/>
    <cellStyle name="CommaBlank" xfId="326" xr:uid="{00000000-0005-0000-0000-000045010000}"/>
    <cellStyle name="CommaBlank 2" xfId="327" xr:uid="{00000000-0005-0000-0000-000046010000}"/>
    <cellStyle name="Currency" xfId="328" builtinId="4"/>
    <cellStyle name="Currency 10" xfId="329" xr:uid="{00000000-0005-0000-0000-000048010000}"/>
    <cellStyle name="Currency 10 2" xfId="330" xr:uid="{00000000-0005-0000-0000-000049010000}"/>
    <cellStyle name="Currency 10 2 2" xfId="331" xr:uid="{00000000-0005-0000-0000-00004A010000}"/>
    <cellStyle name="Currency 10 2 2 2" xfId="332" xr:uid="{00000000-0005-0000-0000-00004B010000}"/>
    <cellStyle name="Currency 10 2 3" xfId="333" xr:uid="{00000000-0005-0000-0000-00004C010000}"/>
    <cellStyle name="Currency 10 3" xfId="334" xr:uid="{00000000-0005-0000-0000-00004D010000}"/>
    <cellStyle name="Currency 10 3 2" xfId="335" xr:uid="{00000000-0005-0000-0000-00004E010000}"/>
    <cellStyle name="Currency 10 3 2 2" xfId="336" xr:uid="{00000000-0005-0000-0000-00004F010000}"/>
    <cellStyle name="Currency 10 3 3" xfId="337" xr:uid="{00000000-0005-0000-0000-000050010000}"/>
    <cellStyle name="Currency 10 4" xfId="338" xr:uid="{00000000-0005-0000-0000-000051010000}"/>
    <cellStyle name="Currency 10 4 2" xfId="339" xr:uid="{00000000-0005-0000-0000-000052010000}"/>
    <cellStyle name="Currency 10 5" xfId="340" xr:uid="{00000000-0005-0000-0000-000053010000}"/>
    <cellStyle name="Currency 11" xfId="341" xr:uid="{00000000-0005-0000-0000-000054010000}"/>
    <cellStyle name="Currency 2" xfId="342" xr:uid="{00000000-0005-0000-0000-000055010000}"/>
    <cellStyle name="Currency 2 2" xfId="343" xr:uid="{00000000-0005-0000-0000-000056010000}"/>
    <cellStyle name="Currency 2 3" xfId="344" xr:uid="{00000000-0005-0000-0000-000057010000}"/>
    <cellStyle name="Currency 2 4" xfId="345" xr:uid="{00000000-0005-0000-0000-000058010000}"/>
    <cellStyle name="Currency 3" xfId="346" xr:uid="{00000000-0005-0000-0000-000059010000}"/>
    <cellStyle name="Currency 3 2" xfId="347" xr:uid="{00000000-0005-0000-0000-00005A010000}"/>
    <cellStyle name="Currency 3 3" xfId="348" xr:uid="{00000000-0005-0000-0000-00005B010000}"/>
    <cellStyle name="Currency 3 4" xfId="349" xr:uid="{00000000-0005-0000-0000-00005C010000}"/>
    <cellStyle name="Currency 3 5" xfId="350" xr:uid="{00000000-0005-0000-0000-00005D010000}"/>
    <cellStyle name="Currency 4" xfId="351" xr:uid="{00000000-0005-0000-0000-00005E010000}"/>
    <cellStyle name="Currency 4 2" xfId="352" xr:uid="{00000000-0005-0000-0000-00005F010000}"/>
    <cellStyle name="Currency 4 3" xfId="353" xr:uid="{00000000-0005-0000-0000-000060010000}"/>
    <cellStyle name="Currency 4 4" xfId="354" xr:uid="{00000000-0005-0000-0000-000061010000}"/>
    <cellStyle name="Currency 5" xfId="355" xr:uid="{00000000-0005-0000-0000-000062010000}"/>
    <cellStyle name="Currency 6" xfId="356" xr:uid="{00000000-0005-0000-0000-000063010000}"/>
    <cellStyle name="Currency 7" xfId="357" xr:uid="{00000000-0005-0000-0000-000064010000}"/>
    <cellStyle name="Currency 8" xfId="358" xr:uid="{00000000-0005-0000-0000-000065010000}"/>
    <cellStyle name="Currency 9" xfId="359" xr:uid="{00000000-0005-0000-0000-000066010000}"/>
    <cellStyle name="Explanatory Text 2" xfId="360" xr:uid="{00000000-0005-0000-0000-000067010000}"/>
    <cellStyle name="Explanatory Text 3" xfId="361" xr:uid="{00000000-0005-0000-0000-000068010000}"/>
    <cellStyle name="Explanatory Text 4" xfId="362" xr:uid="{00000000-0005-0000-0000-000069010000}"/>
    <cellStyle name="Explanatory Text 5" xfId="363" xr:uid="{00000000-0005-0000-0000-00006A010000}"/>
    <cellStyle name="Explanatory Text 6" xfId="364" xr:uid="{00000000-0005-0000-0000-00006B010000}"/>
    <cellStyle name="Good 2" xfId="365" xr:uid="{00000000-0005-0000-0000-00006C010000}"/>
    <cellStyle name="Good 3" xfId="366" xr:uid="{00000000-0005-0000-0000-00006D010000}"/>
    <cellStyle name="Good 4" xfId="367" xr:uid="{00000000-0005-0000-0000-00006E010000}"/>
    <cellStyle name="Good 5" xfId="368" xr:uid="{00000000-0005-0000-0000-00006F010000}"/>
    <cellStyle name="Good 6" xfId="369" xr:uid="{00000000-0005-0000-0000-000070010000}"/>
    <cellStyle name="Heading 1 2" xfId="370" xr:uid="{00000000-0005-0000-0000-000071010000}"/>
    <cellStyle name="Heading 1 3" xfId="371" xr:uid="{00000000-0005-0000-0000-000072010000}"/>
    <cellStyle name="Heading 1 4" xfId="372" xr:uid="{00000000-0005-0000-0000-000073010000}"/>
    <cellStyle name="Heading 1 5" xfId="373" xr:uid="{00000000-0005-0000-0000-000074010000}"/>
    <cellStyle name="Heading 1 6" xfId="374" xr:uid="{00000000-0005-0000-0000-000075010000}"/>
    <cellStyle name="Heading 1 7" xfId="375" xr:uid="{00000000-0005-0000-0000-000076010000}"/>
    <cellStyle name="Heading 1 8" xfId="376" xr:uid="{00000000-0005-0000-0000-000077010000}"/>
    <cellStyle name="Heading 2 2" xfId="377" xr:uid="{00000000-0005-0000-0000-000078010000}"/>
    <cellStyle name="Heading 2 3" xfId="378" xr:uid="{00000000-0005-0000-0000-000079010000}"/>
    <cellStyle name="Heading 2 4" xfId="379" xr:uid="{00000000-0005-0000-0000-00007A010000}"/>
    <cellStyle name="Heading 2 5" xfId="380" xr:uid="{00000000-0005-0000-0000-00007B010000}"/>
    <cellStyle name="Heading 2 6" xfId="381" xr:uid="{00000000-0005-0000-0000-00007C010000}"/>
    <cellStyle name="Heading 2 7" xfId="382" xr:uid="{00000000-0005-0000-0000-00007D010000}"/>
    <cellStyle name="Heading 2 8" xfId="383" xr:uid="{00000000-0005-0000-0000-00007E010000}"/>
    <cellStyle name="Heading 3 2" xfId="384" xr:uid="{00000000-0005-0000-0000-00007F010000}"/>
    <cellStyle name="Heading 3 3" xfId="385" xr:uid="{00000000-0005-0000-0000-000080010000}"/>
    <cellStyle name="Heading 3 4" xfId="386" xr:uid="{00000000-0005-0000-0000-000081010000}"/>
    <cellStyle name="Heading 3 5" xfId="387" xr:uid="{00000000-0005-0000-0000-000082010000}"/>
    <cellStyle name="Heading 3 6" xfId="388" xr:uid="{00000000-0005-0000-0000-000083010000}"/>
    <cellStyle name="Heading 3 7" xfId="389" xr:uid="{00000000-0005-0000-0000-000084010000}"/>
    <cellStyle name="Heading 3 8" xfId="390" xr:uid="{00000000-0005-0000-0000-000085010000}"/>
    <cellStyle name="Heading 4 2" xfId="391" xr:uid="{00000000-0005-0000-0000-000086010000}"/>
    <cellStyle name="Heading 4 3" xfId="392" xr:uid="{00000000-0005-0000-0000-000087010000}"/>
    <cellStyle name="Heading 4 4" xfId="393" xr:uid="{00000000-0005-0000-0000-000088010000}"/>
    <cellStyle name="Heading 4 5" xfId="394" xr:uid="{00000000-0005-0000-0000-000089010000}"/>
    <cellStyle name="Heading 4 6" xfId="395" xr:uid="{00000000-0005-0000-0000-00008A010000}"/>
    <cellStyle name="Heading 4 7" xfId="396" xr:uid="{00000000-0005-0000-0000-00008B010000}"/>
    <cellStyle name="Heading 4 8" xfId="397" xr:uid="{00000000-0005-0000-0000-00008C010000}"/>
    <cellStyle name="Input 2" xfId="398" xr:uid="{00000000-0005-0000-0000-00008D010000}"/>
    <cellStyle name="Input 3" xfId="399" xr:uid="{00000000-0005-0000-0000-00008E010000}"/>
    <cellStyle name="Input 4" xfId="400" xr:uid="{00000000-0005-0000-0000-00008F010000}"/>
    <cellStyle name="Input 5" xfId="401" xr:uid="{00000000-0005-0000-0000-000090010000}"/>
    <cellStyle name="Input 6" xfId="402" xr:uid="{00000000-0005-0000-0000-000091010000}"/>
    <cellStyle name="kirkdollars" xfId="403" xr:uid="{00000000-0005-0000-0000-000092010000}"/>
    <cellStyle name="Linked Cell 2" xfId="404" xr:uid="{00000000-0005-0000-0000-000093010000}"/>
    <cellStyle name="Linked Cell 3" xfId="405" xr:uid="{00000000-0005-0000-0000-000094010000}"/>
    <cellStyle name="Linked Cell 4" xfId="406" xr:uid="{00000000-0005-0000-0000-000095010000}"/>
    <cellStyle name="Linked Cell 5" xfId="407" xr:uid="{00000000-0005-0000-0000-000096010000}"/>
    <cellStyle name="Linked Cell 6" xfId="408" xr:uid="{00000000-0005-0000-0000-000097010000}"/>
    <cellStyle name="Neutral 2" xfId="409" xr:uid="{00000000-0005-0000-0000-000098010000}"/>
    <cellStyle name="Neutral 3" xfId="410" xr:uid="{00000000-0005-0000-0000-000099010000}"/>
    <cellStyle name="Neutral 4" xfId="411" xr:uid="{00000000-0005-0000-0000-00009A010000}"/>
    <cellStyle name="Neutral 5" xfId="412" xr:uid="{00000000-0005-0000-0000-00009B010000}"/>
    <cellStyle name="Neutral 6" xfId="413" xr:uid="{00000000-0005-0000-0000-00009C010000}"/>
    <cellStyle name="Normal" xfId="0" builtinId="0"/>
    <cellStyle name="Normal 10" xfId="414" xr:uid="{00000000-0005-0000-0000-00009E010000}"/>
    <cellStyle name="Normal 11" xfId="415" xr:uid="{00000000-0005-0000-0000-00009F010000}"/>
    <cellStyle name="Normal 12" xfId="416" xr:uid="{00000000-0005-0000-0000-0000A0010000}"/>
    <cellStyle name="Normal 13" xfId="417" xr:uid="{00000000-0005-0000-0000-0000A1010000}"/>
    <cellStyle name="Normal 14" xfId="418" xr:uid="{00000000-0005-0000-0000-0000A2010000}"/>
    <cellStyle name="Normal 15" xfId="419" xr:uid="{00000000-0005-0000-0000-0000A3010000}"/>
    <cellStyle name="Normal 15 2" xfId="420" xr:uid="{00000000-0005-0000-0000-0000A4010000}"/>
    <cellStyle name="Normal 15 2 2" xfId="421" xr:uid="{00000000-0005-0000-0000-0000A5010000}"/>
    <cellStyle name="Normal 15 2 2 2" xfId="422" xr:uid="{00000000-0005-0000-0000-0000A6010000}"/>
    <cellStyle name="Normal 15 2 3" xfId="423" xr:uid="{00000000-0005-0000-0000-0000A7010000}"/>
    <cellStyle name="Normal 15 3" xfId="424" xr:uid="{00000000-0005-0000-0000-0000A8010000}"/>
    <cellStyle name="Normal 15 3 2" xfId="425" xr:uid="{00000000-0005-0000-0000-0000A9010000}"/>
    <cellStyle name="Normal 15 3 2 2" xfId="426" xr:uid="{00000000-0005-0000-0000-0000AA010000}"/>
    <cellStyle name="Normal 15 3 3" xfId="427" xr:uid="{00000000-0005-0000-0000-0000AB010000}"/>
    <cellStyle name="Normal 15 4" xfId="428" xr:uid="{00000000-0005-0000-0000-0000AC010000}"/>
    <cellStyle name="Normal 15 4 2" xfId="429" xr:uid="{00000000-0005-0000-0000-0000AD010000}"/>
    <cellStyle name="Normal 15 5" xfId="430" xr:uid="{00000000-0005-0000-0000-0000AE010000}"/>
    <cellStyle name="Normal 16" xfId="431" xr:uid="{00000000-0005-0000-0000-0000AF010000}"/>
    <cellStyle name="Normal 17" xfId="432" xr:uid="{00000000-0005-0000-0000-0000B0010000}"/>
    <cellStyle name="Normal 18" xfId="433" xr:uid="{00000000-0005-0000-0000-0000B1010000}"/>
    <cellStyle name="Normal 19" xfId="434" xr:uid="{00000000-0005-0000-0000-0000B2010000}"/>
    <cellStyle name="Normal 2" xfId="435" xr:uid="{00000000-0005-0000-0000-0000B3010000}"/>
    <cellStyle name="Normal 2 2" xfId="436" xr:uid="{00000000-0005-0000-0000-0000B4010000}"/>
    <cellStyle name="Normal 2 2 2" xfId="437" xr:uid="{00000000-0005-0000-0000-0000B5010000}"/>
    <cellStyle name="Normal 2 3" xfId="438" xr:uid="{00000000-0005-0000-0000-0000B6010000}"/>
    <cellStyle name="Normal 2 4" xfId="439" xr:uid="{00000000-0005-0000-0000-0000B7010000}"/>
    <cellStyle name="Normal 2 5" xfId="440" xr:uid="{00000000-0005-0000-0000-0000B8010000}"/>
    <cellStyle name="Normal 2_Adjustment WP" xfId="441" xr:uid="{00000000-0005-0000-0000-0000B9010000}"/>
    <cellStyle name="Normal 20" xfId="442" xr:uid="{00000000-0005-0000-0000-0000BA010000}"/>
    <cellStyle name="Normal 21" xfId="443" xr:uid="{00000000-0005-0000-0000-0000BB010000}"/>
    <cellStyle name="Normal 22" xfId="444" xr:uid="{00000000-0005-0000-0000-0000BC010000}"/>
    <cellStyle name="Normal 23" xfId="445" xr:uid="{00000000-0005-0000-0000-0000BD010000}"/>
    <cellStyle name="Normal 24" xfId="446" xr:uid="{00000000-0005-0000-0000-0000BE010000}"/>
    <cellStyle name="Normal 25" xfId="447" xr:uid="{00000000-0005-0000-0000-0000BF010000}"/>
    <cellStyle name="Normal 26" xfId="448" xr:uid="{00000000-0005-0000-0000-0000C0010000}"/>
    <cellStyle name="Normal 27" xfId="449" xr:uid="{00000000-0005-0000-0000-0000C1010000}"/>
    <cellStyle name="Normal 28" xfId="450" xr:uid="{00000000-0005-0000-0000-0000C2010000}"/>
    <cellStyle name="Normal 29" xfId="451" xr:uid="{00000000-0005-0000-0000-0000C3010000}"/>
    <cellStyle name="Normal 3" xfId="452" xr:uid="{00000000-0005-0000-0000-0000C4010000}"/>
    <cellStyle name="Normal 3 2" xfId="453" xr:uid="{00000000-0005-0000-0000-0000C5010000}"/>
    <cellStyle name="Normal 3 3" xfId="454" xr:uid="{00000000-0005-0000-0000-0000C6010000}"/>
    <cellStyle name="Normal 3 4" xfId="455" xr:uid="{00000000-0005-0000-0000-0000C7010000}"/>
    <cellStyle name="Normal 3 5" xfId="456" xr:uid="{00000000-0005-0000-0000-0000C8010000}"/>
    <cellStyle name="Normal 3 6" xfId="457" xr:uid="{00000000-0005-0000-0000-0000C9010000}"/>
    <cellStyle name="Normal 3 7" xfId="458" xr:uid="{00000000-0005-0000-0000-0000CA010000}"/>
    <cellStyle name="Normal 3 8" xfId="459" xr:uid="{00000000-0005-0000-0000-0000CB010000}"/>
    <cellStyle name="Normal 3_108 Summary" xfId="460" xr:uid="{00000000-0005-0000-0000-0000CC010000}"/>
    <cellStyle name="Normal 30" xfId="461" xr:uid="{00000000-0005-0000-0000-0000CD010000}"/>
    <cellStyle name="Normal 31" xfId="462" xr:uid="{00000000-0005-0000-0000-0000CE010000}"/>
    <cellStyle name="Normal 32" xfId="463" xr:uid="{00000000-0005-0000-0000-0000CF010000}"/>
    <cellStyle name="Normal 33" xfId="464" xr:uid="{00000000-0005-0000-0000-0000D0010000}"/>
    <cellStyle name="Normal 34" xfId="465" xr:uid="{00000000-0005-0000-0000-0000D1010000}"/>
    <cellStyle name="Normal 35" xfId="466" xr:uid="{00000000-0005-0000-0000-0000D2010000}"/>
    <cellStyle name="Normal 35 2" xfId="467" xr:uid="{00000000-0005-0000-0000-0000D3010000}"/>
    <cellStyle name="Normal 35 2 2" xfId="468" xr:uid="{00000000-0005-0000-0000-0000D4010000}"/>
    <cellStyle name="Normal 35 2 2 2" xfId="469" xr:uid="{00000000-0005-0000-0000-0000D5010000}"/>
    <cellStyle name="Normal 35 2 3" xfId="470" xr:uid="{00000000-0005-0000-0000-0000D6010000}"/>
    <cellStyle name="Normal 35 3" xfId="471" xr:uid="{00000000-0005-0000-0000-0000D7010000}"/>
    <cellStyle name="Normal 35 3 2" xfId="472" xr:uid="{00000000-0005-0000-0000-0000D8010000}"/>
    <cellStyle name="Normal 35 3 2 2" xfId="473" xr:uid="{00000000-0005-0000-0000-0000D9010000}"/>
    <cellStyle name="Normal 35 3 3" xfId="474" xr:uid="{00000000-0005-0000-0000-0000DA010000}"/>
    <cellStyle name="Normal 35 4" xfId="475" xr:uid="{00000000-0005-0000-0000-0000DB010000}"/>
    <cellStyle name="Normal 35 4 2" xfId="476" xr:uid="{00000000-0005-0000-0000-0000DC010000}"/>
    <cellStyle name="Normal 35 5" xfId="477" xr:uid="{00000000-0005-0000-0000-0000DD010000}"/>
    <cellStyle name="Normal 36" xfId="478" xr:uid="{00000000-0005-0000-0000-0000DE010000}"/>
    <cellStyle name="Normal 36 2" xfId="479" xr:uid="{00000000-0005-0000-0000-0000DF010000}"/>
    <cellStyle name="Normal 37" xfId="723" xr:uid="{00000000-0005-0000-0000-0000E0010000}"/>
    <cellStyle name="Normal 37 2" xfId="725" xr:uid="{9EEC57D6-760F-427D-AC36-00687695284C}"/>
    <cellStyle name="Normal 38" xfId="724" xr:uid="{00000000-0005-0000-0000-0000E1010000}"/>
    <cellStyle name="Normal 38 2" xfId="726" xr:uid="{D62173F6-697E-44DD-A834-4A2E89537884}"/>
    <cellStyle name="Normal 39" xfId="727" xr:uid="{3AA694E7-97D6-4FB8-A9A4-D061898BC3E8}"/>
    <cellStyle name="Normal 4" xfId="480" xr:uid="{00000000-0005-0000-0000-0000E2010000}"/>
    <cellStyle name="Normal 4 2" xfId="481" xr:uid="{00000000-0005-0000-0000-0000E3010000}"/>
    <cellStyle name="Normal 4 3" xfId="482" xr:uid="{00000000-0005-0000-0000-0000E4010000}"/>
    <cellStyle name="Normal 4 4" xfId="483" xr:uid="{00000000-0005-0000-0000-0000E5010000}"/>
    <cellStyle name="Normal 4 5" xfId="484" xr:uid="{00000000-0005-0000-0000-0000E6010000}"/>
    <cellStyle name="Normal 40" xfId="728" xr:uid="{B4D2D42B-13FA-4EF3-86E3-472B9E89E152}"/>
    <cellStyle name="Normal 41" xfId="729" xr:uid="{41C55290-B67C-46DD-8036-0CD7B3A21000}"/>
    <cellStyle name="Normal 42" xfId="730" xr:uid="{9DD5F75D-A9F9-4283-BD6E-7A42EC8C2431}"/>
    <cellStyle name="Normal 43" xfId="731" xr:uid="{2A32E93C-48FB-4E18-9FB5-BB9DE61C8FF2}"/>
    <cellStyle name="Normal 44" xfId="732" xr:uid="{0EF8513D-3A82-4EA3-ABAC-FB0893F6C76D}"/>
    <cellStyle name="Normal 45" xfId="733" xr:uid="{482FC96B-8BCC-468E-91C3-9964C19E0FD4}"/>
    <cellStyle name="Normal 5" xfId="485" xr:uid="{00000000-0005-0000-0000-0000E7010000}"/>
    <cellStyle name="Normal 5 2" xfId="486" xr:uid="{00000000-0005-0000-0000-0000E8010000}"/>
    <cellStyle name="Normal 5 3" xfId="487" xr:uid="{00000000-0005-0000-0000-0000E9010000}"/>
    <cellStyle name="Normal 6" xfId="488" xr:uid="{00000000-0005-0000-0000-0000EA010000}"/>
    <cellStyle name="Normal 6 10" xfId="489" xr:uid="{00000000-0005-0000-0000-0000EB010000}"/>
    <cellStyle name="Normal 6 10 2" xfId="490" xr:uid="{00000000-0005-0000-0000-0000EC010000}"/>
    <cellStyle name="Normal 6 10 2 2" xfId="491" xr:uid="{00000000-0005-0000-0000-0000ED010000}"/>
    <cellStyle name="Normal 6 10 3" xfId="492" xr:uid="{00000000-0005-0000-0000-0000EE010000}"/>
    <cellStyle name="Normal 6 2" xfId="493" xr:uid="{00000000-0005-0000-0000-0000EF010000}"/>
    <cellStyle name="Normal 6 2 2" xfId="494" xr:uid="{00000000-0005-0000-0000-0000F0010000}"/>
    <cellStyle name="Normal 6 2 2 2" xfId="495" xr:uid="{00000000-0005-0000-0000-0000F1010000}"/>
    <cellStyle name="Normal 6 2 2 2 2" xfId="496" xr:uid="{00000000-0005-0000-0000-0000F2010000}"/>
    <cellStyle name="Normal 6 2 2 3" xfId="497" xr:uid="{00000000-0005-0000-0000-0000F3010000}"/>
    <cellStyle name="Normal 6 2 3" xfId="498" xr:uid="{00000000-0005-0000-0000-0000F4010000}"/>
    <cellStyle name="Normal 6 2 3 2" xfId="499" xr:uid="{00000000-0005-0000-0000-0000F5010000}"/>
    <cellStyle name="Normal 6 2 3 2 2" xfId="500" xr:uid="{00000000-0005-0000-0000-0000F6010000}"/>
    <cellStyle name="Normal 6 2 3 3" xfId="501" xr:uid="{00000000-0005-0000-0000-0000F7010000}"/>
    <cellStyle name="Normal 6 2 4" xfId="502" xr:uid="{00000000-0005-0000-0000-0000F8010000}"/>
    <cellStyle name="Normal 6 2 4 2" xfId="503" xr:uid="{00000000-0005-0000-0000-0000F9010000}"/>
    <cellStyle name="Normal 6 2 5" xfId="504" xr:uid="{00000000-0005-0000-0000-0000FA010000}"/>
    <cellStyle name="Normal 6 3" xfId="505" xr:uid="{00000000-0005-0000-0000-0000FB010000}"/>
    <cellStyle name="Normal 6 3 2" xfId="506" xr:uid="{00000000-0005-0000-0000-0000FC010000}"/>
    <cellStyle name="Normal 6 3 2 2" xfId="507" xr:uid="{00000000-0005-0000-0000-0000FD010000}"/>
    <cellStyle name="Normal 6 3 2 2 2" xfId="508" xr:uid="{00000000-0005-0000-0000-0000FE010000}"/>
    <cellStyle name="Normal 6 3 2 3" xfId="509" xr:uid="{00000000-0005-0000-0000-0000FF010000}"/>
    <cellStyle name="Normal 6 3 3" xfId="510" xr:uid="{00000000-0005-0000-0000-000000020000}"/>
    <cellStyle name="Normal 6 3 3 2" xfId="511" xr:uid="{00000000-0005-0000-0000-000001020000}"/>
    <cellStyle name="Normal 6 3 3 2 2" xfId="512" xr:uid="{00000000-0005-0000-0000-000002020000}"/>
    <cellStyle name="Normal 6 3 3 3" xfId="513" xr:uid="{00000000-0005-0000-0000-000003020000}"/>
    <cellStyle name="Normal 6 3 4" xfId="514" xr:uid="{00000000-0005-0000-0000-000004020000}"/>
    <cellStyle name="Normal 6 3 4 2" xfId="515" xr:uid="{00000000-0005-0000-0000-000005020000}"/>
    <cellStyle name="Normal 6 3 5" xfId="516" xr:uid="{00000000-0005-0000-0000-000006020000}"/>
    <cellStyle name="Normal 6 4" xfId="517" xr:uid="{00000000-0005-0000-0000-000007020000}"/>
    <cellStyle name="Normal 6 4 2" xfId="518" xr:uid="{00000000-0005-0000-0000-000008020000}"/>
    <cellStyle name="Normal 6 4 2 2" xfId="519" xr:uid="{00000000-0005-0000-0000-000009020000}"/>
    <cellStyle name="Normal 6 4 2 2 2" xfId="520" xr:uid="{00000000-0005-0000-0000-00000A020000}"/>
    <cellStyle name="Normal 6 4 2 3" xfId="521" xr:uid="{00000000-0005-0000-0000-00000B020000}"/>
    <cellStyle name="Normal 6 4 3" xfId="522" xr:uid="{00000000-0005-0000-0000-00000C020000}"/>
    <cellStyle name="Normal 6 4 3 2" xfId="523" xr:uid="{00000000-0005-0000-0000-00000D020000}"/>
    <cellStyle name="Normal 6 4 3 2 2" xfId="524" xr:uid="{00000000-0005-0000-0000-00000E020000}"/>
    <cellStyle name="Normal 6 4 3 3" xfId="525" xr:uid="{00000000-0005-0000-0000-00000F020000}"/>
    <cellStyle name="Normal 6 4 4" xfId="526" xr:uid="{00000000-0005-0000-0000-000010020000}"/>
    <cellStyle name="Normal 6 4 4 2" xfId="527" xr:uid="{00000000-0005-0000-0000-000011020000}"/>
    <cellStyle name="Normal 6 4 5" xfId="528" xr:uid="{00000000-0005-0000-0000-000012020000}"/>
    <cellStyle name="Normal 6 5" xfId="529" xr:uid="{00000000-0005-0000-0000-000013020000}"/>
    <cellStyle name="Normal 6 5 2" xfId="530" xr:uid="{00000000-0005-0000-0000-000014020000}"/>
    <cellStyle name="Normal 6 5 2 2" xfId="531" xr:uid="{00000000-0005-0000-0000-000015020000}"/>
    <cellStyle name="Normal 6 5 2 2 2" xfId="532" xr:uid="{00000000-0005-0000-0000-000016020000}"/>
    <cellStyle name="Normal 6 5 2 3" xfId="533" xr:uid="{00000000-0005-0000-0000-000017020000}"/>
    <cellStyle name="Normal 6 5 3" xfId="534" xr:uid="{00000000-0005-0000-0000-000018020000}"/>
    <cellStyle name="Normal 6 5 3 2" xfId="535" xr:uid="{00000000-0005-0000-0000-000019020000}"/>
    <cellStyle name="Normal 6 5 3 2 2" xfId="536" xr:uid="{00000000-0005-0000-0000-00001A020000}"/>
    <cellStyle name="Normal 6 5 3 3" xfId="537" xr:uid="{00000000-0005-0000-0000-00001B020000}"/>
    <cellStyle name="Normal 6 5 4" xfId="538" xr:uid="{00000000-0005-0000-0000-00001C020000}"/>
    <cellStyle name="Normal 6 5 4 2" xfId="539" xr:uid="{00000000-0005-0000-0000-00001D020000}"/>
    <cellStyle name="Normal 6 5 5" xfId="540" xr:uid="{00000000-0005-0000-0000-00001E020000}"/>
    <cellStyle name="Normal 6 6" xfId="541" xr:uid="{00000000-0005-0000-0000-00001F020000}"/>
    <cellStyle name="Normal 6 6 2" xfId="542" xr:uid="{00000000-0005-0000-0000-000020020000}"/>
    <cellStyle name="Normal 6 6 2 2" xfId="543" xr:uid="{00000000-0005-0000-0000-000021020000}"/>
    <cellStyle name="Normal 6 6 2 2 2" xfId="544" xr:uid="{00000000-0005-0000-0000-000022020000}"/>
    <cellStyle name="Normal 6 6 2 3" xfId="545" xr:uid="{00000000-0005-0000-0000-000023020000}"/>
    <cellStyle name="Normal 6 6 3" xfId="546" xr:uid="{00000000-0005-0000-0000-000024020000}"/>
    <cellStyle name="Normal 6 6 3 2" xfId="547" xr:uid="{00000000-0005-0000-0000-000025020000}"/>
    <cellStyle name="Normal 6 6 3 2 2" xfId="548" xr:uid="{00000000-0005-0000-0000-000026020000}"/>
    <cellStyle name="Normal 6 6 3 3" xfId="549" xr:uid="{00000000-0005-0000-0000-000027020000}"/>
    <cellStyle name="Normal 6 6 4" xfId="550" xr:uid="{00000000-0005-0000-0000-000028020000}"/>
    <cellStyle name="Normal 6 6 4 2" xfId="551" xr:uid="{00000000-0005-0000-0000-000029020000}"/>
    <cellStyle name="Normal 6 6 5" xfId="552" xr:uid="{00000000-0005-0000-0000-00002A020000}"/>
    <cellStyle name="Normal 6 7" xfId="553" xr:uid="{00000000-0005-0000-0000-00002B020000}"/>
    <cellStyle name="Normal 6 7 2" xfId="554" xr:uid="{00000000-0005-0000-0000-00002C020000}"/>
    <cellStyle name="Normal 6 7 2 2" xfId="555" xr:uid="{00000000-0005-0000-0000-00002D020000}"/>
    <cellStyle name="Normal 6 7 2 2 2" xfId="556" xr:uid="{00000000-0005-0000-0000-00002E020000}"/>
    <cellStyle name="Normal 6 7 2 3" xfId="557" xr:uid="{00000000-0005-0000-0000-00002F020000}"/>
    <cellStyle name="Normal 6 7 3" xfId="558" xr:uid="{00000000-0005-0000-0000-000030020000}"/>
    <cellStyle name="Normal 6 7 3 2" xfId="559" xr:uid="{00000000-0005-0000-0000-000031020000}"/>
    <cellStyle name="Normal 6 7 3 2 2" xfId="560" xr:uid="{00000000-0005-0000-0000-000032020000}"/>
    <cellStyle name="Normal 6 7 3 3" xfId="561" xr:uid="{00000000-0005-0000-0000-000033020000}"/>
    <cellStyle name="Normal 6 7 4" xfId="562" xr:uid="{00000000-0005-0000-0000-000034020000}"/>
    <cellStyle name="Normal 6 7 4 2" xfId="563" xr:uid="{00000000-0005-0000-0000-000035020000}"/>
    <cellStyle name="Normal 6 7 5" xfId="564" xr:uid="{00000000-0005-0000-0000-000036020000}"/>
    <cellStyle name="Normal 6 8" xfId="565" xr:uid="{00000000-0005-0000-0000-000037020000}"/>
    <cellStyle name="Normal 6 8 2" xfId="566" xr:uid="{00000000-0005-0000-0000-000038020000}"/>
    <cellStyle name="Normal 6 8 2 2" xfId="567" xr:uid="{00000000-0005-0000-0000-000039020000}"/>
    <cellStyle name="Normal 6 8 2 2 2" xfId="568" xr:uid="{00000000-0005-0000-0000-00003A020000}"/>
    <cellStyle name="Normal 6 8 2 3" xfId="569" xr:uid="{00000000-0005-0000-0000-00003B020000}"/>
    <cellStyle name="Normal 6 8 3" xfId="570" xr:uid="{00000000-0005-0000-0000-00003C020000}"/>
    <cellStyle name="Normal 6 8 3 2" xfId="571" xr:uid="{00000000-0005-0000-0000-00003D020000}"/>
    <cellStyle name="Normal 6 8 3 2 2" xfId="572" xr:uid="{00000000-0005-0000-0000-00003E020000}"/>
    <cellStyle name="Normal 6 8 3 3" xfId="573" xr:uid="{00000000-0005-0000-0000-00003F020000}"/>
    <cellStyle name="Normal 6 8 4" xfId="574" xr:uid="{00000000-0005-0000-0000-000040020000}"/>
    <cellStyle name="Normal 6 8 4 2" xfId="575" xr:uid="{00000000-0005-0000-0000-000041020000}"/>
    <cellStyle name="Normal 6 8 5" xfId="576" xr:uid="{00000000-0005-0000-0000-000042020000}"/>
    <cellStyle name="Normal 6 9" xfId="577" xr:uid="{00000000-0005-0000-0000-000043020000}"/>
    <cellStyle name="Normal 7" xfId="578" xr:uid="{00000000-0005-0000-0000-000044020000}"/>
    <cellStyle name="Normal 8" xfId="579" xr:uid="{00000000-0005-0000-0000-000045020000}"/>
    <cellStyle name="Normal 9" xfId="580" xr:uid="{00000000-0005-0000-0000-000046020000}"/>
    <cellStyle name="Note 10" xfId="581" xr:uid="{00000000-0005-0000-0000-000047020000}"/>
    <cellStyle name="Note 11" xfId="582" xr:uid="{00000000-0005-0000-0000-000048020000}"/>
    <cellStyle name="Note 2" xfId="583" xr:uid="{00000000-0005-0000-0000-000049020000}"/>
    <cellStyle name="Note 2 2" xfId="584" xr:uid="{00000000-0005-0000-0000-00004A020000}"/>
    <cellStyle name="Note 2_Allocators" xfId="585" xr:uid="{00000000-0005-0000-0000-00004B020000}"/>
    <cellStyle name="Note 3" xfId="586" xr:uid="{00000000-0005-0000-0000-00004C020000}"/>
    <cellStyle name="Note 3 2" xfId="587" xr:uid="{00000000-0005-0000-0000-00004D020000}"/>
    <cellStyle name="Note 3 3" xfId="588" xr:uid="{00000000-0005-0000-0000-00004E020000}"/>
    <cellStyle name="Note 3_Allocators" xfId="589" xr:uid="{00000000-0005-0000-0000-00004F020000}"/>
    <cellStyle name="Note 4" xfId="590" xr:uid="{00000000-0005-0000-0000-000050020000}"/>
    <cellStyle name="Note 4 2" xfId="591" xr:uid="{00000000-0005-0000-0000-000051020000}"/>
    <cellStyle name="Note 4_Allocators" xfId="592" xr:uid="{00000000-0005-0000-0000-000052020000}"/>
    <cellStyle name="Note 5" xfId="593" xr:uid="{00000000-0005-0000-0000-000053020000}"/>
    <cellStyle name="Note 6" xfId="594" xr:uid="{00000000-0005-0000-0000-000054020000}"/>
    <cellStyle name="Note 6 2" xfId="595" xr:uid="{00000000-0005-0000-0000-000055020000}"/>
    <cellStyle name="Note 6_Allocators" xfId="596" xr:uid="{00000000-0005-0000-0000-000056020000}"/>
    <cellStyle name="Note 7" xfId="597" xr:uid="{00000000-0005-0000-0000-000057020000}"/>
    <cellStyle name="Note 7 2" xfId="598" xr:uid="{00000000-0005-0000-0000-000058020000}"/>
    <cellStyle name="Note 8" xfId="599" xr:uid="{00000000-0005-0000-0000-000059020000}"/>
    <cellStyle name="Note 9" xfId="600" xr:uid="{00000000-0005-0000-0000-00005A020000}"/>
    <cellStyle name="nPlosion" xfId="601" xr:uid="{00000000-0005-0000-0000-00005B020000}"/>
    <cellStyle name="nvision" xfId="602" xr:uid="{00000000-0005-0000-0000-00005C020000}"/>
    <cellStyle name="Output 2" xfId="603" xr:uid="{00000000-0005-0000-0000-00005D020000}"/>
    <cellStyle name="Output 3" xfId="604" xr:uid="{00000000-0005-0000-0000-00005E020000}"/>
    <cellStyle name="Output 4" xfId="605" xr:uid="{00000000-0005-0000-0000-00005F020000}"/>
    <cellStyle name="Output 5" xfId="606" xr:uid="{00000000-0005-0000-0000-000060020000}"/>
    <cellStyle name="Output 6" xfId="607" xr:uid="{00000000-0005-0000-0000-000061020000}"/>
    <cellStyle name="Percent" xfId="608" builtinId="5"/>
    <cellStyle name="Percent 10" xfId="609" xr:uid="{00000000-0005-0000-0000-000063020000}"/>
    <cellStyle name="Percent 11" xfId="610" xr:uid="{00000000-0005-0000-0000-000064020000}"/>
    <cellStyle name="Percent 12" xfId="611" xr:uid="{00000000-0005-0000-0000-000065020000}"/>
    <cellStyle name="Percent 13" xfId="612" xr:uid="{00000000-0005-0000-0000-000066020000}"/>
    <cellStyle name="Percent 13 2" xfId="613" xr:uid="{00000000-0005-0000-0000-000067020000}"/>
    <cellStyle name="Percent 13 2 2" xfId="614" xr:uid="{00000000-0005-0000-0000-000068020000}"/>
    <cellStyle name="Percent 13 2 2 2" xfId="615" xr:uid="{00000000-0005-0000-0000-000069020000}"/>
    <cellStyle name="Percent 13 2 3" xfId="616" xr:uid="{00000000-0005-0000-0000-00006A020000}"/>
    <cellStyle name="Percent 13 3" xfId="617" xr:uid="{00000000-0005-0000-0000-00006B020000}"/>
    <cellStyle name="Percent 13 3 2" xfId="618" xr:uid="{00000000-0005-0000-0000-00006C020000}"/>
    <cellStyle name="Percent 13 3 2 2" xfId="619" xr:uid="{00000000-0005-0000-0000-00006D020000}"/>
    <cellStyle name="Percent 13 3 3" xfId="620" xr:uid="{00000000-0005-0000-0000-00006E020000}"/>
    <cellStyle name="Percent 13 4" xfId="621" xr:uid="{00000000-0005-0000-0000-00006F020000}"/>
    <cellStyle name="Percent 13 4 2" xfId="622" xr:uid="{00000000-0005-0000-0000-000070020000}"/>
    <cellStyle name="Percent 13 5" xfId="623" xr:uid="{00000000-0005-0000-0000-000071020000}"/>
    <cellStyle name="Percent 14" xfId="624" xr:uid="{00000000-0005-0000-0000-000072020000}"/>
    <cellStyle name="Percent 2" xfId="625" xr:uid="{00000000-0005-0000-0000-000073020000}"/>
    <cellStyle name="Percent 2 2" xfId="626" xr:uid="{00000000-0005-0000-0000-000074020000}"/>
    <cellStyle name="Percent 2 3" xfId="627" xr:uid="{00000000-0005-0000-0000-000075020000}"/>
    <cellStyle name="Percent 3" xfId="628" xr:uid="{00000000-0005-0000-0000-000076020000}"/>
    <cellStyle name="Percent 3 2" xfId="629" xr:uid="{00000000-0005-0000-0000-000077020000}"/>
    <cellStyle name="Percent 3 3" xfId="630" xr:uid="{00000000-0005-0000-0000-000078020000}"/>
    <cellStyle name="Percent 3 4" xfId="631" xr:uid="{00000000-0005-0000-0000-000079020000}"/>
    <cellStyle name="Percent 3 5" xfId="632" xr:uid="{00000000-0005-0000-0000-00007A020000}"/>
    <cellStyle name="Percent 3 6" xfId="633" xr:uid="{00000000-0005-0000-0000-00007B020000}"/>
    <cellStyle name="Percent 4" xfId="634" xr:uid="{00000000-0005-0000-0000-00007C020000}"/>
    <cellStyle name="Percent 4 2" xfId="635" xr:uid="{00000000-0005-0000-0000-00007D020000}"/>
    <cellStyle name="Percent 4 3" xfId="636" xr:uid="{00000000-0005-0000-0000-00007E020000}"/>
    <cellStyle name="Percent 4 4" xfId="637" xr:uid="{00000000-0005-0000-0000-00007F020000}"/>
    <cellStyle name="Percent 5" xfId="638" xr:uid="{00000000-0005-0000-0000-000080020000}"/>
    <cellStyle name="Percent 5 2" xfId="639" xr:uid="{00000000-0005-0000-0000-000081020000}"/>
    <cellStyle name="Percent 6" xfId="640" xr:uid="{00000000-0005-0000-0000-000082020000}"/>
    <cellStyle name="Percent 6 2" xfId="641" xr:uid="{00000000-0005-0000-0000-000083020000}"/>
    <cellStyle name="Percent 7" xfId="642" xr:uid="{00000000-0005-0000-0000-000084020000}"/>
    <cellStyle name="Percent 8" xfId="643" xr:uid="{00000000-0005-0000-0000-000085020000}"/>
    <cellStyle name="Percent 9" xfId="644" xr:uid="{00000000-0005-0000-0000-000086020000}"/>
    <cellStyle name="PSChar" xfId="645" xr:uid="{00000000-0005-0000-0000-000087020000}"/>
    <cellStyle name="PSChar 2" xfId="646" xr:uid="{00000000-0005-0000-0000-000088020000}"/>
    <cellStyle name="PSChar 2 2" xfId="647" xr:uid="{00000000-0005-0000-0000-000089020000}"/>
    <cellStyle name="PSChar 2 3" xfId="648" xr:uid="{00000000-0005-0000-0000-00008A020000}"/>
    <cellStyle name="PSChar 3" xfId="649" xr:uid="{00000000-0005-0000-0000-00008B020000}"/>
    <cellStyle name="PSChar 3 2" xfId="650" xr:uid="{00000000-0005-0000-0000-00008C020000}"/>
    <cellStyle name="PSChar 4" xfId="651" xr:uid="{00000000-0005-0000-0000-00008D020000}"/>
    <cellStyle name="PSChar 5" xfId="652" xr:uid="{00000000-0005-0000-0000-00008E020000}"/>
    <cellStyle name="PSChar 6" xfId="653" xr:uid="{00000000-0005-0000-0000-00008F020000}"/>
    <cellStyle name="PSChar 7" xfId="734" xr:uid="{F752DD7C-3ECD-4DA9-911A-3898F1E9561A}"/>
    <cellStyle name="PSDate" xfId="654" xr:uid="{00000000-0005-0000-0000-000090020000}"/>
    <cellStyle name="PSDate 2" xfId="655" xr:uid="{00000000-0005-0000-0000-000091020000}"/>
    <cellStyle name="PSDate 2 2" xfId="656" xr:uid="{00000000-0005-0000-0000-000092020000}"/>
    <cellStyle name="PSDate 2 3" xfId="657" xr:uid="{00000000-0005-0000-0000-000093020000}"/>
    <cellStyle name="PSDate 3" xfId="658" xr:uid="{00000000-0005-0000-0000-000094020000}"/>
    <cellStyle name="PSDate 3 2" xfId="659" xr:uid="{00000000-0005-0000-0000-000095020000}"/>
    <cellStyle name="PSDate 4" xfId="660" xr:uid="{00000000-0005-0000-0000-000096020000}"/>
    <cellStyle name="PSDate 5" xfId="661" xr:uid="{00000000-0005-0000-0000-000097020000}"/>
    <cellStyle name="PSDate 6" xfId="662" xr:uid="{00000000-0005-0000-0000-000098020000}"/>
    <cellStyle name="PSDate 7" xfId="735" xr:uid="{F584E0FE-08D0-498E-A276-4BA183899E89}"/>
    <cellStyle name="PSDec" xfId="663" xr:uid="{00000000-0005-0000-0000-000099020000}"/>
    <cellStyle name="PSDec 2" xfId="664" xr:uid="{00000000-0005-0000-0000-00009A020000}"/>
    <cellStyle name="PSDec 2 2" xfId="665" xr:uid="{00000000-0005-0000-0000-00009B020000}"/>
    <cellStyle name="PSDec 2 3" xfId="666" xr:uid="{00000000-0005-0000-0000-00009C020000}"/>
    <cellStyle name="PSDec 3" xfId="667" xr:uid="{00000000-0005-0000-0000-00009D020000}"/>
    <cellStyle name="PSDec 3 2" xfId="668" xr:uid="{00000000-0005-0000-0000-00009E020000}"/>
    <cellStyle name="PSDec 4" xfId="669" xr:uid="{00000000-0005-0000-0000-00009F020000}"/>
    <cellStyle name="PSDec 5" xfId="670" xr:uid="{00000000-0005-0000-0000-0000A0020000}"/>
    <cellStyle name="PSDec 6" xfId="671" xr:uid="{00000000-0005-0000-0000-0000A1020000}"/>
    <cellStyle name="PSDec 7" xfId="736" xr:uid="{48AF6596-379E-4C44-A8AB-E955937F4A45}"/>
    <cellStyle name="PSHeading" xfId="672" xr:uid="{00000000-0005-0000-0000-0000A2020000}"/>
    <cellStyle name="PSHeading 10" xfId="673" xr:uid="{00000000-0005-0000-0000-0000A3020000}"/>
    <cellStyle name="PSHeading 11" xfId="674" xr:uid="{00000000-0005-0000-0000-0000A4020000}"/>
    <cellStyle name="PSHeading 12" xfId="737" xr:uid="{6904CE53-A81C-406F-B825-A67A2D52FEEF}"/>
    <cellStyle name="PSHeading 2" xfId="675" xr:uid="{00000000-0005-0000-0000-0000A5020000}"/>
    <cellStyle name="PSHeading 2 2" xfId="676" xr:uid="{00000000-0005-0000-0000-0000A6020000}"/>
    <cellStyle name="PSHeading 2 3" xfId="677" xr:uid="{00000000-0005-0000-0000-0000A7020000}"/>
    <cellStyle name="PSHeading 2_108 Summary" xfId="678" xr:uid="{00000000-0005-0000-0000-0000A8020000}"/>
    <cellStyle name="PSHeading 3" xfId="679" xr:uid="{00000000-0005-0000-0000-0000A9020000}"/>
    <cellStyle name="PSHeading 3 2" xfId="680" xr:uid="{00000000-0005-0000-0000-0000AA020000}"/>
    <cellStyle name="PSHeading 3_108 Summary" xfId="681" xr:uid="{00000000-0005-0000-0000-0000AB020000}"/>
    <cellStyle name="PSHeading 4" xfId="682" xr:uid="{00000000-0005-0000-0000-0000AC020000}"/>
    <cellStyle name="PSHeading 5" xfId="683" xr:uid="{00000000-0005-0000-0000-0000AD020000}"/>
    <cellStyle name="PSHeading 6" xfId="684" xr:uid="{00000000-0005-0000-0000-0000AE020000}"/>
    <cellStyle name="PSHeading 7" xfId="685" xr:uid="{00000000-0005-0000-0000-0000AF020000}"/>
    <cellStyle name="PSHeading 8" xfId="686" xr:uid="{00000000-0005-0000-0000-0000B0020000}"/>
    <cellStyle name="PSHeading 9" xfId="687" xr:uid="{00000000-0005-0000-0000-0000B1020000}"/>
    <cellStyle name="PSHeading_101 check" xfId="688" xr:uid="{00000000-0005-0000-0000-0000B2020000}"/>
    <cellStyle name="PSInt" xfId="689" xr:uid="{00000000-0005-0000-0000-0000B3020000}"/>
    <cellStyle name="PSInt 2" xfId="690" xr:uid="{00000000-0005-0000-0000-0000B4020000}"/>
    <cellStyle name="PSInt 2 2" xfId="691" xr:uid="{00000000-0005-0000-0000-0000B5020000}"/>
    <cellStyle name="PSInt 2 3" xfId="692" xr:uid="{00000000-0005-0000-0000-0000B6020000}"/>
    <cellStyle name="PSInt 3" xfId="693" xr:uid="{00000000-0005-0000-0000-0000B7020000}"/>
    <cellStyle name="PSInt 3 2" xfId="694" xr:uid="{00000000-0005-0000-0000-0000B8020000}"/>
    <cellStyle name="PSInt 4" xfId="695" xr:uid="{00000000-0005-0000-0000-0000B9020000}"/>
    <cellStyle name="PSInt 5" xfId="696" xr:uid="{00000000-0005-0000-0000-0000BA020000}"/>
    <cellStyle name="PSInt 6" xfId="697" xr:uid="{00000000-0005-0000-0000-0000BB020000}"/>
    <cellStyle name="PSInt 7" xfId="738" xr:uid="{4534C0E8-3507-4ECD-868E-53163ABA2E7A}"/>
    <cellStyle name="PSSpacer" xfId="698" xr:uid="{00000000-0005-0000-0000-0000BC020000}"/>
    <cellStyle name="PSSpacer 2" xfId="699" xr:uid="{00000000-0005-0000-0000-0000BD020000}"/>
    <cellStyle name="PSSpacer 2 2" xfId="700" xr:uid="{00000000-0005-0000-0000-0000BE020000}"/>
    <cellStyle name="PSSpacer 2 3" xfId="701" xr:uid="{00000000-0005-0000-0000-0000BF020000}"/>
    <cellStyle name="PSSpacer 3" xfId="702" xr:uid="{00000000-0005-0000-0000-0000C0020000}"/>
    <cellStyle name="PSSpacer 3 2" xfId="703" xr:uid="{00000000-0005-0000-0000-0000C1020000}"/>
    <cellStyle name="PSSpacer 4" xfId="704" xr:uid="{00000000-0005-0000-0000-0000C2020000}"/>
    <cellStyle name="PSSpacer 5" xfId="705" xr:uid="{00000000-0005-0000-0000-0000C3020000}"/>
    <cellStyle name="PSSpacer 6" xfId="706" xr:uid="{00000000-0005-0000-0000-0000C4020000}"/>
    <cellStyle name="PSSpacer 7" xfId="739" xr:uid="{61383680-3398-474C-92D8-15B43411669A}"/>
    <cellStyle name="Title 2" xfId="707" xr:uid="{00000000-0005-0000-0000-0000C5020000}"/>
    <cellStyle name="Title 3" xfId="708" xr:uid="{00000000-0005-0000-0000-0000C6020000}"/>
    <cellStyle name="Title 4" xfId="709" xr:uid="{00000000-0005-0000-0000-0000C7020000}"/>
    <cellStyle name="Title 5" xfId="710" xr:uid="{00000000-0005-0000-0000-0000C8020000}"/>
    <cellStyle name="Total 2" xfId="711" xr:uid="{00000000-0005-0000-0000-0000C9020000}"/>
    <cellStyle name="Total 3" xfId="712" xr:uid="{00000000-0005-0000-0000-0000CA020000}"/>
    <cellStyle name="Total 4" xfId="713" xr:uid="{00000000-0005-0000-0000-0000CB020000}"/>
    <cellStyle name="Total 5" xfId="714" xr:uid="{00000000-0005-0000-0000-0000CC020000}"/>
    <cellStyle name="Total 6" xfId="715" xr:uid="{00000000-0005-0000-0000-0000CD020000}"/>
    <cellStyle name="Total 7" xfId="716" xr:uid="{00000000-0005-0000-0000-0000CE020000}"/>
    <cellStyle name="Total 8" xfId="717" xr:uid="{00000000-0005-0000-0000-0000CF020000}"/>
    <cellStyle name="Warning Text 2" xfId="718" xr:uid="{00000000-0005-0000-0000-0000D0020000}"/>
    <cellStyle name="Warning Text 3" xfId="719" xr:uid="{00000000-0005-0000-0000-0000D1020000}"/>
    <cellStyle name="Warning Text 4" xfId="720" xr:uid="{00000000-0005-0000-0000-0000D2020000}"/>
    <cellStyle name="Warning Text 5" xfId="721" xr:uid="{00000000-0005-0000-0000-0000D3020000}"/>
    <cellStyle name="Warning Text 6" xfId="722" xr:uid="{00000000-0005-0000-0000-0000D4020000}"/>
  </cellStyles>
  <dxfs count="0"/>
  <tableStyles count="0" defaultTableStyle="TableStyleMedium2" defaultPivotStyle="PivotStyleLight16"/>
  <colors>
    <mruColors>
      <color rgb="FFCC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FIN_REPORTS\12C\FERC%20%20(CORP-LEVEL%20CONSOLIDATIONS)\!FERC%20%20-%20Kentucky%20Power%20Corp%20Consol\2018_3\2018_3%20%20P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ernal\Regulatory%20Services\2014%20Compliance%20Plan\Workpapers\Mitchell%20Environmental%20Expenses,%201-1-14%20--%209-30-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g 16"/>
      <sheetName val="Pg 18"/>
      <sheetName val="Modification History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y VY"/>
      <sheetName val="FGD"/>
      <sheetName val="Non-FGD"/>
      <sheetName val="Depreciation"/>
      <sheetName val="February"/>
      <sheetName val="March"/>
      <sheetName val="April"/>
      <sheetName val="May"/>
      <sheetName val="June"/>
      <sheetName val="July"/>
      <sheetName val="August"/>
      <sheetName val="September"/>
      <sheetName val="October"/>
      <sheetName val="ADFIT"/>
      <sheetName val="S2"/>
      <sheetName val="AN"/>
      <sheetName val="NOx"/>
      <sheetName val="Cash Working Capital"/>
      <sheetName val="Property Tax"/>
      <sheetName val="Summary"/>
      <sheetName val="Precipitator O &amp; M"/>
    </sheetNames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Scott E Bishop" id="{1F8B18FC-EE0F-4B84-9707-FD635F7C6D3E}" userId="S::s007506@corp.aepsc.com::b8eba6eb-c01c-4c92-a9b0-cf78b7c2299c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O1" dT="2023-07-27T12:30:05.28" personId="{1F8B18FC-EE0F-4B84-9707-FD635F7C6D3E}" id="{418CC6C2-6B62-4CB3-A6C9-92B2A4C5B22E}">
    <text>Total is through June 2022 and used to correct formulas in columns M &amp; N starting in June 2022 and going foward.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18"/>
  <sheetViews>
    <sheetView showGridLines="0" tabSelected="1" zoomScale="160" zoomScaleNormal="160" workbookViewId="0">
      <selection activeCell="D10" sqref="D10"/>
    </sheetView>
  </sheetViews>
  <sheetFormatPr defaultColWidth="9.140625" defaultRowHeight="15"/>
  <cols>
    <col min="1" max="1" width="4" style="34" customWidth="1"/>
    <col min="2" max="2" width="80.42578125" style="34" bestFit="1" customWidth="1"/>
    <col min="3" max="3" width="21.140625" style="34" customWidth="1"/>
    <col min="4" max="5" width="9.140625" style="34"/>
    <col min="6" max="6" width="13.140625" style="34" bestFit="1" customWidth="1"/>
    <col min="7" max="7" width="15.5703125" style="34" bestFit="1" customWidth="1"/>
    <col min="8" max="9" width="9.140625" style="34"/>
    <col min="10" max="10" width="11.28515625" style="34" bestFit="1" customWidth="1"/>
    <col min="11" max="16384" width="9.140625" style="34"/>
  </cols>
  <sheetData>
    <row r="1" spans="2:10" ht="8.25" customHeight="1" thickBot="1"/>
    <row r="2" spans="2:10" ht="21.75" thickBot="1">
      <c r="B2" s="230" t="s">
        <v>179</v>
      </c>
      <c r="C2" s="231"/>
      <c r="E2" s="36"/>
      <c r="F2" s="36"/>
      <c r="G2" s="36"/>
      <c r="H2" s="36"/>
    </row>
    <row r="3" spans="2:10">
      <c r="B3" s="206"/>
      <c r="C3" s="207"/>
      <c r="E3" s="36"/>
      <c r="F3" s="36"/>
      <c r="G3" s="36"/>
      <c r="H3" s="36"/>
    </row>
    <row r="4" spans="2:10" ht="18.75">
      <c r="B4" s="208" t="s">
        <v>120</v>
      </c>
      <c r="C4" s="209"/>
      <c r="E4" s="36"/>
      <c r="F4" s="36"/>
      <c r="G4" s="36"/>
      <c r="H4" s="36"/>
    </row>
    <row r="5" spans="2:10" ht="18.75">
      <c r="B5" s="210" t="s">
        <v>121</v>
      </c>
      <c r="C5" s="211">
        <f>Components!K14</f>
        <v>285346320.15864193</v>
      </c>
      <c r="E5" s="36"/>
      <c r="F5" s="212"/>
      <c r="G5" s="213"/>
      <c r="H5" s="212"/>
    </row>
    <row r="6" spans="2:10" ht="18.75">
      <c r="B6" s="214" t="s">
        <v>122</v>
      </c>
      <c r="C6" s="215">
        <f>'17 Yr Amortization'!F213</f>
        <v>167893596.84038544</v>
      </c>
      <c r="E6" s="36"/>
      <c r="F6" s="212"/>
      <c r="G6" s="213"/>
      <c r="H6" s="212"/>
    </row>
    <row r="7" spans="2:10" ht="18.75">
      <c r="B7" s="210" t="s">
        <v>123</v>
      </c>
      <c r="C7" s="211">
        <f>C6+C5</f>
        <v>453239916.99902737</v>
      </c>
      <c r="E7" s="36"/>
      <c r="F7" s="212"/>
      <c r="G7" s="213"/>
      <c r="H7" s="212"/>
    </row>
    <row r="8" spans="2:10" ht="18.75">
      <c r="B8" s="216"/>
      <c r="C8" s="217"/>
      <c r="E8" s="36"/>
      <c r="F8" s="212"/>
      <c r="G8" s="213"/>
      <c r="H8" s="212"/>
    </row>
    <row r="9" spans="2:10" ht="18.75">
      <c r="B9" s="210" t="s">
        <v>184</v>
      </c>
      <c r="C9" s="211">
        <f>C7/17</f>
        <v>26661171.58817808</v>
      </c>
      <c r="E9" s="36"/>
      <c r="F9" s="212"/>
      <c r="G9" s="213"/>
      <c r="H9" s="212"/>
      <c r="I9" s="218"/>
      <c r="J9" s="219"/>
    </row>
    <row r="10" spans="2:10" ht="19.5" thickBot="1">
      <c r="B10" s="220" t="s">
        <v>124</v>
      </c>
      <c r="C10" s="221">
        <f>C9/12</f>
        <v>2221764.2990148398</v>
      </c>
      <c r="E10" s="36"/>
      <c r="F10" s="212"/>
      <c r="G10" s="213"/>
      <c r="H10" s="212"/>
      <c r="I10" s="218"/>
      <c r="J10" s="219"/>
    </row>
    <row r="11" spans="2:10">
      <c r="E11" s="36"/>
      <c r="F11" s="212"/>
      <c r="G11" s="36"/>
      <c r="H11" s="36"/>
    </row>
    <row r="12" spans="2:10">
      <c r="E12" s="36"/>
      <c r="F12" s="36"/>
      <c r="G12" s="36"/>
      <c r="H12" s="36"/>
    </row>
    <row r="13" spans="2:10">
      <c r="E13" s="36"/>
      <c r="F13" s="36"/>
      <c r="G13" s="36"/>
      <c r="H13" s="36"/>
    </row>
    <row r="14" spans="2:10">
      <c r="E14" s="36"/>
      <c r="F14" s="36"/>
      <c r="G14" s="36"/>
      <c r="H14" s="36"/>
    </row>
    <row r="15" spans="2:10">
      <c r="E15" s="36"/>
      <c r="F15" s="36"/>
      <c r="G15" s="36"/>
      <c r="H15" s="36"/>
    </row>
    <row r="16" spans="2:10">
      <c r="E16" s="36"/>
      <c r="F16" s="36"/>
      <c r="G16" s="36"/>
      <c r="H16" s="36"/>
    </row>
    <row r="17" spans="5:8">
      <c r="E17" s="36"/>
      <c r="F17" s="36"/>
      <c r="G17" s="36"/>
      <c r="H17" s="36"/>
    </row>
    <row r="18" spans="5:8">
      <c r="E18" s="36"/>
      <c r="F18" s="36"/>
      <c r="G18" s="36"/>
      <c r="H18" s="36"/>
    </row>
  </sheetData>
  <mergeCells count="1">
    <mergeCell ref="B2:C2"/>
  </mergeCells>
  <pageMargins left="0.7" right="0.7" top="0.75" bottom="0.75" header="0.3" footer="0.3"/>
  <pageSetup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W76"/>
  <sheetViews>
    <sheetView zoomScaleNormal="100" workbookViewId="0">
      <selection activeCell="B21" sqref="B21"/>
    </sheetView>
  </sheetViews>
  <sheetFormatPr defaultColWidth="8.85546875" defaultRowHeight="12.75"/>
  <cols>
    <col min="1" max="1" width="33" style="144" customWidth="1"/>
    <col min="2" max="2" width="18.5703125" style="144" customWidth="1"/>
    <col min="3" max="3" width="17" style="144" customWidth="1"/>
    <col min="4" max="4" width="16.28515625" style="144" customWidth="1"/>
    <col min="5" max="5" width="1" style="144" customWidth="1"/>
    <col min="6" max="6" width="17.85546875" style="144" customWidth="1"/>
    <col min="7" max="7" width="15.28515625" style="144" bestFit="1" customWidth="1"/>
    <col min="8" max="8" width="15.7109375" style="144" customWidth="1"/>
    <col min="9" max="9" width="1" style="144" customWidth="1"/>
    <col min="10" max="10" width="74" style="144" bestFit="1" customWidth="1"/>
    <col min="11" max="11" width="17.7109375" style="144" customWidth="1"/>
    <col min="12" max="12" width="1.140625" style="144" customWidth="1"/>
    <col min="13" max="13" width="19.5703125" style="144" bestFit="1" customWidth="1"/>
    <col min="14" max="14" width="11.5703125" style="144" bestFit="1" customWidth="1"/>
    <col min="15" max="18" width="11.7109375" style="144" customWidth="1"/>
    <col min="19" max="19" width="30.140625" style="144" bestFit="1" customWidth="1"/>
    <col min="20" max="20" width="8.85546875" style="144"/>
    <col min="21" max="21" width="14.7109375" style="144" bestFit="1" customWidth="1"/>
    <col min="22" max="22" width="8.85546875" style="144"/>
    <col min="23" max="23" width="14.7109375" style="144" bestFit="1" customWidth="1"/>
    <col min="24" max="16384" width="8.85546875" style="144"/>
  </cols>
  <sheetData>
    <row r="1" spans="1:20">
      <c r="A1" s="144" t="s">
        <v>145</v>
      </c>
    </row>
    <row r="2" spans="1:20">
      <c r="J2" s="233" t="s">
        <v>181</v>
      </c>
      <c r="K2" s="233"/>
    </row>
    <row r="3" spans="1:20">
      <c r="A3" s="173"/>
      <c r="B3" s="232" t="s">
        <v>82</v>
      </c>
      <c r="C3" s="232"/>
      <c r="D3" s="232"/>
      <c r="E3" s="174"/>
      <c r="F3" s="232" t="s">
        <v>81</v>
      </c>
      <c r="G3" s="232"/>
      <c r="H3" s="232"/>
      <c r="I3" s="174"/>
      <c r="J3" s="232" t="s">
        <v>182</v>
      </c>
      <c r="K3" s="232"/>
      <c r="L3" s="174"/>
      <c r="M3" s="173" t="s">
        <v>115</v>
      </c>
      <c r="N3" s="161"/>
      <c r="O3" s="161"/>
      <c r="P3" s="161"/>
    </row>
    <row r="4" spans="1:20" ht="25.5">
      <c r="A4" s="175" t="s">
        <v>61</v>
      </c>
      <c r="B4" s="175" t="s">
        <v>74</v>
      </c>
      <c r="C4" s="175" t="s">
        <v>88</v>
      </c>
      <c r="D4" s="144" t="s">
        <v>4</v>
      </c>
      <c r="F4" s="175" t="s">
        <v>74</v>
      </c>
      <c r="G4" s="175" t="s">
        <v>88</v>
      </c>
      <c r="H4" s="144" t="s">
        <v>4</v>
      </c>
      <c r="J4" s="175"/>
      <c r="K4" s="175"/>
      <c r="M4" s="176"/>
      <c r="N4" s="243" t="s">
        <v>180</v>
      </c>
      <c r="O4" s="163" t="s">
        <v>177</v>
      </c>
      <c r="P4" s="163" t="s">
        <v>149</v>
      </c>
      <c r="Q4" s="163" t="s">
        <v>147</v>
      </c>
      <c r="R4" s="163" t="s">
        <v>143</v>
      </c>
      <c r="S4" s="163"/>
      <c r="T4" s="163"/>
    </row>
    <row r="5" spans="1:20">
      <c r="A5" s="175" t="s">
        <v>75</v>
      </c>
      <c r="B5" s="177">
        <f>251384137.3-66333380.8+1854094.4</f>
        <v>186904850.90000001</v>
      </c>
      <c r="C5" s="177">
        <f t="shared" ref="C5:C9" si="0">SUM(M5:M5)</f>
        <v>44758973.829999991</v>
      </c>
      <c r="D5" s="178">
        <f>SUM(B5:C5)</f>
        <v>231663824.72999999</v>
      </c>
      <c r="E5" s="178"/>
      <c r="F5" s="178">
        <f>B5*'Actual Yr 1-8 Amortization'!C5</f>
        <v>184288182.9874</v>
      </c>
      <c r="G5" s="178">
        <f>32635288.47+((R5+Q5+P5+O5+N5)*'17 Yr Amortization'!C5)</f>
        <v>43920056.865099996</v>
      </c>
      <c r="H5" s="178">
        <f t="shared" ref="H5:H11" si="1">F5+G5</f>
        <v>228208239.85249999</v>
      </c>
      <c r="I5" s="178"/>
      <c r="J5" s="178" t="s">
        <v>111</v>
      </c>
      <c r="K5" s="178">
        <f>F14</f>
        <v>193208573.36056</v>
      </c>
      <c r="L5" s="178"/>
      <c r="M5" s="178">
        <f>SUM(Additions!C8:D92)</f>
        <v>44758973.829999991</v>
      </c>
      <c r="N5" s="178">
        <f>SUM(Additions!C93:D104)</f>
        <v>-202095.28</v>
      </c>
      <c r="O5" s="178">
        <f>SUM(Additions!C81:D92)</f>
        <v>763525.58</v>
      </c>
      <c r="P5" s="178">
        <f>SUM(Additions!C69:D80)</f>
        <v>2590870.41</v>
      </c>
      <c r="Q5" s="178">
        <f>SUM(Additions!C57:D68)</f>
        <v>1974837.17</v>
      </c>
      <c r="R5" s="178">
        <f>SUM(Additions!C45:D56)</f>
        <v>6329479.7799999993</v>
      </c>
      <c r="S5" s="178"/>
      <c r="T5" s="178"/>
    </row>
    <row r="6" spans="1:20">
      <c r="A6" s="179" t="s">
        <v>90</v>
      </c>
      <c r="B6" s="177">
        <v>2671359.25</v>
      </c>
      <c r="C6" s="177">
        <f>SUM(M6:M6)</f>
        <v>-2671359.25</v>
      </c>
      <c r="D6" s="178">
        <f>SUM(B6:C6)</f>
        <v>0</v>
      </c>
      <c r="E6" s="178"/>
      <c r="F6" s="178">
        <f>B6*'Actual Yr 1-8 Amortization'!C5</f>
        <v>2633960.2204999998</v>
      </c>
      <c r="G6" s="178">
        <f>-2633960.22+((R6+Q6+P6+O6+N6)*'17 Yr Amortization'!C5)</f>
        <v>-2633960.2200000002</v>
      </c>
      <c r="H6" s="178">
        <f t="shared" si="1"/>
        <v>4.9999961629509926E-4</v>
      </c>
      <c r="I6" s="178"/>
      <c r="J6" s="178" t="s">
        <v>112</v>
      </c>
      <c r="K6" s="180">
        <f>G11</f>
        <v>147264661.73774996</v>
      </c>
      <c r="L6" s="178"/>
      <c r="M6" s="178">
        <f>SUM(Additions!H8:H92)</f>
        <v>-2671359.25</v>
      </c>
      <c r="N6" s="178">
        <f>SUM(Additions!H93:H104)</f>
        <v>0</v>
      </c>
      <c r="O6" s="178">
        <f>SUM(Additions!H81:H92)</f>
        <v>0</v>
      </c>
      <c r="P6" s="178">
        <f>SUM(Additions!H69:H80)</f>
        <v>0</v>
      </c>
      <c r="Q6" s="178">
        <f>SUM(Additions!H57:H68)</f>
        <v>0</v>
      </c>
      <c r="R6" s="149">
        <f>SUM(Additions!H45:H56)</f>
        <v>0</v>
      </c>
      <c r="S6" s="178"/>
    </row>
    <row r="7" spans="1:20">
      <c r="A7" s="144" t="s">
        <v>91</v>
      </c>
      <c r="B7" s="178">
        <v>4101526.44</v>
      </c>
      <c r="C7" s="177">
        <f t="shared" si="0"/>
        <v>-1085741.0200000003</v>
      </c>
      <c r="D7" s="178">
        <f t="shared" ref="D7:D10" si="2">SUM(B7:C7)</f>
        <v>3015785.42</v>
      </c>
      <c r="E7" s="178"/>
      <c r="F7" s="178">
        <f>B7*'Actual Yr 1-8 Amortization'!C5</f>
        <v>4044105.06984</v>
      </c>
      <c r="G7" s="178">
        <f>-998819.58+((R7+Q7+P7+O7+N7)*'17 Yr Amortization'!C5)</f>
        <v>-1070144.6612499999</v>
      </c>
      <c r="H7" s="178">
        <f t="shared" si="1"/>
        <v>2973960.4085900001</v>
      </c>
      <c r="I7" s="178"/>
      <c r="J7" s="178" t="s">
        <v>67</v>
      </c>
      <c r="K7" s="178">
        <f>K6+K5</f>
        <v>340473235.09830999</v>
      </c>
      <c r="L7" s="178"/>
      <c r="M7" s="178">
        <f>SUM(Additions!E8:E92)</f>
        <v>-1085741.0200000003</v>
      </c>
      <c r="N7" s="178">
        <f>SUM(Additions!E93:E104)</f>
        <v>0</v>
      </c>
      <c r="O7" s="178">
        <f>SUM(Additions!E81:E92)</f>
        <v>0</v>
      </c>
      <c r="P7" s="178">
        <f>SUM(Additions!E69:E80)</f>
        <v>0</v>
      </c>
      <c r="Q7" s="178">
        <f>SUM(Additions!E57:E68)</f>
        <v>0</v>
      </c>
      <c r="R7" s="149">
        <f>SUM(Additions!E45:E56)</f>
        <v>-72411.25</v>
      </c>
      <c r="S7" s="178"/>
    </row>
    <row r="8" spans="1:20">
      <c r="A8" s="179" t="s">
        <v>92</v>
      </c>
      <c r="B8" s="177">
        <v>514215</v>
      </c>
      <c r="C8" s="177">
        <f t="shared" si="0"/>
        <v>-514215</v>
      </c>
      <c r="D8" s="178">
        <f>SUM(B8:C8)</f>
        <v>0</v>
      </c>
      <c r="E8" s="178"/>
      <c r="F8" s="178">
        <f>B8*'Actual Yr 1-8 Amortization'!C5</f>
        <v>507015.99</v>
      </c>
      <c r="G8" s="178">
        <f>-507015.99+((R8+Q8+P8+O8+N8)*'17 Yr Amortization'!C5)</f>
        <v>-507015.99</v>
      </c>
      <c r="H8" s="178">
        <f t="shared" si="1"/>
        <v>0</v>
      </c>
      <c r="I8" s="178"/>
      <c r="J8" s="178"/>
      <c r="K8" s="178"/>
      <c r="L8" s="178"/>
      <c r="M8" s="178">
        <f>SUM(Additions!I8:I92)</f>
        <v>-514215</v>
      </c>
      <c r="N8" s="178">
        <f>SUM(Additions!I93:I104)</f>
        <v>0</v>
      </c>
      <c r="O8" s="178">
        <f>SUM(Additions!I81:I92)</f>
        <v>0</v>
      </c>
      <c r="P8" s="178">
        <f>SUM(Additions!I69:I80)</f>
        <v>0</v>
      </c>
      <c r="Q8" s="178">
        <f>SUM(Additions!I57:I68)</f>
        <v>0</v>
      </c>
      <c r="R8" s="149">
        <f>SUM(Additions!I45:I56)</f>
        <v>0</v>
      </c>
      <c r="S8" s="178"/>
    </row>
    <row r="9" spans="1:20">
      <c r="A9" s="144" t="s">
        <v>89</v>
      </c>
      <c r="B9" s="178">
        <v>0</v>
      </c>
      <c r="C9" s="177">
        <f t="shared" si="0"/>
        <v>928625.29999999958</v>
      </c>
      <c r="D9" s="178">
        <f t="shared" si="2"/>
        <v>928625.29999999958</v>
      </c>
      <c r="E9" s="178"/>
      <c r="F9" s="178">
        <f>B9*'Actual Yr 1-8 Amortization'!C5</f>
        <v>0</v>
      </c>
      <c r="G9" s="178">
        <f>849419.46+((R9+Q9+P9+O9+N9)*'17 Yr Amortization'!C5)</f>
        <v>919827.16149999993</v>
      </c>
      <c r="H9" s="178">
        <f t="shared" si="1"/>
        <v>919827.16149999993</v>
      </c>
      <c r="I9" s="178"/>
      <c r="J9" s="178" t="s">
        <v>113</v>
      </c>
      <c r="K9" s="178">
        <f>'Actual Yr 1-8 Amortization'!F105</f>
        <v>121231817.66309592</v>
      </c>
      <c r="L9" s="178"/>
      <c r="M9" s="178">
        <f>SUM(Additions!G8:G92)</f>
        <v>928625.29999999958</v>
      </c>
      <c r="N9" s="178">
        <f>SUM(Additions!G93:G104)</f>
        <v>4339.33</v>
      </c>
      <c r="O9" s="178">
        <f>SUM(Additions!G81:G92)</f>
        <v>1737.66</v>
      </c>
      <c r="P9" s="178">
        <f>SUM(Additions!G69:G80)</f>
        <v>1588.01</v>
      </c>
      <c r="Q9" s="178">
        <f>SUM(Additions!G57:G68)</f>
        <v>18767.280000000006</v>
      </c>
      <c r="R9" s="149">
        <f>SUM(Additions!G45:G56)</f>
        <v>45047.62</v>
      </c>
      <c r="S9" s="178"/>
    </row>
    <row r="10" spans="1:20" s="161" customFormat="1">
      <c r="A10" s="161" t="s">
        <v>76</v>
      </c>
      <c r="B10" s="180">
        <f>3333431.55-1573483.18</f>
        <v>1759948.3699999999</v>
      </c>
      <c r="C10" s="222">
        <f>SUM(M10:M10)</f>
        <v>108092411.20999999</v>
      </c>
      <c r="D10" s="180">
        <f t="shared" si="2"/>
        <v>109852359.58</v>
      </c>
      <c r="E10" s="180"/>
      <c r="F10" s="180">
        <f>B10*'Actual Yr 1-8 Amortization'!C5</f>
        <v>1735309.0928199999</v>
      </c>
      <c r="G10" s="180">
        <f>49555339.83+((R10+Q10+P10+O10+N10)*'17 Yr Amortization'!C5)</f>
        <v>106635898.58239998</v>
      </c>
      <c r="H10" s="180">
        <f t="shared" si="1"/>
        <v>108371207.67521998</v>
      </c>
      <c r="I10" s="180"/>
      <c r="J10" s="180" t="s">
        <v>114</v>
      </c>
      <c r="K10" s="180">
        <f>'Actual Yr 1-8 Amortization'!G105</f>
        <v>176358732.60276401</v>
      </c>
      <c r="L10" s="180"/>
      <c r="M10" s="180">
        <f>SUM(Additions!F8:F92)</f>
        <v>108092411.20999999</v>
      </c>
      <c r="N10" s="180">
        <f>SUM(Additions!F93:F104)</f>
        <v>130959.43999999999</v>
      </c>
      <c r="O10" s="180">
        <f>SUM(Additions!F81:F92)</f>
        <v>618422.15999999805</v>
      </c>
      <c r="P10" s="180">
        <f>SUM(Additions!F69:F80)</f>
        <v>14690924.789999999</v>
      </c>
      <c r="Q10" s="180">
        <f>SUM(Additions!F57:F68)</f>
        <v>17966898.859999985</v>
      </c>
      <c r="R10" s="223">
        <f>SUM(Additions!F45:F56)</f>
        <v>24542600.59</v>
      </c>
      <c r="S10" s="178"/>
    </row>
    <row r="11" spans="1:20">
      <c r="A11" s="181" t="s">
        <v>67</v>
      </c>
      <c r="B11" s="178">
        <f>SUM(B5:B10)</f>
        <v>195951899.96000001</v>
      </c>
      <c r="C11" s="178">
        <f>SUM(C5:C10)</f>
        <v>149508695.06999999</v>
      </c>
      <c r="D11" s="178">
        <f>B11+C11</f>
        <v>345460595.02999997</v>
      </c>
      <c r="E11" s="178"/>
      <c r="F11" s="178">
        <f>SUM(F5:F10)</f>
        <v>193208573.36056</v>
      </c>
      <c r="G11" s="178">
        <f>SUM(G5:G10)</f>
        <v>147264661.73774996</v>
      </c>
      <c r="H11" s="178">
        <f t="shared" si="1"/>
        <v>340473235.09830999</v>
      </c>
      <c r="I11" s="178"/>
      <c r="J11" s="178" t="s">
        <v>79</v>
      </c>
      <c r="K11" s="178">
        <f>K9-K10</f>
        <v>-55126914.939668089</v>
      </c>
      <c r="L11" s="178"/>
      <c r="M11" s="178">
        <f>SUM(M5:M10)</f>
        <v>149508695.06999999</v>
      </c>
      <c r="N11" s="178">
        <f>SUM(N5:N10)</f>
        <v>-66796.510000000024</v>
      </c>
      <c r="O11" s="178">
        <f>SUM(O5:O10)</f>
        <v>1383685.399999998</v>
      </c>
      <c r="P11" s="178">
        <f>SUM(P5:P10)</f>
        <v>17283383.210000001</v>
      </c>
      <c r="Q11" s="178">
        <f>SUM(Q5:Q10)</f>
        <v>19960503.309999984</v>
      </c>
      <c r="R11" s="182">
        <f>SUM(R5:R10)</f>
        <v>30844716.739999998</v>
      </c>
      <c r="S11" s="182"/>
      <c r="T11" s="182"/>
    </row>
    <row r="12" spans="1:20">
      <c r="A12" s="161"/>
      <c r="B12" s="178"/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</row>
    <row r="13" spans="1:20">
      <c r="A13" s="161"/>
      <c r="B13" s="180"/>
      <c r="C13" s="180"/>
      <c r="D13" s="180"/>
      <c r="E13" s="180"/>
      <c r="F13" s="183"/>
      <c r="G13" s="180"/>
      <c r="H13" s="180"/>
      <c r="I13" s="180"/>
      <c r="J13" s="173"/>
      <c r="K13" s="173"/>
      <c r="L13" s="180"/>
      <c r="M13" s="180"/>
      <c r="N13" s="184"/>
      <c r="O13" s="184"/>
      <c r="P13" s="184"/>
    </row>
    <row r="14" spans="1:20">
      <c r="A14" s="144" t="s">
        <v>93</v>
      </c>
      <c r="B14" s="182">
        <f>B11</f>
        <v>195951899.96000001</v>
      </c>
      <c r="C14" s="182">
        <f>C11</f>
        <v>149508695.06999999</v>
      </c>
      <c r="D14" s="182">
        <f>D11</f>
        <v>345460595.02999997</v>
      </c>
      <c r="F14" s="182">
        <f>F11</f>
        <v>193208573.36056</v>
      </c>
      <c r="G14" s="182">
        <f>G11</f>
        <v>147264661.73774996</v>
      </c>
      <c r="H14" s="182">
        <f>H11</f>
        <v>340473235.09830999</v>
      </c>
      <c r="J14" s="185" t="s">
        <v>133</v>
      </c>
      <c r="K14" s="185">
        <f>K7+K11</f>
        <v>285346320.15864193</v>
      </c>
      <c r="M14" s="182"/>
      <c r="N14" s="182"/>
      <c r="O14" s="182"/>
      <c r="P14" s="182"/>
      <c r="Q14" s="182"/>
    </row>
    <row r="15" spans="1:20" s="161" customFormat="1">
      <c r="B15" s="184"/>
      <c r="C15" s="184"/>
      <c r="D15" s="184"/>
      <c r="E15" s="184"/>
      <c r="F15" s="186"/>
      <c r="G15" s="186"/>
      <c r="H15" s="184"/>
      <c r="I15" s="184"/>
      <c r="J15" s="184"/>
      <c r="K15" s="184"/>
      <c r="L15" s="184"/>
      <c r="M15" s="184"/>
      <c r="N15" s="184"/>
      <c r="O15" s="184"/>
      <c r="P15" s="184"/>
      <c r="Q15" s="182"/>
    </row>
    <row r="16" spans="1:20" ht="28.15" customHeight="1">
      <c r="A16" s="234" t="s">
        <v>130</v>
      </c>
      <c r="B16" s="234"/>
      <c r="C16" s="234"/>
      <c r="D16" s="234"/>
      <c r="E16" s="162"/>
      <c r="F16" s="187"/>
      <c r="G16" s="187"/>
      <c r="H16" s="187"/>
      <c r="I16" s="162"/>
      <c r="J16" s="188" t="s">
        <v>183</v>
      </c>
      <c r="K16" s="188">
        <f>-0.21*K14</f>
        <v>-59922727.233314805</v>
      </c>
      <c r="L16" s="178"/>
      <c r="M16" s="178"/>
      <c r="N16" s="178"/>
      <c r="O16" s="178"/>
      <c r="P16" s="178"/>
      <c r="Q16" s="182"/>
    </row>
    <row r="17" spans="1:17">
      <c r="A17" s="189" t="s">
        <v>140</v>
      </c>
      <c r="B17" s="162"/>
      <c r="F17" s="168"/>
      <c r="G17" s="161"/>
      <c r="H17" s="167"/>
      <c r="I17" s="162"/>
      <c r="J17" s="190"/>
      <c r="K17" s="190"/>
      <c r="L17" s="178"/>
      <c r="M17" s="178"/>
      <c r="N17" s="178"/>
      <c r="O17" s="178"/>
      <c r="P17" s="178"/>
      <c r="Q17" s="182"/>
    </row>
    <row r="18" spans="1:17">
      <c r="B18" s="178"/>
      <c r="C18" s="178"/>
      <c r="F18" s="161"/>
      <c r="G18" s="161"/>
      <c r="H18" s="161"/>
      <c r="J18" s="190"/>
      <c r="K18" s="190"/>
      <c r="L18" s="178"/>
      <c r="M18" s="178"/>
      <c r="N18" s="178"/>
      <c r="O18" s="178"/>
      <c r="P18" s="178"/>
      <c r="Q18" s="182"/>
    </row>
    <row r="19" spans="1:17" ht="18" customHeight="1">
      <c r="B19" s="178"/>
      <c r="C19" s="178"/>
      <c r="D19" s="182"/>
      <c r="J19" s="162" t="s">
        <v>132</v>
      </c>
      <c r="K19" s="178">
        <f>'Actual Yr 1-8 Amortization'!I38</f>
        <v>247925802.068647</v>
      </c>
      <c r="L19" s="178"/>
      <c r="M19" s="178"/>
      <c r="N19" s="178"/>
      <c r="O19" s="178"/>
      <c r="P19" s="178"/>
      <c r="Q19" s="182"/>
    </row>
    <row r="20" spans="1:17">
      <c r="D20" s="182"/>
      <c r="J20" s="162" t="s">
        <v>141</v>
      </c>
      <c r="K20" s="178">
        <f>-K19*0.35</f>
        <v>-86774030.724026442</v>
      </c>
      <c r="L20" s="178"/>
      <c r="M20" s="178"/>
      <c r="N20" s="178"/>
      <c r="O20" s="178"/>
      <c r="P20" s="178"/>
      <c r="Q20" s="182"/>
    </row>
    <row r="21" spans="1:17">
      <c r="B21" s="191"/>
      <c r="D21" s="182"/>
      <c r="J21" s="192" t="s">
        <v>142</v>
      </c>
      <c r="K21" s="224">
        <f>-K19*0.21</f>
        <v>-52064418.434415869</v>
      </c>
      <c r="L21" s="178"/>
      <c r="M21" s="178"/>
      <c r="N21" s="178"/>
      <c r="O21" s="178"/>
      <c r="P21" s="178"/>
      <c r="Q21" s="182"/>
    </row>
    <row r="22" spans="1:17">
      <c r="B22" s="191"/>
      <c r="J22" s="193" t="s">
        <v>131</v>
      </c>
      <c r="K22" s="194">
        <f>K20-K21</f>
        <v>-34709612.289610572</v>
      </c>
      <c r="L22" s="178"/>
      <c r="M22" s="178"/>
      <c r="N22" s="178"/>
      <c r="O22" s="178"/>
      <c r="P22" s="178"/>
      <c r="Q22" s="182"/>
    </row>
    <row r="23" spans="1:17">
      <c r="B23" s="191"/>
      <c r="J23" s="193" t="s">
        <v>178</v>
      </c>
      <c r="K23" s="225">
        <f>SUM('Actual Yr 1-8 Amortization'!L45:L104)</f>
        <v>29563912.80160176</v>
      </c>
      <c r="L23" s="178"/>
      <c r="M23" s="178"/>
      <c r="N23" s="178"/>
      <c r="O23" s="178"/>
      <c r="P23" s="178"/>
      <c r="Q23" s="182"/>
    </row>
    <row r="24" spans="1:17">
      <c r="B24" s="191"/>
      <c r="C24" s="191"/>
      <c r="J24" s="193" t="s">
        <v>144</v>
      </c>
      <c r="K24" s="194">
        <f>K22+K23</f>
        <v>-5145699.4880088121</v>
      </c>
      <c r="L24" s="178"/>
      <c r="M24" s="195"/>
      <c r="N24" s="195"/>
      <c r="O24" s="195"/>
      <c r="P24" s="178"/>
      <c r="Q24" s="182"/>
    </row>
    <row r="25" spans="1:17">
      <c r="B25" s="191"/>
      <c r="C25" s="191"/>
      <c r="J25" s="193"/>
      <c r="K25" s="196"/>
      <c r="L25" s="178"/>
      <c r="M25" s="178"/>
      <c r="N25" s="178"/>
      <c r="O25" s="178"/>
      <c r="P25" s="178"/>
      <c r="Q25" s="182"/>
    </row>
    <row r="26" spans="1:17">
      <c r="C26" s="191"/>
      <c r="J26" s="193"/>
      <c r="K26" s="196"/>
      <c r="L26" s="178"/>
      <c r="M26" s="178"/>
      <c r="N26" s="178"/>
      <c r="O26" s="178"/>
      <c r="P26" s="178"/>
      <c r="Q26" s="182"/>
    </row>
    <row r="27" spans="1:17" ht="13.5" thickBot="1">
      <c r="B27" s="191"/>
      <c r="C27" s="191"/>
      <c r="J27" s="197" t="s">
        <v>134</v>
      </c>
      <c r="K27" s="197">
        <f>K14+K16+K24</f>
        <v>220277893.43731833</v>
      </c>
      <c r="L27" s="178"/>
      <c r="M27" s="178"/>
      <c r="N27" s="178"/>
      <c r="O27" s="178"/>
      <c r="P27" s="178"/>
      <c r="Q27" s="182"/>
    </row>
    <row r="28" spans="1:17" ht="13.5" thickTop="1">
      <c r="B28" s="191"/>
      <c r="C28" s="191"/>
      <c r="J28" s="198"/>
      <c r="K28" s="194"/>
      <c r="L28" s="178"/>
      <c r="M28" s="178"/>
      <c r="N28" s="178"/>
      <c r="O28" s="178"/>
      <c r="P28" s="178"/>
    </row>
    <row r="29" spans="1:17">
      <c r="B29" s="191"/>
      <c r="C29" s="191"/>
      <c r="J29" s="190"/>
      <c r="K29" s="190"/>
      <c r="L29" s="178"/>
      <c r="M29" s="178"/>
      <c r="N29" s="178"/>
      <c r="O29" s="178"/>
      <c r="P29" s="178"/>
    </row>
    <row r="30" spans="1:17">
      <c r="B30" s="191"/>
      <c r="C30" s="191"/>
      <c r="J30" s="188"/>
      <c r="K30" s="188"/>
      <c r="L30" s="184"/>
      <c r="M30" s="184"/>
      <c r="N30" s="184"/>
      <c r="O30" s="184"/>
      <c r="P30" s="184"/>
      <c r="Q30" s="161"/>
    </row>
    <row r="31" spans="1:17">
      <c r="B31" s="191"/>
      <c r="C31" s="191"/>
      <c r="J31" s="190"/>
      <c r="K31" s="190"/>
      <c r="L31" s="184"/>
      <c r="M31" s="184"/>
      <c r="N31" s="184"/>
      <c r="O31" s="184"/>
      <c r="P31" s="184"/>
      <c r="Q31" s="161"/>
    </row>
    <row r="32" spans="1:17">
      <c r="J32" s="161"/>
      <c r="K32" s="190"/>
      <c r="L32" s="184"/>
      <c r="M32" s="184"/>
      <c r="N32" s="184"/>
      <c r="O32" s="184"/>
      <c r="P32" s="184"/>
      <c r="Q32" s="161"/>
    </row>
    <row r="33" spans="2:23">
      <c r="B33" s="191"/>
      <c r="J33" s="190"/>
      <c r="K33" s="190"/>
      <c r="L33" s="184"/>
      <c r="M33" s="184"/>
      <c r="N33" s="184"/>
      <c r="O33" s="184"/>
      <c r="P33" s="184"/>
      <c r="Q33" s="161"/>
    </row>
    <row r="34" spans="2:23">
      <c r="B34" s="191"/>
      <c r="C34" s="178"/>
      <c r="J34" s="190"/>
      <c r="K34" s="190"/>
      <c r="L34" s="184"/>
      <c r="M34" s="184"/>
      <c r="N34" s="184"/>
      <c r="O34" s="184"/>
      <c r="P34" s="184"/>
      <c r="Q34" s="161"/>
    </row>
    <row r="35" spans="2:23">
      <c r="B35" s="191"/>
      <c r="J35" s="199"/>
      <c r="K35" s="190"/>
      <c r="L35" s="184"/>
      <c r="M35" s="184"/>
      <c r="N35" s="184"/>
      <c r="O35" s="184"/>
      <c r="P35" s="184"/>
      <c r="Q35" s="161"/>
    </row>
    <row r="36" spans="2:23">
      <c r="B36" s="191"/>
      <c r="J36" s="190"/>
      <c r="K36" s="190"/>
      <c r="L36" s="184"/>
      <c r="M36" s="184"/>
      <c r="N36" s="184"/>
      <c r="O36" s="184"/>
      <c r="P36" s="184"/>
      <c r="Q36" s="170"/>
    </row>
    <row r="37" spans="2:23">
      <c r="B37" s="200"/>
      <c r="C37" s="178"/>
      <c r="J37" s="190"/>
      <c r="K37" s="190"/>
      <c r="L37" s="167"/>
      <c r="M37" s="167"/>
      <c r="N37" s="167"/>
      <c r="O37" s="167"/>
      <c r="P37" s="167"/>
      <c r="Q37" s="170"/>
      <c r="T37" s="161"/>
      <c r="U37" s="161"/>
    </row>
    <row r="38" spans="2:23">
      <c r="B38" s="200"/>
      <c r="C38" s="200"/>
      <c r="J38" s="190"/>
      <c r="K38" s="190"/>
      <c r="L38" s="167"/>
      <c r="M38" s="167"/>
      <c r="N38" s="167"/>
      <c r="O38" s="167"/>
      <c r="P38" s="167"/>
      <c r="Q38" s="168"/>
      <c r="T38" s="161"/>
      <c r="U38" s="161"/>
    </row>
    <row r="39" spans="2:23" ht="12.6" customHeight="1">
      <c r="J39" s="190"/>
      <c r="K39" s="190"/>
      <c r="L39" s="167"/>
      <c r="M39" s="167"/>
      <c r="N39" s="167"/>
      <c r="O39" s="167"/>
      <c r="P39" s="167"/>
      <c r="Q39" s="161"/>
      <c r="T39" s="161"/>
      <c r="U39" s="161"/>
    </row>
    <row r="40" spans="2:23">
      <c r="C40" s="200"/>
      <c r="J40" s="190"/>
      <c r="K40" s="190"/>
      <c r="L40" s="161"/>
      <c r="M40" s="170"/>
      <c r="N40" s="170"/>
      <c r="O40" s="170"/>
      <c r="P40" s="170"/>
      <c r="Q40" s="168"/>
      <c r="T40" s="161"/>
      <c r="U40" s="161"/>
    </row>
    <row r="41" spans="2:23">
      <c r="J41" s="190"/>
      <c r="K41" s="190"/>
      <c r="L41" s="161"/>
      <c r="M41" s="190"/>
      <c r="N41" s="190"/>
      <c r="O41" s="190"/>
      <c r="P41" s="190"/>
      <c r="Q41" s="168"/>
      <c r="T41" s="161"/>
      <c r="U41" s="170"/>
      <c r="W41" s="149"/>
    </row>
    <row r="42" spans="2:23">
      <c r="J42" s="190"/>
      <c r="K42" s="190"/>
      <c r="L42" s="161"/>
      <c r="M42" s="190"/>
      <c r="N42" s="190"/>
      <c r="O42" s="190"/>
      <c r="P42" s="190"/>
      <c r="Q42" s="168"/>
      <c r="T42" s="161"/>
      <c r="U42" s="170"/>
      <c r="W42" s="149"/>
    </row>
    <row r="43" spans="2:23">
      <c r="J43" s="190"/>
      <c r="K43" s="190"/>
      <c r="M43" s="190"/>
      <c r="N43" s="190"/>
      <c r="O43" s="190"/>
      <c r="P43" s="190"/>
      <c r="T43" s="161"/>
      <c r="U43" s="170"/>
      <c r="W43" s="149"/>
    </row>
    <row r="44" spans="2:23">
      <c r="J44" s="190"/>
      <c r="K44" s="190"/>
      <c r="M44" s="190"/>
      <c r="N44" s="190"/>
      <c r="O44" s="190"/>
      <c r="P44" s="190"/>
      <c r="Q44" s="149"/>
      <c r="T44" s="161"/>
      <c r="U44" s="170"/>
      <c r="W44" s="149"/>
    </row>
    <row r="45" spans="2:23">
      <c r="J45" s="190"/>
      <c r="K45" s="190"/>
      <c r="M45" s="190"/>
      <c r="N45" s="190"/>
      <c r="O45" s="190"/>
      <c r="P45" s="190"/>
      <c r="Q45" s="178"/>
      <c r="S45" s="161"/>
      <c r="T45" s="161"/>
      <c r="U45" s="170"/>
      <c r="W45" s="149"/>
    </row>
    <row r="46" spans="2:23">
      <c r="J46" s="190"/>
      <c r="K46" s="190"/>
      <c r="M46" s="190"/>
      <c r="N46" s="190"/>
      <c r="O46" s="190"/>
      <c r="P46" s="190"/>
      <c r="Q46" s="184"/>
      <c r="R46" s="161"/>
      <c r="S46" s="161"/>
      <c r="T46" s="161"/>
      <c r="U46" s="170"/>
      <c r="W46" s="149"/>
    </row>
    <row r="47" spans="2:23">
      <c r="J47" s="185"/>
      <c r="K47" s="185"/>
      <c r="M47" s="190"/>
      <c r="N47" s="190"/>
      <c r="O47" s="190"/>
      <c r="P47" s="190"/>
      <c r="Q47" s="161"/>
      <c r="R47" s="161"/>
      <c r="S47" s="161"/>
      <c r="T47" s="161"/>
      <c r="U47" s="170"/>
      <c r="W47" s="170"/>
    </row>
    <row r="48" spans="2:23">
      <c r="J48" s="178"/>
      <c r="K48" s="178"/>
      <c r="M48" s="190"/>
      <c r="N48" s="190"/>
      <c r="O48" s="190"/>
      <c r="P48" s="190"/>
      <c r="Q48" s="161"/>
      <c r="R48" s="161"/>
      <c r="S48" s="161"/>
      <c r="T48" s="161"/>
      <c r="U48" s="170"/>
      <c r="W48" s="170"/>
    </row>
    <row r="49" spans="10:21">
      <c r="J49" s="178"/>
      <c r="K49" s="178"/>
      <c r="M49" s="161"/>
      <c r="N49" s="161"/>
      <c r="O49" s="161"/>
      <c r="P49" s="161"/>
      <c r="Q49" s="161"/>
      <c r="R49" s="161"/>
      <c r="S49" s="161"/>
      <c r="T49" s="161"/>
      <c r="U49" s="161"/>
    </row>
    <row r="50" spans="10:21">
      <c r="J50" s="178"/>
      <c r="K50" s="178"/>
      <c r="M50" s="184"/>
      <c r="N50" s="184"/>
      <c r="O50" s="184"/>
      <c r="P50" s="184"/>
      <c r="Q50" s="199"/>
      <c r="R50" s="190"/>
      <c r="S50" s="190"/>
      <c r="T50" s="161"/>
      <c r="U50" s="161"/>
    </row>
    <row r="51" spans="10:21">
      <c r="J51" s="162"/>
      <c r="M51" s="168"/>
      <c r="N51" s="168"/>
      <c r="O51" s="168"/>
      <c r="P51" s="168"/>
      <c r="Q51" s="199"/>
      <c r="R51" s="190"/>
      <c r="S51" s="184"/>
      <c r="T51" s="161"/>
      <c r="U51" s="161"/>
    </row>
    <row r="52" spans="10:21">
      <c r="M52" s="170"/>
      <c r="N52" s="170"/>
      <c r="O52" s="170"/>
      <c r="P52" s="170"/>
      <c r="Q52" s="199"/>
      <c r="R52" s="190"/>
      <c r="S52" s="161"/>
      <c r="T52" s="161"/>
      <c r="U52" s="161"/>
    </row>
    <row r="53" spans="10:21">
      <c r="M53" s="190"/>
      <c r="N53" s="190"/>
      <c r="O53" s="190"/>
      <c r="P53" s="190"/>
      <c r="Q53" s="199"/>
      <c r="R53" s="190"/>
      <c r="S53" s="161"/>
      <c r="T53" s="161"/>
      <c r="U53" s="161"/>
    </row>
    <row r="54" spans="10:21">
      <c r="K54" s="149"/>
      <c r="M54" s="190"/>
      <c r="N54" s="190"/>
      <c r="O54" s="190"/>
      <c r="P54" s="190"/>
      <c r="Q54" s="199"/>
      <c r="R54" s="190"/>
      <c r="S54" s="170"/>
      <c r="T54" s="161"/>
      <c r="U54" s="161"/>
    </row>
    <row r="55" spans="10:21">
      <c r="M55" s="190"/>
      <c r="N55" s="190"/>
      <c r="O55" s="190"/>
      <c r="P55" s="190"/>
      <c r="Q55" s="199"/>
      <c r="R55" s="190"/>
      <c r="S55" s="161"/>
      <c r="T55" s="161"/>
      <c r="U55" s="161"/>
    </row>
    <row r="56" spans="10:21">
      <c r="M56" s="170"/>
      <c r="N56" s="170"/>
      <c r="O56" s="170"/>
      <c r="P56" s="170"/>
      <c r="Q56" s="199"/>
      <c r="R56" s="190"/>
      <c r="S56" s="161"/>
      <c r="T56" s="161"/>
      <c r="U56" s="161"/>
    </row>
    <row r="57" spans="10:21">
      <c r="M57" s="190"/>
      <c r="N57" s="190"/>
      <c r="O57" s="190"/>
      <c r="P57" s="190"/>
      <c r="Q57" s="190"/>
      <c r="R57" s="161"/>
      <c r="S57" s="161"/>
      <c r="T57" s="161"/>
      <c r="U57" s="161"/>
    </row>
    <row r="58" spans="10:21">
      <c r="M58" s="190"/>
      <c r="N58" s="190"/>
      <c r="O58" s="190"/>
      <c r="P58" s="190"/>
      <c r="Q58" s="184"/>
      <c r="R58" s="161"/>
      <c r="S58" s="161"/>
      <c r="T58" s="161"/>
      <c r="U58" s="161"/>
    </row>
    <row r="59" spans="10:21">
      <c r="M59" s="190"/>
      <c r="N59" s="190"/>
      <c r="O59" s="190"/>
      <c r="P59" s="190"/>
      <c r="Q59" s="190"/>
      <c r="R59" s="161"/>
      <c r="S59" s="161"/>
      <c r="T59" s="161"/>
      <c r="U59" s="161"/>
    </row>
    <row r="60" spans="10:21">
      <c r="Q60" s="161"/>
      <c r="R60" s="161"/>
      <c r="S60" s="161"/>
    </row>
    <row r="61" spans="10:21">
      <c r="Q61" s="170"/>
      <c r="R61" s="161"/>
      <c r="S61" s="161"/>
    </row>
    <row r="62" spans="10:21">
      <c r="M62" s="182"/>
      <c r="N62" s="182"/>
      <c r="O62" s="182"/>
      <c r="P62" s="182"/>
      <c r="Q62" s="190"/>
      <c r="R62" s="161"/>
      <c r="S62" s="161"/>
    </row>
    <row r="63" spans="10:21">
      <c r="M63" s="182"/>
      <c r="N63" s="182"/>
      <c r="O63" s="182"/>
      <c r="P63" s="182"/>
      <c r="Q63" s="170"/>
      <c r="R63" s="161"/>
      <c r="S63" s="161"/>
    </row>
    <row r="64" spans="10:21">
      <c r="K64" s="201"/>
      <c r="Q64" s="161"/>
      <c r="R64" s="161"/>
      <c r="S64" s="161"/>
    </row>
    <row r="65" spans="10:19">
      <c r="K65" s="201"/>
      <c r="Q65" s="190"/>
      <c r="R65" s="161"/>
      <c r="S65" s="161"/>
    </row>
    <row r="66" spans="10:19">
      <c r="K66" s="202"/>
      <c r="Q66" s="199"/>
      <c r="R66" s="190"/>
      <c r="S66" s="161"/>
    </row>
    <row r="67" spans="10:19">
      <c r="K67" s="201"/>
      <c r="Q67" s="161"/>
      <c r="R67" s="161"/>
      <c r="S67" s="161"/>
    </row>
    <row r="68" spans="10:19">
      <c r="Q68" s="161"/>
      <c r="R68" s="161"/>
    </row>
    <row r="69" spans="10:19">
      <c r="J69" s="161"/>
      <c r="K69" s="161"/>
    </row>
    <row r="70" spans="10:19">
      <c r="J70" s="161"/>
      <c r="K70" s="161"/>
    </row>
    <row r="71" spans="10:19">
      <c r="J71" s="161"/>
      <c r="K71" s="167"/>
    </row>
    <row r="72" spans="10:19">
      <c r="J72" s="161"/>
      <c r="K72" s="161"/>
    </row>
    <row r="73" spans="10:19">
      <c r="J73" s="161"/>
      <c r="K73" s="202"/>
    </row>
    <row r="74" spans="10:19">
      <c r="J74" s="161"/>
      <c r="K74" s="202"/>
    </row>
    <row r="75" spans="10:19">
      <c r="J75" s="161"/>
      <c r="K75" s="202"/>
    </row>
    <row r="76" spans="10:19">
      <c r="J76" s="161"/>
      <c r="K76" s="161"/>
    </row>
  </sheetData>
  <mergeCells count="5">
    <mergeCell ref="B3:D3"/>
    <mergeCell ref="F3:H3"/>
    <mergeCell ref="J3:K3"/>
    <mergeCell ref="J2:K2"/>
    <mergeCell ref="A16:D16"/>
  </mergeCells>
  <pageMargins left="0.7" right="0.7" top="0.75" bottom="0.75" header="0.3" footer="0.3"/>
  <pageSetup scale="49" firstPageNumber="2" orientation="landscape" useFirstPageNumber="1" r:id="rId1"/>
  <headerFooter>
    <oddHeader>&amp;RUpdated KIUC_1_17_Attachment71_Retirement_Cost_Calculation
Page  &amp;P of 18</oddHeader>
  </headerFooter>
  <ignoredErrors>
    <ignoredError sqref="O5:R10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325"/>
  <sheetViews>
    <sheetView zoomScaleNormal="100" workbookViewId="0">
      <pane ySplit="6" topLeftCell="A74" activePane="bottomLeft" state="frozen"/>
      <selection activeCell="C10" sqref="C10"/>
      <selection pane="bottomLeft" activeCell="F93" sqref="F93:F104"/>
    </sheetView>
  </sheetViews>
  <sheetFormatPr defaultColWidth="8.85546875" defaultRowHeight="12.75"/>
  <cols>
    <col min="1" max="1" width="8.85546875" style="144"/>
    <col min="2" max="2" width="37.5703125" style="144" bestFit="1" customWidth="1"/>
    <col min="3" max="3" width="25" style="144" customWidth="1"/>
    <col min="4" max="4" width="19.28515625" style="144" customWidth="1"/>
    <col min="5" max="5" width="22" style="144" customWidth="1"/>
    <col min="6" max="6" width="21.140625" style="144" bestFit="1" customWidth="1"/>
    <col min="7" max="7" width="16.85546875" style="144" customWidth="1"/>
    <col min="8" max="8" width="19.85546875" style="144" customWidth="1"/>
    <col min="9" max="9" width="22.7109375" style="144" customWidth="1"/>
    <col min="10" max="10" width="18.140625" style="144" bestFit="1" customWidth="1"/>
    <col min="11" max="11" width="20.28515625" style="144" customWidth="1"/>
    <col min="12" max="12" width="20.7109375" style="144" bestFit="1" customWidth="1"/>
    <col min="13" max="13" width="1.28515625" style="144" customWidth="1"/>
    <col min="14" max="14" width="13.28515625" style="144" bestFit="1" customWidth="1"/>
    <col min="15" max="16384" width="8.85546875" style="144"/>
  </cols>
  <sheetData>
    <row r="1" spans="1:15" s="205" customFormat="1" ht="81.75" customHeight="1">
      <c r="A1" s="203" t="s">
        <v>1</v>
      </c>
      <c r="B1" s="203" t="s">
        <v>63</v>
      </c>
      <c r="C1" s="204" t="s">
        <v>97</v>
      </c>
      <c r="D1" s="204" t="s">
        <v>98</v>
      </c>
      <c r="E1" s="204" t="s">
        <v>99</v>
      </c>
      <c r="F1" s="204" t="s">
        <v>100</v>
      </c>
      <c r="G1" s="204" t="s">
        <v>101</v>
      </c>
      <c r="H1" s="204" t="s">
        <v>3</v>
      </c>
      <c r="I1" s="204" t="s">
        <v>3</v>
      </c>
      <c r="K1" s="204" t="s">
        <v>95</v>
      </c>
      <c r="L1" s="204" t="s">
        <v>151</v>
      </c>
    </row>
    <row r="2" spans="1:15" s="205" customFormat="1">
      <c r="A2" s="203"/>
      <c r="B2" s="203"/>
      <c r="C2" s="203">
        <v>1823379</v>
      </c>
      <c r="D2" s="203">
        <v>1823376</v>
      </c>
      <c r="E2" s="203">
        <v>1823378</v>
      </c>
      <c r="F2" s="203">
        <v>1823380</v>
      </c>
      <c r="G2" s="203">
        <v>1823518</v>
      </c>
      <c r="H2" s="203" t="s">
        <v>77</v>
      </c>
      <c r="I2" s="203" t="s">
        <v>78</v>
      </c>
      <c r="J2" s="205" t="s">
        <v>4</v>
      </c>
      <c r="L2" s="205" t="s">
        <v>85</v>
      </c>
    </row>
    <row r="3" spans="1:15" s="205" customFormat="1">
      <c r="A3" s="203"/>
      <c r="B3" s="203"/>
      <c r="C3" s="203"/>
      <c r="D3" s="203"/>
      <c r="E3" s="203"/>
      <c r="F3" s="203"/>
      <c r="G3" s="203"/>
      <c r="H3" s="203"/>
      <c r="I3" s="203"/>
      <c r="L3" s="205">
        <v>0.98599999999999999</v>
      </c>
    </row>
    <row r="4" spans="1:15">
      <c r="A4" s="143"/>
      <c r="B4" s="143"/>
      <c r="C4" s="143"/>
      <c r="D4" s="143"/>
      <c r="E4" s="143"/>
      <c r="F4" s="143"/>
      <c r="G4" s="143"/>
      <c r="H4" s="143"/>
      <c r="I4" s="143"/>
    </row>
    <row r="5" spans="1:15">
      <c r="A5" s="143"/>
      <c r="B5" s="143"/>
      <c r="C5" s="143"/>
      <c r="D5" s="143"/>
      <c r="E5" s="143"/>
      <c r="F5" s="143"/>
      <c r="G5" s="143"/>
      <c r="H5" s="143"/>
      <c r="I5" s="143"/>
    </row>
    <row r="6" spans="1:15">
      <c r="A6" s="143"/>
      <c r="B6" s="143"/>
      <c r="C6" s="143"/>
      <c r="D6" s="143"/>
      <c r="E6" s="143"/>
      <c r="F6" s="143"/>
      <c r="G6" s="143"/>
      <c r="H6" s="143"/>
      <c r="I6" s="143"/>
    </row>
    <row r="7" spans="1:15">
      <c r="B7" s="145">
        <v>42185</v>
      </c>
      <c r="C7" s="146">
        <f>251384137.3+1854094.4</f>
        <v>253238231.70000002</v>
      </c>
      <c r="D7" s="146">
        <v>-66333380.799999997</v>
      </c>
      <c r="E7" s="146">
        <v>4101526.44</v>
      </c>
      <c r="F7" s="146">
        <f>3333431.55-1573483.18</f>
        <v>1759948.3699999999</v>
      </c>
      <c r="G7" s="146">
        <v>0</v>
      </c>
      <c r="H7" s="146">
        <v>2671359.25</v>
      </c>
      <c r="I7" s="146">
        <v>514215</v>
      </c>
      <c r="J7" s="146">
        <f>SUM(C7:I7)</f>
        <v>195951899.96000004</v>
      </c>
      <c r="K7" s="146">
        <f t="shared" ref="K7:K21" si="0">C7+D7+F7+G7</f>
        <v>188664799.27000004</v>
      </c>
      <c r="L7" s="146">
        <f t="shared" ref="L7:L37" si="1">ROUND(K7*L$3,0)</f>
        <v>186023492</v>
      </c>
      <c r="M7" s="146"/>
      <c r="N7" s="146"/>
      <c r="O7" s="146"/>
    </row>
    <row r="8" spans="1:15">
      <c r="A8" s="144">
        <v>1</v>
      </c>
      <c r="B8" s="145">
        <v>42186</v>
      </c>
      <c r="C8" s="146">
        <v>0</v>
      </c>
      <c r="D8" s="146">
        <v>840287.23</v>
      </c>
      <c r="E8" s="146">
        <v>-4187.43</v>
      </c>
      <c r="F8" s="146">
        <f>290708.16-1024.09</f>
        <v>289684.06999999995</v>
      </c>
      <c r="G8" s="146">
        <v>115952.93</v>
      </c>
      <c r="H8" s="146">
        <v>1104019.23</v>
      </c>
      <c r="I8" s="146">
        <v>-11891.62</v>
      </c>
      <c r="J8" s="146">
        <f>SUM(C8:I8)</f>
        <v>2333864.4099999997</v>
      </c>
      <c r="K8" s="146">
        <f t="shared" si="0"/>
        <v>1245924.2299999997</v>
      </c>
      <c r="L8" s="146">
        <f>ROUND(K8*L$3,0)</f>
        <v>1228481</v>
      </c>
      <c r="M8" s="146"/>
      <c r="N8" s="146"/>
      <c r="O8" s="146"/>
    </row>
    <row r="9" spans="1:15">
      <c r="A9" s="144">
        <v>2</v>
      </c>
      <c r="B9" s="145">
        <v>42217</v>
      </c>
      <c r="C9" s="146">
        <v>0</v>
      </c>
      <c r="D9" s="146">
        <v>343381.42</v>
      </c>
      <c r="E9" s="146">
        <v>0</v>
      </c>
      <c r="F9" s="146">
        <f>417656.42-19048.87</f>
        <v>398607.55</v>
      </c>
      <c r="G9" s="146">
        <v>104922.68</v>
      </c>
      <c r="H9" s="146">
        <v>-12551.59</v>
      </c>
      <c r="I9" s="146">
        <v>-6094.13</v>
      </c>
      <c r="J9" s="146">
        <f t="shared" ref="J9:J73" si="2">SUM(C9:I9)</f>
        <v>828265.92999999993</v>
      </c>
      <c r="K9" s="146">
        <f t="shared" si="0"/>
        <v>846911.64999999991</v>
      </c>
      <c r="L9" s="146">
        <f t="shared" si="1"/>
        <v>835055</v>
      </c>
      <c r="M9" s="146"/>
      <c r="N9" s="146"/>
      <c r="O9" s="146"/>
    </row>
    <row r="10" spans="1:15">
      <c r="A10" s="144">
        <v>3</v>
      </c>
      <c r="B10" s="145">
        <v>42248</v>
      </c>
      <c r="C10" s="146">
        <v>0</v>
      </c>
      <c r="D10" s="146">
        <v>312465.07</v>
      </c>
      <c r="E10" s="146">
        <v>-75294.100000000006</v>
      </c>
      <c r="F10" s="146">
        <f>547092-24718.75</f>
        <v>522373.25</v>
      </c>
      <c r="G10" s="146">
        <f>114590.19</f>
        <v>114590.19</v>
      </c>
      <c r="H10" s="146">
        <v>119767.28</v>
      </c>
      <c r="I10" s="146">
        <v>8331.7900000000009</v>
      </c>
      <c r="J10" s="146">
        <f t="shared" si="2"/>
        <v>1002233.48</v>
      </c>
      <c r="K10" s="146">
        <f t="shared" si="0"/>
        <v>949428.51</v>
      </c>
      <c r="L10" s="146">
        <f t="shared" si="1"/>
        <v>936137</v>
      </c>
      <c r="M10" s="146"/>
      <c r="N10" s="146"/>
      <c r="O10" s="146"/>
    </row>
    <row r="11" spans="1:15">
      <c r="A11" s="144">
        <v>4</v>
      </c>
      <c r="B11" s="145">
        <v>42278</v>
      </c>
      <c r="C11" s="146">
        <v>0</v>
      </c>
      <c r="D11" s="146">
        <v>300515.27</v>
      </c>
      <c r="E11" s="146">
        <v>-6966.07</v>
      </c>
      <c r="F11" s="146">
        <f>635813.61-76143.26</f>
        <v>559670.35</v>
      </c>
      <c r="G11" s="146">
        <v>116350.79000000001</v>
      </c>
      <c r="H11" s="146">
        <v>-19420.669999999998</v>
      </c>
      <c r="I11" s="146">
        <f>499420.03-504561.04</f>
        <v>-5141.0099999999511</v>
      </c>
      <c r="J11" s="146">
        <f>SUM(C11:I11)</f>
        <v>945008.66000000015</v>
      </c>
      <c r="K11" s="146">
        <f t="shared" si="0"/>
        <v>976536.41</v>
      </c>
      <c r="L11" s="146">
        <f t="shared" si="1"/>
        <v>962865</v>
      </c>
      <c r="M11" s="146"/>
      <c r="N11" s="146"/>
      <c r="O11" s="146"/>
    </row>
    <row r="12" spans="1:15">
      <c r="A12" s="144">
        <v>5</v>
      </c>
      <c r="B12" s="145">
        <v>42309</v>
      </c>
      <c r="C12" s="146">
        <v>0</v>
      </c>
      <c r="D12" s="146">
        <v>964785.46</v>
      </c>
      <c r="E12" s="146">
        <f>488957.12-499420.03</f>
        <v>-10462.910000000033</v>
      </c>
      <c r="F12" s="146">
        <f>1065555.58-348199.31</f>
        <v>717356.27</v>
      </c>
      <c r="G12" s="146">
        <v>189475.55</v>
      </c>
      <c r="H12" s="146">
        <f>-3863173.5+3957711.96</f>
        <v>94538.459999999963</v>
      </c>
      <c r="I12" s="146">
        <v>0</v>
      </c>
      <c r="J12" s="146">
        <f>SUM(C12:I12)</f>
        <v>1955692.8299999998</v>
      </c>
      <c r="K12" s="146">
        <f t="shared" si="0"/>
        <v>1871617.28</v>
      </c>
      <c r="L12" s="146">
        <f t="shared" si="1"/>
        <v>1845415</v>
      </c>
      <c r="M12" s="146"/>
      <c r="N12" s="146"/>
      <c r="O12" s="146"/>
    </row>
    <row r="13" spans="1:15">
      <c r="A13" s="144">
        <v>6</v>
      </c>
      <c r="B13" s="147" t="s">
        <v>109</v>
      </c>
      <c r="C13" s="146">
        <v>3957711.96</v>
      </c>
      <c r="D13" s="146">
        <v>0</v>
      </c>
      <c r="E13" s="146">
        <v>499420.03</v>
      </c>
      <c r="F13" s="146"/>
      <c r="G13" s="146"/>
      <c r="H13" s="146">
        <v>-3957711.96</v>
      </c>
      <c r="I13" s="146">
        <v>-499420.03</v>
      </c>
      <c r="J13" s="146">
        <f>SUM(C13:I13)</f>
        <v>0</v>
      </c>
      <c r="K13" s="146">
        <f>C13+D13+F13+G13</f>
        <v>3957711.96</v>
      </c>
      <c r="L13" s="146">
        <f>ROUND(K13*L$3,0)</f>
        <v>3902304</v>
      </c>
      <c r="M13" s="146"/>
      <c r="N13" s="146"/>
      <c r="O13" s="146"/>
    </row>
    <row r="14" spans="1:15">
      <c r="A14" s="144">
        <v>7</v>
      </c>
      <c r="B14" s="145">
        <v>42339</v>
      </c>
      <c r="C14" s="146">
        <v>0</v>
      </c>
      <c r="D14" s="146">
        <v>1419647.09</v>
      </c>
      <c r="E14" s="146">
        <v>-19049.3</v>
      </c>
      <c r="F14" s="146">
        <f>1349754.85-571453.74</f>
        <v>778301.1100000001</v>
      </c>
      <c r="G14" s="146">
        <v>103167.71</v>
      </c>
      <c r="H14" s="146">
        <v>0</v>
      </c>
      <c r="I14" s="146">
        <v>0</v>
      </c>
      <c r="J14" s="146">
        <f t="shared" si="2"/>
        <v>2282066.6100000003</v>
      </c>
      <c r="K14" s="146">
        <f t="shared" si="0"/>
        <v>2301115.91</v>
      </c>
      <c r="L14" s="146">
        <f>ROUND(K14*L$3,0)</f>
        <v>2268900</v>
      </c>
      <c r="M14" s="146"/>
      <c r="N14" s="146"/>
      <c r="O14" s="146"/>
    </row>
    <row r="15" spans="1:15">
      <c r="A15" s="144">
        <v>8</v>
      </c>
      <c r="B15" s="145">
        <v>42370</v>
      </c>
      <c r="C15" s="146">
        <v>0</v>
      </c>
      <c r="D15" s="146">
        <v>1695447.26</v>
      </c>
      <c r="E15" s="146">
        <v>-105006.32</v>
      </c>
      <c r="F15" s="146">
        <f>414514.39-0</f>
        <v>414514.39</v>
      </c>
      <c r="G15" s="146">
        <v>35152.19</v>
      </c>
      <c r="H15" s="146">
        <v>0</v>
      </c>
      <c r="I15" s="146">
        <v>0</v>
      </c>
      <c r="J15" s="146">
        <f t="shared" si="2"/>
        <v>2040107.52</v>
      </c>
      <c r="K15" s="146">
        <f t="shared" si="0"/>
        <v>2145113.84</v>
      </c>
      <c r="L15" s="146">
        <f>ROUND(K15*L$3,0)</f>
        <v>2115082</v>
      </c>
      <c r="M15" s="146"/>
      <c r="N15" s="146"/>
      <c r="O15" s="146"/>
    </row>
    <row r="16" spans="1:15">
      <c r="A16" s="144">
        <v>9</v>
      </c>
      <c r="B16" s="145">
        <v>42401</v>
      </c>
      <c r="C16" s="146">
        <v>0</v>
      </c>
      <c r="D16" s="146">
        <v>1637034.82</v>
      </c>
      <c r="E16" s="146">
        <v>-816.31</v>
      </c>
      <c r="F16" s="146">
        <f>726971.8-293826.27</f>
        <v>433145.53</v>
      </c>
      <c r="G16" s="146">
        <v>-939.06999999999994</v>
      </c>
      <c r="H16" s="146">
        <v>0</v>
      </c>
      <c r="I16" s="146">
        <v>0</v>
      </c>
      <c r="J16" s="146">
        <f t="shared" si="2"/>
        <v>2068424.97</v>
      </c>
      <c r="K16" s="146">
        <f t="shared" si="0"/>
        <v>2069241.28</v>
      </c>
      <c r="L16" s="146">
        <f t="shared" si="1"/>
        <v>2040272</v>
      </c>
      <c r="M16" s="146"/>
      <c r="N16" s="146"/>
      <c r="O16" s="146"/>
    </row>
    <row r="17" spans="1:15">
      <c r="A17" s="144">
        <v>10</v>
      </c>
      <c r="B17" s="145">
        <v>42430</v>
      </c>
      <c r="C17" s="146">
        <v>0</v>
      </c>
      <c r="D17" s="146">
        <v>2794090.93</v>
      </c>
      <c r="E17" s="146">
        <v>-36284.83</v>
      </c>
      <c r="F17" s="146">
        <v>347167.77</v>
      </c>
      <c r="G17" s="146">
        <v>47351.46</v>
      </c>
      <c r="H17" s="146">
        <v>0</v>
      </c>
      <c r="I17" s="146">
        <v>0</v>
      </c>
      <c r="J17" s="146">
        <f t="shared" si="2"/>
        <v>3152325.33</v>
      </c>
      <c r="K17" s="146">
        <f>C17+D17+F17+G17</f>
        <v>3188610.16</v>
      </c>
      <c r="L17" s="146">
        <f>ROUND(K17*L$3,0)</f>
        <v>3143970</v>
      </c>
      <c r="M17" s="146"/>
      <c r="N17" s="146"/>
      <c r="O17" s="146"/>
    </row>
    <row r="18" spans="1:15">
      <c r="A18" s="144">
        <v>11</v>
      </c>
      <c r="B18" s="145">
        <v>42461</v>
      </c>
      <c r="C18" s="146">
        <v>0</v>
      </c>
      <c r="D18" s="146">
        <v>1834502.55</v>
      </c>
      <c r="E18" s="146">
        <v>-123904.34</v>
      </c>
      <c r="F18" s="146">
        <v>558244.76</v>
      </c>
      <c r="G18" s="146">
        <v>1180.1099999999999</v>
      </c>
      <c r="H18" s="146">
        <v>0</v>
      </c>
      <c r="I18" s="146">
        <v>0</v>
      </c>
      <c r="J18" s="146">
        <f t="shared" si="2"/>
        <v>2270023.0799999996</v>
      </c>
      <c r="K18" s="146">
        <f t="shared" si="0"/>
        <v>2393927.42</v>
      </c>
      <c r="L18" s="146">
        <f t="shared" si="1"/>
        <v>2360412</v>
      </c>
      <c r="M18" s="146"/>
      <c r="N18" s="146"/>
      <c r="O18" s="146"/>
    </row>
    <row r="19" spans="1:15">
      <c r="A19" s="144">
        <v>12</v>
      </c>
      <c r="B19" s="145">
        <v>42491</v>
      </c>
      <c r="C19" s="146">
        <v>0</v>
      </c>
      <c r="D19" s="146">
        <v>2068364.38</v>
      </c>
      <c r="E19" s="146">
        <v>-55835.95</v>
      </c>
      <c r="F19" s="146">
        <v>368938.67</v>
      </c>
      <c r="G19" s="146">
        <v>3087.47</v>
      </c>
      <c r="H19" s="146">
        <v>0</v>
      </c>
      <c r="I19" s="146">
        <v>0</v>
      </c>
      <c r="J19" s="146">
        <f t="shared" si="2"/>
        <v>2384554.5700000003</v>
      </c>
      <c r="K19" s="146">
        <f t="shared" si="0"/>
        <v>2440390.52</v>
      </c>
      <c r="L19" s="146">
        <f t="shared" si="1"/>
        <v>2406225</v>
      </c>
      <c r="M19" s="146"/>
      <c r="N19" s="146"/>
      <c r="O19" s="146"/>
    </row>
    <row r="20" spans="1:15">
      <c r="A20" s="144">
        <v>13</v>
      </c>
      <c r="B20" s="145">
        <v>42522</v>
      </c>
      <c r="C20" s="146">
        <v>0</v>
      </c>
      <c r="D20" s="146">
        <v>668830.92000000004</v>
      </c>
      <c r="E20" s="146">
        <v>-77242.42</v>
      </c>
      <c r="F20" s="146">
        <v>336185.51</v>
      </c>
      <c r="G20" s="146">
        <v>6369.09</v>
      </c>
      <c r="H20" s="146">
        <v>0</v>
      </c>
      <c r="I20" s="146"/>
      <c r="J20" s="146">
        <f t="shared" si="2"/>
        <v>934143.1</v>
      </c>
      <c r="K20" s="146">
        <f t="shared" si="0"/>
        <v>1011385.52</v>
      </c>
      <c r="L20" s="146">
        <f t="shared" si="1"/>
        <v>997226</v>
      </c>
      <c r="M20" s="146"/>
      <c r="N20" s="146"/>
      <c r="O20" s="146"/>
    </row>
    <row r="21" spans="1:15">
      <c r="A21" s="144">
        <v>14</v>
      </c>
      <c r="B21" s="145">
        <v>42552</v>
      </c>
      <c r="C21" s="146">
        <v>0</v>
      </c>
      <c r="D21" s="146">
        <v>1234700.31</v>
      </c>
      <c r="E21" s="146">
        <v>-44807.34</v>
      </c>
      <c r="F21" s="146">
        <v>310127.65999999997</v>
      </c>
      <c r="G21" s="146">
        <v>2340.17</v>
      </c>
      <c r="H21" s="146">
        <v>0</v>
      </c>
      <c r="I21" s="146">
        <v>0</v>
      </c>
      <c r="J21" s="146">
        <f t="shared" si="2"/>
        <v>1502360.7999999998</v>
      </c>
      <c r="K21" s="146">
        <f t="shared" si="0"/>
        <v>1547168.14</v>
      </c>
      <c r="L21" s="146">
        <f>ROUND(K21*L$3,0)</f>
        <v>1525508</v>
      </c>
      <c r="M21" s="146"/>
      <c r="N21" s="146"/>
      <c r="O21" s="146"/>
    </row>
    <row r="22" spans="1:15">
      <c r="A22" s="144">
        <v>15</v>
      </c>
      <c r="B22" s="145">
        <v>42583</v>
      </c>
      <c r="C22" s="146">
        <v>0</v>
      </c>
      <c r="D22" s="146">
        <v>2524749.6</v>
      </c>
      <c r="E22" s="146">
        <v>-35699.89</v>
      </c>
      <c r="F22" s="146">
        <v>2067656.87</v>
      </c>
      <c r="G22" s="146">
        <v>738.54</v>
      </c>
      <c r="H22" s="146">
        <v>0</v>
      </c>
      <c r="I22" s="146">
        <v>0</v>
      </c>
      <c r="J22" s="146">
        <f t="shared" si="2"/>
        <v>4557445.1200000001</v>
      </c>
      <c r="K22" s="146">
        <f t="shared" ref="K22:K81" si="3">C22+D22+F22+G22</f>
        <v>4593145.0100000007</v>
      </c>
      <c r="L22" s="146">
        <f t="shared" si="1"/>
        <v>4528841</v>
      </c>
      <c r="M22" s="146"/>
      <c r="N22" s="146"/>
      <c r="O22" s="146"/>
    </row>
    <row r="23" spans="1:15">
      <c r="A23" s="144">
        <v>16</v>
      </c>
      <c r="B23" s="145">
        <v>42614</v>
      </c>
      <c r="C23" s="146">
        <v>0</v>
      </c>
      <c r="D23" s="146">
        <v>2207110.67</v>
      </c>
      <c r="E23" s="146">
        <v>-8662.65</v>
      </c>
      <c r="F23" s="146">
        <v>1232171.94</v>
      </c>
      <c r="G23" s="146">
        <v>6022.85</v>
      </c>
      <c r="H23" s="146">
        <v>0</v>
      </c>
      <c r="I23" s="146">
        <v>0</v>
      </c>
      <c r="J23" s="146">
        <f t="shared" si="2"/>
        <v>3436642.81</v>
      </c>
      <c r="K23" s="146">
        <f t="shared" si="3"/>
        <v>3445305.46</v>
      </c>
      <c r="L23" s="146">
        <f t="shared" si="1"/>
        <v>3397071</v>
      </c>
      <c r="M23" s="146"/>
      <c r="N23" s="146"/>
      <c r="O23" s="146"/>
    </row>
    <row r="24" spans="1:15">
      <c r="A24" s="144">
        <v>17</v>
      </c>
      <c r="B24" s="145">
        <v>42644</v>
      </c>
      <c r="C24" s="146">
        <v>0</v>
      </c>
      <c r="D24" s="146">
        <v>2463907.35</v>
      </c>
      <c r="E24" s="146">
        <v>-56336.6</v>
      </c>
      <c r="F24" s="146">
        <v>4450113.54</v>
      </c>
      <c r="G24" s="146">
        <v>-10151.1</v>
      </c>
      <c r="H24" s="146">
        <v>0</v>
      </c>
      <c r="I24" s="146">
        <v>0</v>
      </c>
      <c r="J24" s="146">
        <f t="shared" si="2"/>
        <v>6847533.1900000004</v>
      </c>
      <c r="K24" s="146">
        <f t="shared" si="3"/>
        <v>6903869.790000001</v>
      </c>
      <c r="L24" s="146">
        <f t="shared" si="1"/>
        <v>6807216</v>
      </c>
      <c r="M24" s="146"/>
      <c r="N24" s="146"/>
      <c r="O24" s="146"/>
    </row>
    <row r="25" spans="1:15">
      <c r="A25" s="144">
        <v>18</v>
      </c>
      <c r="B25" s="145">
        <v>42675</v>
      </c>
      <c r="C25" s="146">
        <v>0</v>
      </c>
      <c r="D25" s="146">
        <v>747204.6</v>
      </c>
      <c r="E25" s="146">
        <v>-24789.84</v>
      </c>
      <c r="F25" s="146">
        <v>1186265.5900000001</v>
      </c>
      <c r="G25" s="146">
        <v>1339.61</v>
      </c>
      <c r="H25" s="146">
        <v>0</v>
      </c>
      <c r="I25" s="146">
        <v>0</v>
      </c>
      <c r="J25" s="146">
        <f t="shared" si="2"/>
        <v>1910019.9600000002</v>
      </c>
      <c r="K25" s="146">
        <f t="shared" si="3"/>
        <v>1934809.8</v>
      </c>
      <c r="L25" s="146">
        <f t="shared" si="1"/>
        <v>1907722</v>
      </c>
      <c r="M25" s="146"/>
      <c r="N25" s="146"/>
      <c r="O25" s="146"/>
    </row>
    <row r="26" spans="1:15">
      <c r="A26" s="144">
        <v>19</v>
      </c>
      <c r="B26" s="145">
        <v>42705</v>
      </c>
      <c r="C26" s="146">
        <v>0</v>
      </c>
      <c r="D26" s="146">
        <v>544351.32999999996</v>
      </c>
      <c r="E26" s="146">
        <v>-12306.62</v>
      </c>
      <c r="F26" s="146">
        <v>1613520.77</v>
      </c>
      <c r="G26" s="146">
        <v>3964.88</v>
      </c>
      <c r="H26" s="146">
        <v>0</v>
      </c>
      <c r="I26" s="146">
        <v>0</v>
      </c>
      <c r="J26" s="146">
        <f t="shared" si="2"/>
        <v>2149530.36</v>
      </c>
      <c r="K26" s="146">
        <f t="shared" si="3"/>
        <v>2161836.98</v>
      </c>
      <c r="L26" s="146">
        <f t="shared" si="1"/>
        <v>2131571</v>
      </c>
      <c r="M26" s="146"/>
      <c r="N26" s="146"/>
      <c r="O26" s="146"/>
    </row>
    <row r="27" spans="1:15">
      <c r="A27" s="144">
        <v>20</v>
      </c>
      <c r="B27" s="145">
        <v>42736</v>
      </c>
      <c r="C27" s="146">
        <v>0</v>
      </c>
      <c r="D27" s="146">
        <v>389656.8</v>
      </c>
      <c r="E27" s="146">
        <v>-139081.98000000001</v>
      </c>
      <c r="F27" s="146">
        <v>425944.87</v>
      </c>
      <c r="G27" s="146">
        <v>17037.37</v>
      </c>
      <c r="H27" s="146">
        <v>0</v>
      </c>
      <c r="I27" s="146">
        <v>0</v>
      </c>
      <c r="J27" s="146">
        <f t="shared" si="2"/>
        <v>693557.05999999994</v>
      </c>
      <c r="K27" s="146">
        <f t="shared" si="3"/>
        <v>832639.03999999992</v>
      </c>
      <c r="L27" s="146">
        <f t="shared" si="1"/>
        <v>820982</v>
      </c>
      <c r="M27" s="146"/>
      <c r="N27" s="146"/>
      <c r="O27" s="146"/>
    </row>
    <row r="28" spans="1:15">
      <c r="A28" s="144">
        <v>20</v>
      </c>
      <c r="B28" s="145">
        <v>42767</v>
      </c>
      <c r="C28" s="146">
        <v>0</v>
      </c>
      <c r="D28" s="146">
        <v>184500.84</v>
      </c>
      <c r="E28" s="146">
        <v>-8969.81</v>
      </c>
      <c r="F28" s="146">
        <v>557995.5</v>
      </c>
      <c r="G28" s="146">
        <v>8041.96</v>
      </c>
      <c r="H28" s="146">
        <v>0</v>
      </c>
      <c r="I28" s="146">
        <v>0</v>
      </c>
      <c r="J28" s="146">
        <f t="shared" si="2"/>
        <v>741568.49</v>
      </c>
      <c r="K28" s="146">
        <f t="shared" si="3"/>
        <v>750538.29999999993</v>
      </c>
      <c r="L28" s="146">
        <f t="shared" si="1"/>
        <v>740031</v>
      </c>
      <c r="M28" s="146"/>
      <c r="N28" s="146"/>
      <c r="O28" s="146"/>
    </row>
    <row r="29" spans="1:15">
      <c r="A29" s="144">
        <v>21</v>
      </c>
      <c r="B29" s="145">
        <v>42795</v>
      </c>
      <c r="C29" s="146">
        <v>0</v>
      </c>
      <c r="D29" s="146">
        <v>238426.61</v>
      </c>
      <c r="E29" s="146">
        <v>-3680.12</v>
      </c>
      <c r="F29" s="146">
        <v>1035427.53</v>
      </c>
      <c r="G29" s="146">
        <v>3847.6</v>
      </c>
      <c r="H29" s="146">
        <v>0</v>
      </c>
      <c r="I29" s="146">
        <v>0</v>
      </c>
      <c r="J29" s="146">
        <f>SUM(C29:I29)</f>
        <v>1274021.6200000001</v>
      </c>
      <c r="K29" s="146">
        <f t="shared" si="3"/>
        <v>1277701.7400000002</v>
      </c>
      <c r="L29" s="146">
        <f t="shared" si="1"/>
        <v>1259814</v>
      </c>
      <c r="M29" s="146"/>
      <c r="N29" s="146"/>
      <c r="O29" s="146"/>
    </row>
    <row r="30" spans="1:15">
      <c r="A30" s="144">
        <v>22</v>
      </c>
      <c r="B30" s="145">
        <v>42826</v>
      </c>
      <c r="C30" s="146">
        <v>0</v>
      </c>
      <c r="D30" s="146">
        <v>311671.76</v>
      </c>
      <c r="E30" s="146">
        <v>-2873.88</v>
      </c>
      <c r="F30" s="146">
        <v>894131.94</v>
      </c>
      <c r="G30" s="146">
        <v>11298.29</v>
      </c>
      <c r="H30" s="146">
        <v>0</v>
      </c>
      <c r="I30" s="146">
        <v>0</v>
      </c>
      <c r="J30" s="146">
        <f t="shared" si="2"/>
        <v>1214228.1099999999</v>
      </c>
      <c r="K30" s="146">
        <f t="shared" si="3"/>
        <v>1217101.99</v>
      </c>
      <c r="L30" s="146">
        <f t="shared" si="1"/>
        <v>1200063</v>
      </c>
      <c r="M30" s="146"/>
      <c r="N30" s="146"/>
      <c r="O30" s="146"/>
    </row>
    <row r="31" spans="1:15">
      <c r="A31" s="144">
        <v>23</v>
      </c>
      <c r="B31" s="145">
        <v>42856</v>
      </c>
      <c r="C31" s="146">
        <v>0</v>
      </c>
      <c r="D31" s="146">
        <v>829727.28</v>
      </c>
      <c r="E31" s="146">
        <v>-7404.24</v>
      </c>
      <c r="F31" s="146">
        <v>1112697.69</v>
      </c>
      <c r="G31" s="146">
        <v>624.36</v>
      </c>
      <c r="H31" s="146">
        <v>0</v>
      </c>
      <c r="I31" s="146">
        <v>0</v>
      </c>
      <c r="J31" s="146">
        <f t="shared" si="2"/>
        <v>1935645.09</v>
      </c>
      <c r="K31" s="146">
        <f t="shared" si="3"/>
        <v>1943049.33</v>
      </c>
      <c r="L31" s="146">
        <f t="shared" si="1"/>
        <v>1915847</v>
      </c>
      <c r="M31" s="146"/>
      <c r="N31" s="146"/>
      <c r="O31" s="146"/>
    </row>
    <row r="32" spans="1:15">
      <c r="A32" s="144">
        <v>24</v>
      </c>
      <c r="B32" s="145">
        <v>42887</v>
      </c>
      <c r="C32" s="146">
        <v>0</v>
      </c>
      <c r="D32" s="146">
        <v>253893.81</v>
      </c>
      <c r="E32" s="146">
        <v>-13618.32</v>
      </c>
      <c r="F32" s="146">
        <v>1529637.09</v>
      </c>
      <c r="G32" s="146">
        <v>835.39</v>
      </c>
      <c r="H32" s="146">
        <v>0</v>
      </c>
      <c r="I32" s="146">
        <v>0</v>
      </c>
      <c r="J32" s="146">
        <f t="shared" si="2"/>
        <v>1770747.97</v>
      </c>
      <c r="K32" s="146">
        <f t="shared" si="3"/>
        <v>1784366.29</v>
      </c>
      <c r="L32" s="146">
        <f t="shared" si="1"/>
        <v>1759385</v>
      </c>
      <c r="M32" s="146"/>
      <c r="N32" s="146"/>
      <c r="O32" s="146"/>
    </row>
    <row r="33" spans="1:15">
      <c r="A33" s="144">
        <v>25</v>
      </c>
      <c r="B33" s="145">
        <v>42917</v>
      </c>
      <c r="C33" s="146">
        <v>0</v>
      </c>
      <c r="D33" s="146">
        <v>28410.15</v>
      </c>
      <c r="E33" s="146">
        <v>-14291.77</v>
      </c>
      <c r="F33" s="146">
        <v>1425121.79</v>
      </c>
      <c r="G33" s="146">
        <v>10906.769999999999</v>
      </c>
      <c r="H33" s="146">
        <v>0</v>
      </c>
      <c r="I33" s="146">
        <v>0</v>
      </c>
      <c r="J33" s="146">
        <f t="shared" si="2"/>
        <v>1450146.94</v>
      </c>
      <c r="K33" s="146">
        <f t="shared" si="3"/>
        <v>1464438.71</v>
      </c>
      <c r="L33" s="146">
        <f t="shared" si="1"/>
        <v>1443937</v>
      </c>
      <c r="M33" s="146"/>
      <c r="N33" s="146"/>
      <c r="O33" s="146"/>
    </row>
    <row r="34" spans="1:15">
      <c r="A34" s="144">
        <v>26</v>
      </c>
      <c r="B34" s="145">
        <v>42948</v>
      </c>
      <c r="C34" s="146">
        <v>0</v>
      </c>
      <c r="D34" s="146">
        <v>202967.02</v>
      </c>
      <c r="E34" s="146">
        <v>-12382.27</v>
      </c>
      <c r="F34" s="146">
        <v>1267453.43</v>
      </c>
      <c r="G34" s="146">
        <v>719681.44</v>
      </c>
      <c r="H34" s="146">
        <v>0</v>
      </c>
      <c r="I34" s="146">
        <v>0</v>
      </c>
      <c r="J34" s="146">
        <f t="shared" si="2"/>
        <v>2177719.62</v>
      </c>
      <c r="K34" s="146">
        <f t="shared" si="3"/>
        <v>2190101.8899999997</v>
      </c>
      <c r="L34" s="146">
        <f>ROUND(K34*L$3,0)</f>
        <v>2159440</v>
      </c>
      <c r="M34" s="146"/>
      <c r="N34" s="146"/>
      <c r="O34" s="146"/>
    </row>
    <row r="35" spans="1:15">
      <c r="A35" s="144">
        <v>27</v>
      </c>
      <c r="B35" s="145">
        <v>42979</v>
      </c>
      <c r="C35" s="146">
        <v>0</v>
      </c>
      <c r="D35" s="146">
        <v>96473.03</v>
      </c>
      <c r="E35" s="146">
        <v>-1606.86</v>
      </c>
      <c r="F35" s="146">
        <v>1861333.42</v>
      </c>
      <c r="G35" s="146">
        <v>-770231.12</v>
      </c>
      <c r="H35" s="146">
        <v>0</v>
      </c>
      <c r="I35" s="146">
        <v>0</v>
      </c>
      <c r="J35" s="146">
        <f t="shared" si="2"/>
        <v>1185968.4699999997</v>
      </c>
      <c r="K35" s="146">
        <f t="shared" si="3"/>
        <v>1187575.33</v>
      </c>
      <c r="L35" s="146">
        <f t="shared" si="1"/>
        <v>1170949</v>
      </c>
      <c r="M35" s="146"/>
      <c r="N35" s="146"/>
      <c r="O35" s="146"/>
    </row>
    <row r="36" spans="1:15">
      <c r="A36" s="144">
        <v>28</v>
      </c>
      <c r="B36" s="145">
        <v>43009</v>
      </c>
      <c r="C36" s="146">
        <v>0</v>
      </c>
      <c r="D36" s="146">
        <v>158467.03</v>
      </c>
      <c r="E36" s="146">
        <v>-9137.89</v>
      </c>
      <c r="F36" s="146">
        <v>1914261.43</v>
      </c>
      <c r="G36" s="146">
        <v>83.49</v>
      </c>
      <c r="H36" s="146">
        <v>0</v>
      </c>
      <c r="I36" s="146">
        <v>0</v>
      </c>
      <c r="J36" s="146">
        <f t="shared" si="2"/>
        <v>2063674.0599999998</v>
      </c>
      <c r="K36" s="146">
        <f t="shared" si="3"/>
        <v>2072811.95</v>
      </c>
      <c r="L36" s="146">
        <f t="shared" si="1"/>
        <v>2043793</v>
      </c>
      <c r="M36" s="146"/>
      <c r="N36" s="146"/>
      <c r="O36" s="146"/>
    </row>
    <row r="37" spans="1:15">
      <c r="A37" s="144">
        <v>29</v>
      </c>
      <c r="B37" s="145">
        <v>43040</v>
      </c>
      <c r="C37" s="146">
        <v>0</v>
      </c>
      <c r="D37" s="146">
        <v>60992.94</v>
      </c>
      <c r="E37" s="146">
        <v>-29399.07</v>
      </c>
      <c r="F37" s="146">
        <v>2372607.75</v>
      </c>
      <c r="G37" s="146">
        <v>9552.2000000000007</v>
      </c>
      <c r="H37" s="146">
        <v>0</v>
      </c>
      <c r="I37" s="146">
        <v>0</v>
      </c>
      <c r="J37" s="146">
        <f t="shared" si="2"/>
        <v>2413753.8200000003</v>
      </c>
      <c r="K37" s="146">
        <f>C37+D37+F37+G37</f>
        <v>2443152.89</v>
      </c>
      <c r="L37" s="146">
        <f t="shared" si="1"/>
        <v>2408949</v>
      </c>
      <c r="M37" s="146"/>
      <c r="N37" s="146"/>
      <c r="O37" s="146"/>
    </row>
    <row r="38" spans="1:15">
      <c r="A38" s="144">
        <v>30</v>
      </c>
      <c r="B38" s="145">
        <v>43070</v>
      </c>
      <c r="C38" s="146">
        <v>0</v>
      </c>
      <c r="D38" s="146">
        <v>168482.38</v>
      </c>
      <c r="E38" s="146">
        <v>-106241.14</v>
      </c>
      <c r="F38" s="146">
        <v>1593368.01</v>
      </c>
      <c r="G38" s="146">
        <v>214.66</v>
      </c>
      <c r="H38" s="146">
        <v>0</v>
      </c>
      <c r="I38" s="146">
        <v>0</v>
      </c>
      <c r="J38" s="146">
        <f>SUM(C38:I38)</f>
        <v>1655823.91</v>
      </c>
      <c r="K38" s="146">
        <f t="shared" si="3"/>
        <v>1762065.05</v>
      </c>
      <c r="L38" s="146">
        <f>ROUND(K38*L$3,0)</f>
        <v>1737396</v>
      </c>
      <c r="M38" s="146"/>
      <c r="N38" s="146"/>
      <c r="O38" s="146"/>
    </row>
    <row r="39" spans="1:15">
      <c r="A39" s="144">
        <v>31</v>
      </c>
      <c r="B39" s="145">
        <v>43101</v>
      </c>
      <c r="C39" s="146">
        <v>0</v>
      </c>
      <c r="D39" s="146">
        <v>83935.54</v>
      </c>
      <c r="E39" s="146">
        <v>-246001.57</v>
      </c>
      <c r="F39" s="146">
        <v>5691030.6699999999</v>
      </c>
      <c r="G39" s="146">
        <v>7221.59</v>
      </c>
      <c r="H39" s="146">
        <v>0</v>
      </c>
      <c r="I39" s="146">
        <v>0</v>
      </c>
      <c r="J39" s="146">
        <f>SUM(C39:I39)</f>
        <v>5536186.2299999995</v>
      </c>
      <c r="K39" s="146">
        <f>C39+D39+F39+G39</f>
        <v>5782187.7999999998</v>
      </c>
      <c r="L39" s="146">
        <f>((K39*0.986)*18/31)+((K39*0.985)*13/31)</f>
        <v>5698812.3823677413</v>
      </c>
      <c r="M39" s="148"/>
      <c r="N39" s="148">
        <v>0.98499999999999999</v>
      </c>
      <c r="O39" s="146"/>
    </row>
    <row r="40" spans="1:15">
      <c r="A40" s="144">
        <v>32</v>
      </c>
      <c r="B40" s="145">
        <v>43132</v>
      </c>
      <c r="C40" s="146">
        <v>0</v>
      </c>
      <c r="D40" s="146">
        <v>69763.009999999995</v>
      </c>
      <c r="E40" s="146"/>
      <c r="F40" s="146">
        <v>2040835.53</v>
      </c>
      <c r="G40" s="146">
        <v>1252.69</v>
      </c>
      <c r="H40" s="146">
        <v>0</v>
      </c>
      <c r="I40" s="146">
        <v>0</v>
      </c>
      <c r="J40" s="146">
        <f t="shared" si="2"/>
        <v>2111851.23</v>
      </c>
      <c r="K40" s="146">
        <f t="shared" si="3"/>
        <v>2111851.23</v>
      </c>
      <c r="L40" s="146">
        <f t="shared" ref="L40:L56" si="4">ROUND(K40*$N$39,0)</f>
        <v>2080173</v>
      </c>
      <c r="M40" s="146"/>
      <c r="N40" s="146"/>
      <c r="O40" s="146"/>
    </row>
    <row r="41" spans="1:15">
      <c r="A41" s="144">
        <v>33</v>
      </c>
      <c r="B41" s="145">
        <v>43160</v>
      </c>
      <c r="C41" s="146">
        <v>0</v>
      </c>
      <c r="D41" s="146">
        <v>202776.11</v>
      </c>
      <c r="E41" s="146">
        <v>-15751.77</v>
      </c>
      <c r="F41" s="146">
        <v>1987232.18</v>
      </c>
      <c r="G41" s="146">
        <v>-2.2599999999999998</v>
      </c>
      <c r="H41" s="146">
        <v>0</v>
      </c>
      <c r="I41" s="146">
        <v>0</v>
      </c>
      <c r="J41" s="146">
        <f t="shared" si="2"/>
        <v>2174254.2600000002</v>
      </c>
      <c r="K41" s="146">
        <f t="shared" si="3"/>
        <v>2190006.0300000003</v>
      </c>
      <c r="L41" s="146">
        <f t="shared" si="4"/>
        <v>2157156</v>
      </c>
      <c r="M41" s="146"/>
      <c r="N41" s="146"/>
      <c r="O41" s="146"/>
    </row>
    <row r="42" spans="1:15">
      <c r="A42" s="144">
        <v>34</v>
      </c>
      <c r="B42" s="145">
        <v>43191</v>
      </c>
      <c r="C42" s="146">
        <v>0</v>
      </c>
      <c r="D42" s="146">
        <v>173483.41</v>
      </c>
      <c r="E42" s="146">
        <v>-4315.7299999999996</v>
      </c>
      <c r="F42" s="146">
        <v>1478853.29</v>
      </c>
      <c r="G42" s="146">
        <v>169.6</v>
      </c>
      <c r="H42" s="146">
        <v>0</v>
      </c>
      <c r="I42" s="146">
        <v>0</v>
      </c>
      <c r="J42" s="146">
        <f t="shared" si="2"/>
        <v>1648190.57</v>
      </c>
      <c r="K42" s="146">
        <f t="shared" si="3"/>
        <v>1652506.3</v>
      </c>
      <c r="L42" s="146">
        <f t="shared" si="4"/>
        <v>1627719</v>
      </c>
      <c r="M42" s="146"/>
      <c r="N42" s="146"/>
      <c r="O42" s="146"/>
    </row>
    <row r="43" spans="1:15">
      <c r="A43" s="144">
        <v>35</v>
      </c>
      <c r="B43" s="145">
        <v>43221</v>
      </c>
      <c r="C43" s="146">
        <v>0</v>
      </c>
      <c r="D43" s="146">
        <v>712963.43</v>
      </c>
      <c r="E43" s="146">
        <v>-201224.56</v>
      </c>
      <c r="F43" s="146">
        <v>2594596.0699999998</v>
      </c>
      <c r="G43" s="146">
        <v>34.65</v>
      </c>
      <c r="H43" s="146">
        <v>0</v>
      </c>
      <c r="I43" s="146">
        <v>0</v>
      </c>
      <c r="J43" s="146">
        <f t="shared" si="2"/>
        <v>3106369.59</v>
      </c>
      <c r="K43" s="146">
        <f t="shared" si="3"/>
        <v>3307594.15</v>
      </c>
      <c r="L43" s="146">
        <f t="shared" si="4"/>
        <v>3257980</v>
      </c>
      <c r="M43" s="146"/>
      <c r="N43" s="146"/>
      <c r="O43" s="146"/>
    </row>
    <row r="44" spans="1:15">
      <c r="A44" s="144">
        <v>36</v>
      </c>
      <c r="B44" s="145">
        <v>43252</v>
      </c>
      <c r="C44" s="146">
        <v>0</v>
      </c>
      <c r="D44" s="146">
        <v>374581.52</v>
      </c>
      <c r="E44" s="146">
        <v>884.1</v>
      </c>
      <c r="F44" s="146">
        <v>3906991.02</v>
      </c>
      <c r="G44" s="146">
        <v>0</v>
      </c>
      <c r="H44" s="146">
        <v>0</v>
      </c>
      <c r="I44" s="146">
        <v>0</v>
      </c>
      <c r="J44" s="146">
        <f>SUM(C44:I44)</f>
        <v>4282456.6399999997</v>
      </c>
      <c r="K44" s="146">
        <f t="shared" si="3"/>
        <v>4281572.54</v>
      </c>
      <c r="L44" s="146">
        <f t="shared" si="4"/>
        <v>4217349</v>
      </c>
      <c r="M44" s="146"/>
      <c r="N44" s="146"/>
      <c r="O44" s="146"/>
    </row>
    <row r="45" spans="1:15">
      <c r="A45" s="144">
        <v>37</v>
      </c>
      <c r="B45" s="145">
        <v>43282</v>
      </c>
      <c r="C45" s="146">
        <v>0</v>
      </c>
      <c r="D45" s="146">
        <v>377841.48</v>
      </c>
      <c r="E45" s="146">
        <v>-1094.02</v>
      </c>
      <c r="F45" s="146">
        <v>2341549.5499999998</v>
      </c>
      <c r="G45" s="146">
        <v>169.6</v>
      </c>
      <c r="H45" s="146">
        <v>0</v>
      </c>
      <c r="I45" s="146">
        <v>0</v>
      </c>
      <c r="J45" s="146">
        <f t="shared" si="2"/>
        <v>2718466.61</v>
      </c>
      <c r="K45" s="146">
        <f t="shared" si="3"/>
        <v>2719560.63</v>
      </c>
      <c r="L45" s="146">
        <f t="shared" si="4"/>
        <v>2678767</v>
      </c>
      <c r="M45" s="146"/>
      <c r="N45" s="146"/>
      <c r="O45" s="146"/>
    </row>
    <row r="46" spans="1:15">
      <c r="A46" s="144">
        <v>38</v>
      </c>
      <c r="B46" s="145">
        <v>43313</v>
      </c>
      <c r="C46" s="146">
        <v>0</v>
      </c>
      <c r="D46" s="146">
        <v>359987.6</v>
      </c>
      <c r="E46" s="146">
        <v>253.45</v>
      </c>
      <c r="F46" s="146">
        <v>2560375.5499999998</v>
      </c>
      <c r="G46" s="146">
        <v>0</v>
      </c>
      <c r="H46" s="146">
        <v>0</v>
      </c>
      <c r="I46" s="146">
        <v>0</v>
      </c>
      <c r="J46" s="146">
        <f t="shared" si="2"/>
        <v>2920616.5999999996</v>
      </c>
      <c r="K46" s="146">
        <f t="shared" si="3"/>
        <v>2920363.15</v>
      </c>
      <c r="L46" s="146">
        <f t="shared" si="4"/>
        <v>2876558</v>
      </c>
      <c r="M46" s="146"/>
      <c r="N46" s="146"/>
      <c r="O46" s="146"/>
    </row>
    <row r="47" spans="1:15">
      <c r="A47" s="144">
        <v>39</v>
      </c>
      <c r="B47" s="145">
        <v>43344</v>
      </c>
      <c r="C47" s="146">
        <v>0</v>
      </c>
      <c r="D47" s="146">
        <v>539246.29</v>
      </c>
      <c r="E47" s="146">
        <v>-3071.02</v>
      </c>
      <c r="F47" s="146">
        <v>687581.72</v>
      </c>
      <c r="G47" s="146">
        <v>0</v>
      </c>
      <c r="H47" s="146">
        <v>0</v>
      </c>
      <c r="I47" s="146">
        <v>0</v>
      </c>
      <c r="J47" s="146">
        <f>SUM(C47:I47)</f>
        <v>1223756.99</v>
      </c>
      <c r="K47" s="146">
        <f>C47+D47+F47+G47</f>
        <v>1226828.01</v>
      </c>
      <c r="L47" s="146">
        <f t="shared" si="4"/>
        <v>1208426</v>
      </c>
      <c r="M47" s="146"/>
      <c r="N47" s="146"/>
      <c r="O47" s="146"/>
    </row>
    <row r="48" spans="1:15">
      <c r="A48" s="144">
        <v>40</v>
      </c>
      <c r="B48" s="145">
        <v>43374</v>
      </c>
      <c r="C48" s="146">
        <v>0</v>
      </c>
      <c r="D48" s="146">
        <v>1218591.97</v>
      </c>
      <c r="E48" s="146">
        <v>918.36</v>
      </c>
      <c r="F48" s="146">
        <v>3093410.84</v>
      </c>
      <c r="G48" s="146">
        <v>169.6</v>
      </c>
      <c r="H48" s="146">
        <v>0</v>
      </c>
      <c r="I48" s="146">
        <v>0</v>
      </c>
      <c r="J48" s="146">
        <f t="shared" si="2"/>
        <v>4313090.7699999996</v>
      </c>
      <c r="K48" s="146">
        <f t="shared" si="3"/>
        <v>4312172.4099999992</v>
      </c>
      <c r="L48" s="146">
        <f t="shared" si="4"/>
        <v>4247490</v>
      </c>
      <c r="M48" s="146"/>
      <c r="N48" s="146"/>
      <c r="O48" s="146"/>
    </row>
    <row r="49" spans="1:15">
      <c r="A49" s="144">
        <v>41</v>
      </c>
      <c r="B49" s="145">
        <v>43405</v>
      </c>
      <c r="C49" s="146">
        <v>0</v>
      </c>
      <c r="D49" s="146">
        <v>1490196.96</v>
      </c>
      <c r="E49" s="146">
        <v>2050.94</v>
      </c>
      <c r="F49" s="146">
        <v>2070141.22</v>
      </c>
      <c r="G49" s="146">
        <v>38628.230000000003</v>
      </c>
      <c r="H49" s="146">
        <v>0</v>
      </c>
      <c r="I49" s="146">
        <v>0</v>
      </c>
      <c r="J49" s="146">
        <f t="shared" si="2"/>
        <v>3601017.35</v>
      </c>
      <c r="K49" s="146">
        <f t="shared" si="3"/>
        <v>3598966.4099999997</v>
      </c>
      <c r="L49" s="146">
        <f t="shared" si="4"/>
        <v>3544982</v>
      </c>
      <c r="M49" s="146"/>
      <c r="N49" s="146"/>
      <c r="O49" s="146"/>
    </row>
    <row r="50" spans="1:15">
      <c r="A50" s="144">
        <v>42</v>
      </c>
      <c r="B50" s="145">
        <v>43435</v>
      </c>
      <c r="C50" s="146">
        <v>-649655.75</v>
      </c>
      <c r="D50" s="146">
        <v>537936.81999999995</v>
      </c>
      <c r="E50" s="146">
        <v>-71468.960000000006</v>
      </c>
      <c r="F50" s="146">
        <v>1545285.89</v>
      </c>
      <c r="G50" s="146">
        <v>17038.62</v>
      </c>
      <c r="H50" s="146">
        <v>0</v>
      </c>
      <c r="I50" s="146">
        <v>0</v>
      </c>
      <c r="J50" s="146">
        <f t="shared" si="2"/>
        <v>1379136.6199999999</v>
      </c>
      <c r="K50" s="146">
        <f t="shared" si="3"/>
        <v>1450605.58</v>
      </c>
      <c r="L50" s="146">
        <f t="shared" si="4"/>
        <v>1428846</v>
      </c>
      <c r="M50" s="146"/>
      <c r="N50" s="146"/>
      <c r="O50" s="146"/>
    </row>
    <row r="51" spans="1:15">
      <c r="A51" s="144">
        <v>43</v>
      </c>
      <c r="B51" s="145">
        <v>43466</v>
      </c>
      <c r="C51" s="146">
        <v>0</v>
      </c>
      <c r="D51" s="146">
        <v>872201.72</v>
      </c>
      <c r="E51" s="146">
        <v>0</v>
      </c>
      <c r="F51" s="146">
        <v>1420908.27</v>
      </c>
      <c r="G51" s="146">
        <v>0</v>
      </c>
      <c r="H51" s="146">
        <v>0</v>
      </c>
      <c r="I51" s="146">
        <v>0</v>
      </c>
      <c r="J51" s="146">
        <f t="shared" si="2"/>
        <v>2293109.9900000002</v>
      </c>
      <c r="K51" s="146">
        <f>C51+D51+F51+G51</f>
        <v>2293109.9900000002</v>
      </c>
      <c r="L51" s="146">
        <f t="shared" si="4"/>
        <v>2258713</v>
      </c>
      <c r="M51" s="146"/>
      <c r="N51" s="146"/>
      <c r="O51" s="146"/>
    </row>
    <row r="52" spans="1:15">
      <c r="A52" s="144">
        <v>44</v>
      </c>
      <c r="B52" s="145">
        <v>43497</v>
      </c>
      <c r="C52" s="146">
        <v>0</v>
      </c>
      <c r="D52" s="146">
        <v>32376.43</v>
      </c>
      <c r="E52" s="146">
        <v>0</v>
      </c>
      <c r="F52" s="146">
        <v>1270081.71</v>
      </c>
      <c r="G52" s="146">
        <v>169.71</v>
      </c>
      <c r="H52" s="146">
        <v>0</v>
      </c>
      <c r="I52" s="146">
        <v>0</v>
      </c>
      <c r="J52" s="146">
        <f t="shared" si="2"/>
        <v>1302627.8499999999</v>
      </c>
      <c r="K52" s="146">
        <f t="shared" si="3"/>
        <v>1302627.8499999999</v>
      </c>
      <c r="L52" s="146">
        <f t="shared" si="4"/>
        <v>1283088</v>
      </c>
      <c r="M52" s="146"/>
      <c r="N52" s="146"/>
      <c r="O52" s="146"/>
    </row>
    <row r="53" spans="1:15">
      <c r="A53" s="144">
        <v>45</v>
      </c>
      <c r="B53" s="145">
        <v>43525</v>
      </c>
      <c r="C53" s="146">
        <v>0</v>
      </c>
      <c r="D53" s="146">
        <v>904388.41</v>
      </c>
      <c r="E53" s="146">
        <v>0</v>
      </c>
      <c r="F53" s="146">
        <v>1378850.18</v>
      </c>
      <c r="G53" s="146">
        <v>-11802.43</v>
      </c>
      <c r="H53" s="146">
        <v>0</v>
      </c>
      <c r="I53" s="146">
        <v>0</v>
      </c>
      <c r="J53" s="146">
        <f t="shared" si="2"/>
        <v>2271436.1599999997</v>
      </c>
      <c r="K53" s="146">
        <f t="shared" si="3"/>
        <v>2271436.1599999997</v>
      </c>
      <c r="L53" s="146">
        <f t="shared" si="4"/>
        <v>2237365</v>
      </c>
      <c r="M53" s="146"/>
      <c r="N53" s="146"/>
      <c r="O53" s="146"/>
    </row>
    <row r="54" spans="1:15">
      <c r="A54" s="144">
        <v>46</v>
      </c>
      <c r="B54" s="145">
        <v>43556</v>
      </c>
      <c r="C54" s="146">
        <v>0</v>
      </c>
      <c r="D54" s="146">
        <v>732592.23</v>
      </c>
      <c r="E54" s="146">
        <v>0</v>
      </c>
      <c r="F54" s="146">
        <v>1933521.66</v>
      </c>
      <c r="G54" s="146">
        <v>159.24</v>
      </c>
      <c r="H54" s="146">
        <v>0</v>
      </c>
      <c r="I54" s="146">
        <v>0</v>
      </c>
      <c r="J54" s="146">
        <f t="shared" si="2"/>
        <v>2666273.13</v>
      </c>
      <c r="K54" s="146">
        <f t="shared" si="3"/>
        <v>2666273.13</v>
      </c>
      <c r="L54" s="146">
        <f t="shared" si="4"/>
        <v>2626279</v>
      </c>
      <c r="M54" s="146"/>
      <c r="N54" s="146"/>
      <c r="O54" s="146"/>
    </row>
    <row r="55" spans="1:15">
      <c r="A55" s="144">
        <v>47</v>
      </c>
      <c r="B55" s="145">
        <v>43586</v>
      </c>
      <c r="C55" s="146">
        <v>-37223</v>
      </c>
      <c r="D55" s="146">
        <v>-90297.73</v>
      </c>
      <c r="E55" s="146">
        <v>0</v>
      </c>
      <c r="F55" s="146">
        <v>3195681.3</v>
      </c>
      <c r="G55" s="146">
        <v>515.04999999999995</v>
      </c>
      <c r="H55" s="146">
        <v>0</v>
      </c>
      <c r="I55" s="146">
        <v>0</v>
      </c>
      <c r="J55" s="146">
        <f t="shared" si="2"/>
        <v>3068675.6199999996</v>
      </c>
      <c r="K55" s="146">
        <f t="shared" si="3"/>
        <v>3068675.6199999996</v>
      </c>
      <c r="L55" s="146">
        <f t="shared" si="4"/>
        <v>3022645</v>
      </c>
      <c r="M55" s="146"/>
      <c r="N55" s="146"/>
      <c r="O55" s="146"/>
    </row>
    <row r="56" spans="1:15">
      <c r="A56" s="144">
        <v>48</v>
      </c>
      <c r="B56" s="145">
        <v>43617</v>
      </c>
      <c r="C56" s="146">
        <v>0</v>
      </c>
      <c r="D56" s="146">
        <v>41296.35</v>
      </c>
      <c r="E56" s="146">
        <v>0</v>
      </c>
      <c r="F56" s="146">
        <v>3045212.7</v>
      </c>
      <c r="G56" s="146">
        <v>0</v>
      </c>
      <c r="H56" s="146">
        <v>0</v>
      </c>
      <c r="I56" s="146">
        <v>0</v>
      </c>
      <c r="J56" s="146">
        <f t="shared" si="2"/>
        <v>3086509.0500000003</v>
      </c>
      <c r="K56" s="146">
        <f t="shared" si="3"/>
        <v>3086509.0500000003</v>
      </c>
      <c r="L56" s="146">
        <f t="shared" si="4"/>
        <v>3040211</v>
      </c>
      <c r="M56" s="146"/>
      <c r="N56" s="146"/>
      <c r="O56" s="146"/>
    </row>
    <row r="57" spans="1:15">
      <c r="A57" s="144">
        <v>49</v>
      </c>
      <c r="B57" s="145">
        <v>43647</v>
      </c>
      <c r="C57" s="146"/>
      <c r="D57" s="146">
        <v>267634.58</v>
      </c>
      <c r="E57" s="146"/>
      <c r="F57" s="146">
        <v>1965093.98</v>
      </c>
      <c r="G57" s="146">
        <v>1952.91</v>
      </c>
      <c r="H57" s="146"/>
      <c r="I57" s="146"/>
      <c r="J57" s="146">
        <f t="shared" si="2"/>
        <v>2234681.4700000002</v>
      </c>
      <c r="K57" s="146">
        <f t="shared" si="3"/>
        <v>2234681.4700000002</v>
      </c>
      <c r="L57" s="146">
        <f t="shared" ref="L57" si="5">ROUND(K57*$N$39,0)</f>
        <v>2201161</v>
      </c>
      <c r="M57" s="146"/>
      <c r="N57" s="146"/>
      <c r="O57" s="146"/>
    </row>
    <row r="58" spans="1:15">
      <c r="A58" s="144">
        <v>50</v>
      </c>
      <c r="B58" s="145">
        <v>43678</v>
      </c>
      <c r="C58" s="146"/>
      <c r="D58" s="146">
        <v>178164.23</v>
      </c>
      <c r="E58" s="146"/>
      <c r="F58" s="146">
        <v>2081220.31</v>
      </c>
      <c r="G58" s="146">
        <v>2916.3100000000049</v>
      </c>
      <c r="H58" s="146"/>
      <c r="I58" s="146"/>
      <c r="J58" s="146">
        <f t="shared" si="2"/>
        <v>2262300.85</v>
      </c>
      <c r="K58" s="146">
        <f t="shared" si="3"/>
        <v>2262300.85</v>
      </c>
      <c r="L58" s="146">
        <f t="shared" ref="L58:L66" si="6">ROUND(K58*$N$39,0)</f>
        <v>2228366</v>
      </c>
      <c r="M58" s="146"/>
      <c r="N58" s="146"/>
      <c r="O58" s="146"/>
    </row>
    <row r="59" spans="1:15">
      <c r="A59" s="144">
        <v>51</v>
      </c>
      <c r="B59" s="145">
        <v>43709</v>
      </c>
      <c r="C59" s="146"/>
      <c r="D59" s="146">
        <v>174172.91</v>
      </c>
      <c r="E59" s="146"/>
      <c r="F59" s="146">
        <v>2069345.97</v>
      </c>
      <c r="G59" s="146">
        <v>949.70999999999913</v>
      </c>
      <c r="H59" s="146"/>
      <c r="I59" s="146"/>
      <c r="J59" s="146">
        <f t="shared" si="2"/>
        <v>2244468.59</v>
      </c>
      <c r="K59" s="146">
        <f t="shared" si="3"/>
        <v>2244468.59</v>
      </c>
      <c r="L59" s="146">
        <f t="shared" si="6"/>
        <v>2210802</v>
      </c>
      <c r="M59" s="146"/>
      <c r="N59" s="146"/>
      <c r="O59" s="146"/>
    </row>
    <row r="60" spans="1:15">
      <c r="A60" s="144">
        <v>52</v>
      </c>
      <c r="B60" s="145">
        <v>43739</v>
      </c>
      <c r="C60" s="146"/>
      <c r="D60" s="146">
        <v>159708.5</v>
      </c>
      <c r="E60" s="146"/>
      <c r="F60" s="146">
        <v>2061766.35</v>
      </c>
      <c r="G60" s="146">
        <v>9615.7099999999991</v>
      </c>
      <c r="H60" s="146"/>
      <c r="I60" s="146"/>
      <c r="J60" s="146">
        <f t="shared" si="2"/>
        <v>2231090.56</v>
      </c>
      <c r="K60" s="146">
        <f t="shared" si="3"/>
        <v>2231090.56</v>
      </c>
      <c r="L60" s="146">
        <f t="shared" si="6"/>
        <v>2197624</v>
      </c>
      <c r="M60" s="146"/>
      <c r="N60" s="146"/>
      <c r="O60" s="146"/>
    </row>
    <row r="61" spans="1:15">
      <c r="A61" s="144">
        <v>53</v>
      </c>
      <c r="B61" s="145">
        <v>43770</v>
      </c>
      <c r="C61" s="146"/>
      <c r="D61" s="146">
        <v>140943.1</v>
      </c>
      <c r="E61" s="146"/>
      <c r="F61" s="146">
        <v>1733190.08</v>
      </c>
      <c r="G61" s="146">
        <v>1308.7000000000007</v>
      </c>
      <c r="H61" s="146"/>
      <c r="I61" s="146"/>
      <c r="J61" s="146">
        <f t="shared" si="2"/>
        <v>1875441.8800000001</v>
      </c>
      <c r="K61" s="146">
        <f t="shared" si="3"/>
        <v>1875441.8800000001</v>
      </c>
      <c r="L61" s="146">
        <f t="shared" si="6"/>
        <v>1847310</v>
      </c>
      <c r="M61" s="146"/>
      <c r="N61" s="146"/>
      <c r="O61" s="146"/>
    </row>
    <row r="62" spans="1:15">
      <c r="A62" s="144">
        <v>54</v>
      </c>
      <c r="B62" s="145">
        <v>43800</v>
      </c>
      <c r="C62" s="146">
        <v>-3</v>
      </c>
      <c r="D62" s="146">
        <v>185123.49</v>
      </c>
      <c r="E62" s="146"/>
      <c r="F62" s="146">
        <v>872484.26</v>
      </c>
      <c r="G62" s="146">
        <v>188.75</v>
      </c>
      <c r="H62" s="146"/>
      <c r="I62" s="146"/>
      <c r="J62" s="146">
        <f t="shared" si="2"/>
        <v>1057793.5</v>
      </c>
      <c r="K62" s="146">
        <f t="shared" si="3"/>
        <v>1057793.5</v>
      </c>
      <c r="L62" s="146">
        <f t="shared" si="6"/>
        <v>1041927</v>
      </c>
      <c r="M62" s="146"/>
      <c r="N62" s="146"/>
      <c r="O62" s="146"/>
    </row>
    <row r="63" spans="1:15">
      <c r="A63" s="144">
        <v>55</v>
      </c>
      <c r="B63" s="145">
        <v>43831</v>
      </c>
      <c r="C63" s="146"/>
      <c r="D63" s="146">
        <v>156264.07</v>
      </c>
      <c r="E63" s="146"/>
      <c r="F63" s="146">
        <v>1210306.32</v>
      </c>
      <c r="G63" s="146">
        <v>469.06999999999971</v>
      </c>
      <c r="H63" s="146"/>
      <c r="I63" s="146"/>
      <c r="J63" s="146">
        <f t="shared" si="2"/>
        <v>1367039.4600000002</v>
      </c>
      <c r="K63" s="146">
        <f t="shared" si="3"/>
        <v>1367039.4600000002</v>
      </c>
      <c r="L63" s="146">
        <f t="shared" si="6"/>
        <v>1346534</v>
      </c>
      <c r="M63" s="146"/>
      <c r="N63" s="146"/>
      <c r="O63" s="146"/>
    </row>
    <row r="64" spans="1:15">
      <c r="A64" s="144">
        <v>56</v>
      </c>
      <c r="B64" s="145">
        <v>43862</v>
      </c>
      <c r="C64" s="146"/>
      <c r="D64" s="146">
        <v>106914.89</v>
      </c>
      <c r="E64" s="146"/>
      <c r="F64" s="146">
        <v>1071826.28</v>
      </c>
      <c r="G64" s="146">
        <v>-3448.0699999999979</v>
      </c>
      <c r="H64" s="146"/>
      <c r="I64" s="146"/>
      <c r="J64" s="146">
        <f t="shared" si="2"/>
        <v>1175293.0999999999</v>
      </c>
      <c r="K64" s="146">
        <f t="shared" si="3"/>
        <v>1175293.0999999999</v>
      </c>
      <c r="L64" s="146">
        <f>ROUND(K64*$N$39,0)</f>
        <v>1157664</v>
      </c>
      <c r="M64" s="146"/>
      <c r="N64" s="146"/>
      <c r="O64" s="146"/>
    </row>
    <row r="65" spans="1:15">
      <c r="A65" s="144">
        <v>57</v>
      </c>
      <c r="B65" s="145">
        <v>43891</v>
      </c>
      <c r="C65" s="146"/>
      <c r="D65" s="146">
        <v>199508.74</v>
      </c>
      <c r="E65" s="146"/>
      <c r="F65" s="146">
        <v>1042586.97</v>
      </c>
      <c r="G65" s="146">
        <v>4632.0399999999991</v>
      </c>
      <c r="H65" s="146"/>
      <c r="I65" s="146"/>
      <c r="J65" s="146">
        <f t="shared" si="2"/>
        <v>1246727.75</v>
      </c>
      <c r="K65" s="146">
        <f t="shared" si="3"/>
        <v>1246727.75</v>
      </c>
      <c r="L65" s="146">
        <f t="shared" si="6"/>
        <v>1228027</v>
      </c>
      <c r="M65" s="146"/>
      <c r="N65" s="146"/>
      <c r="O65" s="146"/>
    </row>
    <row r="66" spans="1:15">
      <c r="A66" s="144">
        <v>58</v>
      </c>
      <c r="B66" s="145">
        <v>43922</v>
      </c>
      <c r="C66" s="146"/>
      <c r="D66" s="146">
        <v>36576.82</v>
      </c>
      <c r="E66" s="146"/>
      <c r="F66" s="146">
        <v>700217.91</v>
      </c>
      <c r="G66" s="146">
        <v>27.3700000000008</v>
      </c>
      <c r="H66" s="146"/>
      <c r="I66" s="146"/>
      <c r="J66" s="146">
        <f t="shared" si="2"/>
        <v>736822.1</v>
      </c>
      <c r="K66" s="146">
        <f t="shared" si="3"/>
        <v>736822.1</v>
      </c>
      <c r="L66" s="146">
        <f t="shared" si="6"/>
        <v>725770</v>
      </c>
      <c r="M66" s="146"/>
      <c r="N66" s="146"/>
      <c r="O66" s="146"/>
    </row>
    <row r="67" spans="1:15">
      <c r="A67" s="144">
        <v>59</v>
      </c>
      <c r="B67" s="145">
        <v>43952</v>
      </c>
      <c r="C67" s="146"/>
      <c r="D67" s="146">
        <v>238508.22</v>
      </c>
      <c r="E67" s="146"/>
      <c r="F67" s="146">
        <v>1392534.54</v>
      </c>
      <c r="G67" s="146">
        <v>154.77999999999884</v>
      </c>
      <c r="H67" s="146"/>
      <c r="I67" s="146"/>
      <c r="J67" s="146">
        <f>SUM(C67:I67)</f>
        <v>1631197.54</v>
      </c>
      <c r="K67" s="146">
        <f>C67+D67+F67+G67</f>
        <v>1631197.54</v>
      </c>
      <c r="L67" s="146">
        <f>ROUND(K67*$N$39,0)</f>
        <v>1606730</v>
      </c>
      <c r="M67" s="146"/>
      <c r="N67" s="146"/>
      <c r="O67" s="146"/>
    </row>
    <row r="68" spans="1:15">
      <c r="A68" s="144">
        <v>60</v>
      </c>
      <c r="B68" s="145">
        <v>43983</v>
      </c>
      <c r="C68" s="146"/>
      <c r="D68" s="146">
        <v>131320.62</v>
      </c>
      <c r="E68" s="146"/>
      <c r="F68" s="146">
        <v>1766325.8899999857</v>
      </c>
      <c r="G68" s="146">
        <v>0</v>
      </c>
      <c r="H68" s="146"/>
      <c r="I68" s="146"/>
      <c r="J68" s="146">
        <f t="shared" si="2"/>
        <v>1897646.5099999858</v>
      </c>
      <c r="K68" s="146">
        <f t="shared" si="3"/>
        <v>1897646.5099999858</v>
      </c>
      <c r="L68" s="146">
        <f>ROUND(K68*$N$39,0)</f>
        <v>1869182</v>
      </c>
      <c r="M68" s="146"/>
      <c r="N68" s="146"/>
      <c r="O68" s="146"/>
    </row>
    <row r="69" spans="1:15">
      <c r="A69" s="144">
        <v>61</v>
      </c>
      <c r="B69" s="145">
        <v>44013</v>
      </c>
      <c r="C69" s="146"/>
      <c r="D69" s="146">
        <v>218871.05</v>
      </c>
      <c r="E69" s="146"/>
      <c r="F69" s="146">
        <v>2033181.89</v>
      </c>
      <c r="G69" s="146">
        <v>0</v>
      </c>
      <c r="H69" s="146"/>
      <c r="I69" s="146"/>
      <c r="J69" s="146">
        <f>SUM(C69:I69)</f>
        <v>2252052.94</v>
      </c>
      <c r="K69" s="146">
        <f>C69+D69+F69+G69</f>
        <v>2252052.94</v>
      </c>
      <c r="L69" s="146">
        <f t="shared" ref="L69:L80" si="7">ROUND(K69*$N$39,0)</f>
        <v>2218272</v>
      </c>
      <c r="M69" s="146"/>
      <c r="N69" s="146"/>
      <c r="O69" s="146"/>
    </row>
    <row r="70" spans="1:15">
      <c r="A70" s="144">
        <v>62</v>
      </c>
      <c r="B70" s="145">
        <v>44044</v>
      </c>
      <c r="C70" s="146"/>
      <c r="D70" s="146">
        <v>66189.600000000006</v>
      </c>
      <c r="E70" s="146"/>
      <c r="F70" s="146">
        <v>1403715.1</v>
      </c>
      <c r="G70" s="146">
        <v>0</v>
      </c>
      <c r="H70" s="146"/>
      <c r="I70" s="146"/>
      <c r="J70" s="146">
        <f t="shared" si="2"/>
        <v>1469904.7000000002</v>
      </c>
      <c r="K70" s="146">
        <f t="shared" si="3"/>
        <v>1469904.7000000002</v>
      </c>
      <c r="L70" s="146">
        <f t="shared" si="7"/>
        <v>1447856</v>
      </c>
      <c r="M70" s="146"/>
      <c r="N70" s="146"/>
      <c r="O70" s="146"/>
    </row>
    <row r="71" spans="1:15">
      <c r="A71" s="144">
        <v>63</v>
      </c>
      <c r="B71" s="145">
        <v>44075</v>
      </c>
      <c r="C71" s="146"/>
      <c r="D71" s="146">
        <v>151313.71</v>
      </c>
      <c r="E71" s="146"/>
      <c r="F71" s="146">
        <v>2538591.3199999998</v>
      </c>
      <c r="G71" s="146">
        <v>0</v>
      </c>
      <c r="H71" s="146"/>
      <c r="I71" s="146"/>
      <c r="J71" s="146">
        <f t="shared" si="2"/>
        <v>2689905.03</v>
      </c>
      <c r="K71" s="146">
        <f t="shared" si="3"/>
        <v>2689905.03</v>
      </c>
      <c r="L71" s="146">
        <f t="shared" si="7"/>
        <v>2649556</v>
      </c>
      <c r="M71" s="146"/>
      <c r="N71" s="146"/>
      <c r="O71" s="146"/>
    </row>
    <row r="72" spans="1:15">
      <c r="A72" s="144">
        <v>64</v>
      </c>
      <c r="B72" s="145">
        <v>44105</v>
      </c>
      <c r="C72" s="146"/>
      <c r="D72" s="146">
        <v>287853.42</v>
      </c>
      <c r="E72" s="146"/>
      <c r="F72" s="146">
        <v>3605352.19</v>
      </c>
      <c r="G72" s="146">
        <v>0</v>
      </c>
      <c r="H72" s="146"/>
      <c r="I72" s="146"/>
      <c r="J72" s="146">
        <f t="shared" si="2"/>
        <v>3893205.61</v>
      </c>
      <c r="K72" s="146">
        <f t="shared" si="3"/>
        <v>3893205.61</v>
      </c>
      <c r="L72" s="146">
        <f t="shared" si="7"/>
        <v>3834808</v>
      </c>
      <c r="M72" s="146"/>
      <c r="N72" s="146"/>
      <c r="O72" s="146"/>
    </row>
    <row r="73" spans="1:15">
      <c r="A73" s="144">
        <v>65</v>
      </c>
      <c r="B73" s="145">
        <v>44136</v>
      </c>
      <c r="C73" s="146"/>
      <c r="D73" s="146">
        <v>747186.36</v>
      </c>
      <c r="E73" s="146"/>
      <c r="F73" s="146">
        <v>1807876.01</v>
      </c>
      <c r="G73" s="146">
        <v>423</v>
      </c>
      <c r="H73" s="146"/>
      <c r="I73" s="146"/>
      <c r="J73" s="146">
        <f t="shared" si="2"/>
        <v>2555485.37</v>
      </c>
      <c r="K73" s="146">
        <f t="shared" si="3"/>
        <v>2555485.37</v>
      </c>
      <c r="L73" s="146">
        <f t="shared" si="7"/>
        <v>2517153</v>
      </c>
      <c r="M73" s="146"/>
      <c r="N73" s="146"/>
      <c r="O73" s="146"/>
    </row>
    <row r="74" spans="1:15">
      <c r="A74" s="144">
        <v>66</v>
      </c>
      <c r="B74" s="145">
        <v>44166</v>
      </c>
      <c r="C74" s="146"/>
      <c r="D74" s="146">
        <v>217963.23</v>
      </c>
      <c r="E74" s="146"/>
      <c r="F74" s="146">
        <v>1203956.56</v>
      </c>
      <c r="G74" s="146">
        <v>0</v>
      </c>
      <c r="H74" s="146"/>
      <c r="I74" s="146"/>
      <c r="J74" s="146">
        <f t="shared" ref="J74:J137" si="8">SUM(C74:I74)</f>
        <v>1421919.79</v>
      </c>
      <c r="K74" s="146">
        <f t="shared" si="3"/>
        <v>1421919.79</v>
      </c>
      <c r="L74" s="146">
        <f t="shared" si="7"/>
        <v>1400591</v>
      </c>
      <c r="M74" s="146"/>
      <c r="N74" s="146"/>
      <c r="O74" s="146"/>
    </row>
    <row r="75" spans="1:15">
      <c r="A75" s="144">
        <v>67</v>
      </c>
      <c r="B75" s="145">
        <v>44197</v>
      </c>
      <c r="C75" s="146"/>
      <c r="D75" s="146">
        <v>76135.199999999997</v>
      </c>
      <c r="E75" s="146"/>
      <c r="F75" s="146">
        <v>624509.17000000004</v>
      </c>
      <c r="G75" s="146"/>
      <c r="H75" s="146"/>
      <c r="I75" s="146"/>
      <c r="J75" s="146">
        <f t="shared" si="8"/>
        <v>700644.37</v>
      </c>
      <c r="K75" s="146">
        <f t="shared" si="3"/>
        <v>700644.37</v>
      </c>
      <c r="L75" s="146">
        <f t="shared" si="7"/>
        <v>690135</v>
      </c>
      <c r="M75" s="146"/>
      <c r="N75" s="146"/>
      <c r="O75" s="146"/>
    </row>
    <row r="76" spans="1:15">
      <c r="A76" s="144">
        <v>68</v>
      </c>
      <c r="B76" s="145">
        <v>44228</v>
      </c>
      <c r="C76" s="146"/>
      <c r="D76" s="146">
        <v>78671.23</v>
      </c>
      <c r="E76" s="146"/>
      <c r="F76" s="146">
        <v>241314.94</v>
      </c>
      <c r="G76" s="146"/>
      <c r="H76" s="146"/>
      <c r="I76" s="146"/>
      <c r="J76" s="146">
        <f t="shared" si="8"/>
        <v>319986.17</v>
      </c>
      <c r="K76" s="146">
        <f t="shared" si="3"/>
        <v>319986.17</v>
      </c>
      <c r="L76" s="146">
        <f t="shared" si="7"/>
        <v>315186</v>
      </c>
      <c r="M76" s="146"/>
      <c r="N76" s="146"/>
      <c r="O76" s="146"/>
    </row>
    <row r="77" spans="1:15">
      <c r="A77" s="144">
        <v>69</v>
      </c>
      <c r="B77" s="145">
        <v>44256</v>
      </c>
      <c r="C77" s="146"/>
      <c r="D77" s="146">
        <v>126562.78</v>
      </c>
      <c r="E77" s="146"/>
      <c r="F77" s="146">
        <v>224122.19</v>
      </c>
      <c r="G77" s="146"/>
      <c r="H77" s="146"/>
      <c r="I77" s="146"/>
      <c r="J77" s="146">
        <f t="shared" si="8"/>
        <v>350684.97</v>
      </c>
      <c r="K77" s="146">
        <f t="shared" si="3"/>
        <v>350684.97</v>
      </c>
      <c r="L77" s="146">
        <f t="shared" si="7"/>
        <v>345425</v>
      </c>
      <c r="M77" s="146"/>
      <c r="N77" s="146"/>
      <c r="O77" s="146"/>
    </row>
    <row r="78" spans="1:15">
      <c r="A78" s="144">
        <v>70</v>
      </c>
      <c r="B78" s="145">
        <v>44287</v>
      </c>
      <c r="C78" s="146"/>
      <c r="D78" s="146">
        <v>122958.99</v>
      </c>
      <c r="E78" s="146"/>
      <c r="F78" s="146">
        <v>487661.58</v>
      </c>
      <c r="G78" s="146">
        <v>1089.3399999999999</v>
      </c>
      <c r="H78" s="146"/>
      <c r="I78" s="146"/>
      <c r="J78" s="146">
        <f t="shared" si="8"/>
        <v>611709.91</v>
      </c>
      <c r="K78" s="146">
        <f t="shared" si="3"/>
        <v>611709.91</v>
      </c>
      <c r="L78" s="146">
        <f t="shared" si="7"/>
        <v>602534</v>
      </c>
      <c r="M78" s="146"/>
      <c r="N78" s="146"/>
      <c r="O78" s="146"/>
    </row>
    <row r="79" spans="1:15">
      <c r="A79" s="144">
        <v>71</v>
      </c>
      <c r="B79" s="145">
        <v>44317</v>
      </c>
      <c r="C79" s="146"/>
      <c r="D79" s="146">
        <v>393721.41</v>
      </c>
      <c r="E79" s="146"/>
      <c r="F79" s="146">
        <v>269298.28000000003</v>
      </c>
      <c r="G79" s="146">
        <v>75.67</v>
      </c>
      <c r="H79" s="146"/>
      <c r="I79" s="146"/>
      <c r="J79" s="146">
        <f t="shared" si="8"/>
        <v>663095.36</v>
      </c>
      <c r="K79" s="146">
        <f t="shared" si="3"/>
        <v>663095.36</v>
      </c>
      <c r="L79" s="146">
        <f t="shared" si="7"/>
        <v>653149</v>
      </c>
      <c r="M79" s="146"/>
      <c r="N79" s="146"/>
      <c r="O79" s="146"/>
    </row>
    <row r="80" spans="1:15">
      <c r="A80" s="144">
        <v>72</v>
      </c>
      <c r="B80" s="145">
        <v>44348</v>
      </c>
      <c r="C80" s="146"/>
      <c r="D80" s="146">
        <v>103443.43</v>
      </c>
      <c r="E80" s="146"/>
      <c r="F80" s="146">
        <v>251345.56</v>
      </c>
      <c r="G80" s="146"/>
      <c r="H80" s="146"/>
      <c r="I80" s="146"/>
      <c r="J80" s="146">
        <f t="shared" si="8"/>
        <v>354788.99</v>
      </c>
      <c r="K80" s="146">
        <f t="shared" si="3"/>
        <v>354788.99</v>
      </c>
      <c r="L80" s="146">
        <f t="shared" si="7"/>
        <v>349467</v>
      </c>
      <c r="M80" s="146"/>
      <c r="N80" s="146"/>
      <c r="O80" s="146"/>
    </row>
    <row r="81" spans="1:15">
      <c r="A81" s="144">
        <v>73</v>
      </c>
      <c r="B81" s="145">
        <v>44378</v>
      </c>
      <c r="C81" s="146"/>
      <c r="D81" s="146">
        <v>90822.36</v>
      </c>
      <c r="E81" s="146"/>
      <c r="F81" s="146">
        <v>78588.710000000006</v>
      </c>
      <c r="G81" s="146">
        <v>145.34</v>
      </c>
      <c r="H81" s="146"/>
      <c r="I81" s="146"/>
      <c r="J81" s="146">
        <f t="shared" si="8"/>
        <v>169556.41</v>
      </c>
      <c r="K81" s="146">
        <f t="shared" si="3"/>
        <v>169556.41</v>
      </c>
      <c r="L81" s="146">
        <f t="shared" ref="L81:L93" si="9">ROUND(K81*N$39,0)</f>
        <v>167013</v>
      </c>
      <c r="M81" s="146"/>
      <c r="N81" s="146"/>
      <c r="O81" s="146"/>
    </row>
    <row r="82" spans="1:15">
      <c r="A82" s="144">
        <v>74</v>
      </c>
      <c r="B82" s="145">
        <v>44409</v>
      </c>
      <c r="C82" s="146"/>
      <c r="D82" s="146">
        <v>393343.25</v>
      </c>
      <c r="E82" s="146"/>
      <c r="F82" s="146">
        <v>177885.49</v>
      </c>
      <c r="G82" s="146">
        <v>318.77999999999997</v>
      </c>
      <c r="H82" s="146"/>
      <c r="I82" s="146"/>
      <c r="J82" s="146">
        <f t="shared" si="8"/>
        <v>571547.52</v>
      </c>
      <c r="K82" s="146">
        <f t="shared" ref="K82:K145" si="10">C82+D82+F82+G82</f>
        <v>571547.52</v>
      </c>
      <c r="L82" s="146">
        <f t="shared" si="9"/>
        <v>562974</v>
      </c>
      <c r="M82" s="146"/>
      <c r="N82" s="146"/>
      <c r="O82" s="146"/>
    </row>
    <row r="83" spans="1:15">
      <c r="A83" s="144">
        <v>75</v>
      </c>
      <c r="B83" s="145">
        <v>44440</v>
      </c>
      <c r="C83" s="146"/>
      <c r="D83" s="146">
        <v>219761.98</v>
      </c>
      <c r="E83" s="146"/>
      <c r="F83" s="146">
        <v>-2042441.34</v>
      </c>
      <c r="G83" s="146">
        <v>162.35</v>
      </c>
      <c r="H83" s="146"/>
      <c r="I83" s="146"/>
      <c r="J83" s="146">
        <f t="shared" si="8"/>
        <v>-1822517.01</v>
      </c>
      <c r="K83" s="146">
        <f t="shared" si="10"/>
        <v>-1822517.01</v>
      </c>
      <c r="L83" s="146">
        <f t="shared" si="9"/>
        <v>-1795179</v>
      </c>
      <c r="M83" s="146"/>
      <c r="N83" s="146"/>
      <c r="O83" s="146"/>
    </row>
    <row r="84" spans="1:15">
      <c r="A84" s="144">
        <v>76</v>
      </c>
      <c r="B84" s="145">
        <v>44470</v>
      </c>
      <c r="C84" s="146"/>
      <c r="D84" s="146">
        <v>-31549.17</v>
      </c>
      <c r="E84" s="146"/>
      <c r="F84" s="146">
        <v>1983768.18</v>
      </c>
      <c r="G84" s="146">
        <v>0</v>
      </c>
      <c r="H84" s="146"/>
      <c r="I84" s="146"/>
      <c r="J84" s="146">
        <f t="shared" si="8"/>
        <v>1952219.01</v>
      </c>
      <c r="K84" s="146">
        <f t="shared" si="10"/>
        <v>1952219.01</v>
      </c>
      <c r="L84" s="146">
        <f t="shared" si="9"/>
        <v>1922936</v>
      </c>
      <c r="M84" s="146"/>
      <c r="N84" s="146"/>
      <c r="O84" s="146"/>
    </row>
    <row r="85" spans="1:15">
      <c r="A85" s="144">
        <v>77</v>
      </c>
      <c r="B85" s="145">
        <v>44501</v>
      </c>
      <c r="C85" s="146"/>
      <c r="D85" s="146">
        <v>16782.63</v>
      </c>
      <c r="E85" s="146"/>
      <c r="F85" s="146">
        <v>42550.559999999998</v>
      </c>
      <c r="G85" s="146">
        <v>302.91000000000003</v>
      </c>
      <c r="H85" s="146"/>
      <c r="I85" s="146"/>
      <c r="J85" s="146">
        <f t="shared" si="8"/>
        <v>59636.100000000006</v>
      </c>
      <c r="K85" s="146">
        <f t="shared" si="10"/>
        <v>59636.100000000006</v>
      </c>
      <c r="L85" s="146">
        <f t="shared" si="9"/>
        <v>58742</v>
      </c>
      <c r="M85" s="146"/>
      <c r="N85" s="146"/>
      <c r="O85" s="146"/>
    </row>
    <row r="86" spans="1:15">
      <c r="A86" s="144">
        <v>78</v>
      </c>
      <c r="B86" s="145">
        <v>44531</v>
      </c>
      <c r="C86" s="146"/>
      <c r="D86" s="146">
        <v>17651.12</v>
      </c>
      <c r="E86" s="146"/>
      <c r="F86" s="146">
        <v>102468.2</v>
      </c>
      <c r="G86" s="146">
        <v>407.4</v>
      </c>
      <c r="H86" s="146"/>
      <c r="I86" s="146"/>
      <c r="J86" s="146">
        <f t="shared" si="8"/>
        <v>120526.71999999999</v>
      </c>
      <c r="K86" s="146">
        <f t="shared" si="10"/>
        <v>120526.71999999999</v>
      </c>
      <c r="L86" s="146">
        <f t="shared" si="9"/>
        <v>118719</v>
      </c>
      <c r="M86" s="146"/>
      <c r="N86" s="146"/>
      <c r="O86" s="146"/>
    </row>
    <row r="87" spans="1:15">
      <c r="A87" s="144">
        <v>79</v>
      </c>
      <c r="B87" s="145">
        <v>44562</v>
      </c>
      <c r="C87" s="146"/>
      <c r="D87" s="146">
        <v>18384.04</v>
      </c>
      <c r="E87" s="146"/>
      <c r="F87" s="146">
        <v>21139.09</v>
      </c>
      <c r="G87" s="146">
        <v>36.090000000000003</v>
      </c>
      <c r="H87" s="146"/>
      <c r="I87" s="146"/>
      <c r="J87" s="146">
        <f t="shared" si="8"/>
        <v>39559.22</v>
      </c>
      <c r="K87" s="146">
        <f t="shared" si="10"/>
        <v>39559.22</v>
      </c>
      <c r="L87" s="146">
        <f t="shared" si="9"/>
        <v>38966</v>
      </c>
      <c r="M87" s="146"/>
      <c r="N87" s="146"/>
      <c r="O87" s="146"/>
    </row>
    <row r="88" spans="1:15">
      <c r="A88" s="144">
        <v>80</v>
      </c>
      <c r="B88" s="145">
        <v>44593</v>
      </c>
      <c r="C88" s="146"/>
      <c r="D88" s="146">
        <v>-5696.5</v>
      </c>
      <c r="E88" s="146"/>
      <c r="F88" s="146">
        <v>16079.34</v>
      </c>
      <c r="G88" s="146">
        <v>0</v>
      </c>
      <c r="H88" s="146"/>
      <c r="I88" s="146"/>
      <c r="J88" s="146">
        <f t="shared" si="8"/>
        <v>10382.84</v>
      </c>
      <c r="K88" s="146">
        <f t="shared" si="10"/>
        <v>10382.84</v>
      </c>
      <c r="L88" s="146">
        <f t="shared" si="9"/>
        <v>10227</v>
      </c>
      <c r="M88" s="146"/>
      <c r="N88" s="146"/>
      <c r="O88" s="146"/>
    </row>
    <row r="89" spans="1:15">
      <c r="A89" s="144">
        <v>81</v>
      </c>
      <c r="B89" s="145">
        <v>44621</v>
      </c>
      <c r="C89" s="146"/>
      <c r="D89" s="146">
        <v>12536.53</v>
      </c>
      <c r="E89" s="146"/>
      <c r="F89" s="146">
        <v>26772.43</v>
      </c>
      <c r="G89" s="146">
        <v>0</v>
      </c>
      <c r="H89" s="146"/>
      <c r="I89" s="146"/>
      <c r="J89" s="146">
        <f t="shared" si="8"/>
        <v>39308.959999999999</v>
      </c>
      <c r="K89" s="146">
        <f t="shared" si="10"/>
        <v>39308.959999999999</v>
      </c>
      <c r="L89" s="146">
        <f t="shared" si="9"/>
        <v>38719</v>
      </c>
      <c r="M89" s="146"/>
      <c r="N89" s="146"/>
      <c r="O89" s="146"/>
    </row>
    <row r="90" spans="1:15">
      <c r="A90" s="144">
        <v>82</v>
      </c>
      <c r="B90" s="145">
        <v>44652</v>
      </c>
      <c r="C90" s="146"/>
      <c r="D90" s="146">
        <v>17633.89</v>
      </c>
      <c r="E90" s="146"/>
      <c r="F90" s="146">
        <v>111367.48</v>
      </c>
      <c r="G90" s="146">
        <v>364.78999999999996</v>
      </c>
      <c r="H90" s="146"/>
      <c r="I90" s="146"/>
      <c r="J90" s="146">
        <f t="shared" si="8"/>
        <v>129366.15999999999</v>
      </c>
      <c r="K90" s="146">
        <f t="shared" si="10"/>
        <v>129366.15999999999</v>
      </c>
      <c r="L90" s="146">
        <f t="shared" si="9"/>
        <v>127426</v>
      </c>
      <c r="M90" s="146"/>
      <c r="N90" s="146"/>
      <c r="O90" s="146"/>
    </row>
    <row r="91" spans="1:15">
      <c r="A91" s="144">
        <v>83</v>
      </c>
      <c r="B91" s="145">
        <v>44682</v>
      </c>
      <c r="C91" s="146"/>
      <c r="D91" s="146">
        <v>3681.45</v>
      </c>
      <c r="E91" s="146"/>
      <c r="F91" s="146">
        <v>83835.44</v>
      </c>
      <c r="G91" s="146">
        <v>0</v>
      </c>
      <c r="H91" s="146"/>
      <c r="I91" s="146"/>
      <c r="J91" s="146">
        <f t="shared" si="8"/>
        <v>87516.89</v>
      </c>
      <c r="K91" s="146">
        <f t="shared" si="10"/>
        <v>87516.89</v>
      </c>
      <c r="L91" s="146">
        <f t="shared" si="9"/>
        <v>86204</v>
      </c>
      <c r="M91" s="146"/>
      <c r="N91" s="146"/>
      <c r="O91" s="146"/>
    </row>
    <row r="92" spans="1:15">
      <c r="A92" s="144">
        <v>84</v>
      </c>
      <c r="B92" s="145">
        <v>44713</v>
      </c>
      <c r="C92" s="146"/>
      <c r="D92" s="146">
        <v>10174</v>
      </c>
      <c r="E92" s="146"/>
      <c r="F92" s="146">
        <v>16408.579999998212</v>
      </c>
      <c r="G92" s="146">
        <v>0</v>
      </c>
      <c r="H92" s="146"/>
      <c r="I92" s="146"/>
      <c r="J92" s="146">
        <f t="shared" si="8"/>
        <v>26582.579999998212</v>
      </c>
      <c r="K92" s="146">
        <f t="shared" si="10"/>
        <v>26582.579999998212</v>
      </c>
      <c r="L92" s="146">
        <f t="shared" si="9"/>
        <v>26184</v>
      </c>
      <c r="M92" s="146"/>
      <c r="N92" s="146"/>
      <c r="O92" s="146"/>
    </row>
    <row r="93" spans="1:15">
      <c r="A93" s="144">
        <v>85</v>
      </c>
      <c r="B93" s="145">
        <v>44743</v>
      </c>
      <c r="C93" s="146"/>
      <c r="D93" s="227">
        <v>827.14</v>
      </c>
      <c r="E93" s="146"/>
      <c r="F93" s="227">
        <v>16076.57</v>
      </c>
      <c r="G93" s="146">
        <v>583.05999999999995</v>
      </c>
      <c r="H93" s="146"/>
      <c r="I93" s="146"/>
      <c r="J93" s="146">
        <f t="shared" si="8"/>
        <v>17486.77</v>
      </c>
      <c r="K93" s="146">
        <f t="shared" si="10"/>
        <v>17486.77</v>
      </c>
      <c r="L93" s="146">
        <f t="shared" si="9"/>
        <v>17224</v>
      </c>
      <c r="M93" s="146"/>
      <c r="N93" s="146"/>
      <c r="O93" s="146"/>
    </row>
    <row r="94" spans="1:15">
      <c r="A94" s="144">
        <v>86</v>
      </c>
      <c r="B94" s="145">
        <v>44774</v>
      </c>
      <c r="C94" s="146"/>
      <c r="D94" s="227">
        <v>557.9</v>
      </c>
      <c r="E94" s="146"/>
      <c r="F94" s="228">
        <v>55969.91</v>
      </c>
      <c r="G94" s="146">
        <v>1470.06</v>
      </c>
      <c r="H94" s="146"/>
      <c r="I94" s="146"/>
      <c r="J94" s="146">
        <f t="shared" si="8"/>
        <v>57997.87</v>
      </c>
      <c r="K94" s="146">
        <f t="shared" si="10"/>
        <v>57997.87</v>
      </c>
      <c r="L94" s="146">
        <f t="shared" ref="L94:L157" si="11">ROUND(K94*N$39,0)</f>
        <v>57128</v>
      </c>
      <c r="M94" s="146"/>
      <c r="N94" s="146"/>
      <c r="O94" s="146"/>
    </row>
    <row r="95" spans="1:15">
      <c r="A95" s="144">
        <v>87</v>
      </c>
      <c r="B95" s="145">
        <v>44805</v>
      </c>
      <c r="C95" s="146"/>
      <c r="D95" s="228">
        <v>-211388.23</v>
      </c>
      <c r="E95" s="146"/>
      <c r="F95" s="228">
        <v>4344.45</v>
      </c>
      <c r="G95" s="146"/>
      <c r="H95" s="146"/>
      <c r="I95" s="146"/>
      <c r="J95" s="146">
        <f t="shared" si="8"/>
        <v>-207043.78</v>
      </c>
      <c r="K95" s="146">
        <f t="shared" si="10"/>
        <v>-207043.78</v>
      </c>
      <c r="L95" s="146">
        <f t="shared" si="11"/>
        <v>-203938</v>
      </c>
      <c r="M95" s="146"/>
      <c r="N95" s="146"/>
      <c r="O95" s="146"/>
    </row>
    <row r="96" spans="1:15">
      <c r="A96" s="144">
        <v>88</v>
      </c>
      <c r="B96" s="145">
        <v>44835</v>
      </c>
      <c r="C96" s="146"/>
      <c r="D96" s="228">
        <v>731.93</v>
      </c>
      <c r="E96" s="146"/>
      <c r="F96" s="227">
        <v>54869.25</v>
      </c>
      <c r="G96" s="146">
        <v>76.58</v>
      </c>
      <c r="H96" s="146"/>
      <c r="I96" s="146"/>
      <c r="J96" s="146">
        <f t="shared" si="8"/>
        <v>55677.760000000002</v>
      </c>
      <c r="K96" s="146">
        <f t="shared" si="10"/>
        <v>55677.760000000002</v>
      </c>
      <c r="L96" s="146">
        <f t="shared" si="11"/>
        <v>54843</v>
      </c>
      <c r="M96" s="146"/>
      <c r="N96" s="146"/>
      <c r="O96" s="146"/>
    </row>
    <row r="97" spans="1:15">
      <c r="A97" s="144">
        <v>89</v>
      </c>
      <c r="B97" s="145">
        <v>44866</v>
      </c>
      <c r="C97" s="146"/>
      <c r="D97" s="228">
        <v>632.54999999999995</v>
      </c>
      <c r="E97" s="146"/>
      <c r="F97" s="228">
        <v>7652.77</v>
      </c>
      <c r="G97" s="146">
        <v>149.34</v>
      </c>
      <c r="H97" s="146"/>
      <c r="I97" s="146"/>
      <c r="J97" s="146">
        <f t="shared" si="8"/>
        <v>8434.66</v>
      </c>
      <c r="K97" s="146">
        <f t="shared" si="10"/>
        <v>8434.66</v>
      </c>
      <c r="L97" s="146">
        <f t="shared" si="11"/>
        <v>8308</v>
      </c>
      <c r="M97" s="146"/>
      <c r="N97" s="146"/>
      <c r="O97" s="146"/>
    </row>
    <row r="98" spans="1:15">
      <c r="A98" s="144">
        <v>90</v>
      </c>
      <c r="B98" s="145">
        <v>44896</v>
      </c>
      <c r="C98" s="146"/>
      <c r="D98" s="227">
        <v>1024.1400000000001</v>
      </c>
      <c r="E98" s="146"/>
      <c r="F98" s="227">
        <v>18572.11</v>
      </c>
      <c r="G98" s="146">
        <v>523.55999999999995</v>
      </c>
      <c r="H98" s="146"/>
      <c r="I98" s="146"/>
      <c r="J98" s="146">
        <f t="shared" si="8"/>
        <v>20119.810000000001</v>
      </c>
      <c r="K98" s="146">
        <f t="shared" si="10"/>
        <v>20119.810000000001</v>
      </c>
      <c r="L98" s="146">
        <f t="shared" si="11"/>
        <v>19818</v>
      </c>
      <c r="M98" s="146"/>
      <c r="N98" s="146"/>
      <c r="O98" s="146"/>
    </row>
    <row r="99" spans="1:15">
      <c r="A99" s="144">
        <v>91</v>
      </c>
      <c r="B99" s="145">
        <v>44927</v>
      </c>
      <c r="C99" s="146"/>
      <c r="D99" s="227">
        <v>220.5</v>
      </c>
      <c r="E99" s="146"/>
      <c r="F99" s="227">
        <v>9671.61</v>
      </c>
      <c r="G99" s="146">
        <v>323.12</v>
      </c>
      <c r="H99" s="146"/>
      <c r="I99" s="146"/>
      <c r="J99" s="146">
        <f t="shared" si="8"/>
        <v>10215.230000000001</v>
      </c>
      <c r="K99" s="146">
        <f t="shared" si="10"/>
        <v>10215.230000000001</v>
      </c>
      <c r="L99" s="146">
        <f t="shared" si="11"/>
        <v>10062</v>
      </c>
      <c r="M99" s="146"/>
      <c r="N99" s="146"/>
      <c r="O99" s="146"/>
    </row>
    <row r="100" spans="1:15">
      <c r="A100" s="144">
        <v>92</v>
      </c>
      <c r="B100" s="145">
        <v>44958</v>
      </c>
      <c r="C100" s="146"/>
      <c r="D100" s="227"/>
      <c r="E100" s="146"/>
      <c r="F100" s="227">
        <v>2797.87</v>
      </c>
      <c r="G100" s="146">
        <v>291.01</v>
      </c>
      <c r="H100" s="146"/>
      <c r="I100" s="146"/>
      <c r="J100" s="146">
        <f t="shared" si="8"/>
        <v>3088.88</v>
      </c>
      <c r="K100" s="146">
        <f t="shared" si="10"/>
        <v>3088.88</v>
      </c>
      <c r="L100" s="146">
        <f t="shared" si="11"/>
        <v>3043</v>
      </c>
      <c r="M100" s="146"/>
      <c r="N100" s="146"/>
      <c r="O100" s="146"/>
    </row>
    <row r="101" spans="1:15">
      <c r="A101" s="144">
        <v>93</v>
      </c>
      <c r="B101" s="145">
        <v>44986</v>
      </c>
      <c r="C101" s="146"/>
      <c r="D101" s="228">
        <v>5298.79</v>
      </c>
      <c r="E101" s="146"/>
      <c r="F101" s="228">
        <v>-4217.96</v>
      </c>
      <c r="G101" s="146">
        <v>122.13</v>
      </c>
      <c r="H101" s="146"/>
      <c r="I101" s="146"/>
      <c r="J101" s="146">
        <f t="shared" si="8"/>
        <v>1202.96</v>
      </c>
      <c r="K101" s="146">
        <f t="shared" si="10"/>
        <v>1202.96</v>
      </c>
      <c r="L101" s="146">
        <f t="shared" si="11"/>
        <v>1185</v>
      </c>
      <c r="M101" s="146"/>
      <c r="N101" s="146"/>
      <c r="O101" s="146"/>
    </row>
    <row r="102" spans="1:15">
      <c r="A102" s="144">
        <v>94</v>
      </c>
      <c r="B102" s="145">
        <v>45017</v>
      </c>
      <c r="C102" s="146"/>
      <c r="D102" s="227"/>
      <c r="E102" s="146"/>
      <c r="F102" s="227">
        <v>-11354.19</v>
      </c>
      <c r="G102" s="146">
        <v>302.39</v>
      </c>
      <c r="H102" s="146"/>
      <c r="I102" s="146"/>
      <c r="J102" s="146">
        <f t="shared" si="8"/>
        <v>-11051.800000000001</v>
      </c>
      <c r="K102" s="146">
        <f t="shared" si="10"/>
        <v>-11051.800000000001</v>
      </c>
      <c r="L102" s="146">
        <f t="shared" si="11"/>
        <v>-10886</v>
      </c>
      <c r="M102" s="146"/>
      <c r="N102" s="146"/>
      <c r="O102" s="146"/>
    </row>
    <row r="103" spans="1:15">
      <c r="A103" s="144">
        <v>95</v>
      </c>
      <c r="B103" s="145">
        <v>45047</v>
      </c>
      <c r="C103" s="146"/>
      <c r="D103" s="227"/>
      <c r="E103" s="146"/>
      <c r="F103" s="227">
        <v>-23422.95</v>
      </c>
      <c r="G103" s="146">
        <v>0</v>
      </c>
      <c r="H103" s="146"/>
      <c r="I103" s="146"/>
      <c r="J103" s="146">
        <f t="shared" si="8"/>
        <v>-23422.95</v>
      </c>
      <c r="K103" s="146">
        <f t="shared" si="10"/>
        <v>-23422.95</v>
      </c>
      <c r="L103" s="146">
        <f t="shared" si="11"/>
        <v>-23072</v>
      </c>
      <c r="M103" s="146"/>
      <c r="N103" s="146"/>
      <c r="O103" s="146"/>
    </row>
    <row r="104" spans="1:15">
      <c r="A104" s="144">
        <v>96</v>
      </c>
      <c r="B104" s="145">
        <v>45078</v>
      </c>
      <c r="C104" s="146"/>
      <c r="D104" s="227"/>
      <c r="E104" s="146"/>
      <c r="F104" s="227"/>
      <c r="G104" s="146">
        <v>498.08</v>
      </c>
      <c r="H104" s="146"/>
      <c r="I104" s="146"/>
      <c r="J104" s="146">
        <f t="shared" si="8"/>
        <v>498.08</v>
      </c>
      <c r="K104" s="146">
        <f t="shared" si="10"/>
        <v>498.08</v>
      </c>
      <c r="L104" s="146">
        <f t="shared" si="11"/>
        <v>491</v>
      </c>
      <c r="M104" s="146"/>
      <c r="N104" s="146"/>
      <c r="O104" s="146"/>
    </row>
    <row r="105" spans="1:15" hidden="1">
      <c r="A105" s="144">
        <v>97</v>
      </c>
      <c r="B105" s="145">
        <v>45108</v>
      </c>
      <c r="C105" s="146"/>
      <c r="D105" s="146"/>
      <c r="E105" s="146"/>
      <c r="F105" s="146"/>
      <c r="G105" s="146"/>
      <c r="H105" s="146"/>
      <c r="I105" s="146"/>
      <c r="J105" s="146">
        <f t="shared" si="8"/>
        <v>0</v>
      </c>
      <c r="K105" s="146">
        <f t="shared" si="10"/>
        <v>0</v>
      </c>
      <c r="L105" s="146">
        <f t="shared" si="11"/>
        <v>0</v>
      </c>
      <c r="M105" s="146"/>
      <c r="N105" s="146"/>
      <c r="O105" s="146"/>
    </row>
    <row r="106" spans="1:15" hidden="1">
      <c r="A106" s="144">
        <v>98</v>
      </c>
      <c r="B106" s="145">
        <v>45139</v>
      </c>
      <c r="C106" s="146"/>
      <c r="D106" s="146"/>
      <c r="E106" s="146"/>
      <c r="F106" s="146"/>
      <c r="G106" s="146"/>
      <c r="H106" s="146"/>
      <c r="I106" s="146"/>
      <c r="J106" s="146">
        <f t="shared" si="8"/>
        <v>0</v>
      </c>
      <c r="K106" s="146">
        <f t="shared" si="10"/>
        <v>0</v>
      </c>
      <c r="L106" s="146">
        <f t="shared" si="11"/>
        <v>0</v>
      </c>
      <c r="M106" s="146"/>
      <c r="N106" s="146"/>
      <c r="O106" s="146"/>
    </row>
    <row r="107" spans="1:15" hidden="1">
      <c r="A107" s="144">
        <v>99</v>
      </c>
      <c r="B107" s="145">
        <v>45170</v>
      </c>
      <c r="C107" s="146"/>
      <c r="D107" s="146"/>
      <c r="E107" s="146"/>
      <c r="F107" s="146"/>
      <c r="G107" s="146"/>
      <c r="H107" s="146"/>
      <c r="I107" s="146"/>
      <c r="J107" s="146">
        <f t="shared" si="8"/>
        <v>0</v>
      </c>
      <c r="K107" s="146">
        <f t="shared" si="10"/>
        <v>0</v>
      </c>
      <c r="L107" s="146">
        <f t="shared" si="11"/>
        <v>0</v>
      </c>
      <c r="M107" s="146"/>
      <c r="N107" s="146"/>
      <c r="O107" s="146"/>
    </row>
    <row r="108" spans="1:15" hidden="1">
      <c r="A108" s="144">
        <v>100</v>
      </c>
      <c r="B108" s="145">
        <v>45200</v>
      </c>
      <c r="C108" s="146"/>
      <c r="D108" s="146"/>
      <c r="E108" s="146"/>
      <c r="F108" s="146"/>
      <c r="G108" s="146"/>
      <c r="H108" s="146"/>
      <c r="I108" s="146"/>
      <c r="J108" s="146">
        <f t="shared" si="8"/>
        <v>0</v>
      </c>
      <c r="K108" s="146">
        <f t="shared" si="10"/>
        <v>0</v>
      </c>
      <c r="L108" s="146">
        <f t="shared" si="11"/>
        <v>0</v>
      </c>
      <c r="M108" s="146"/>
      <c r="N108" s="146"/>
      <c r="O108" s="146"/>
    </row>
    <row r="109" spans="1:15" hidden="1">
      <c r="A109" s="144">
        <v>101</v>
      </c>
      <c r="B109" s="145">
        <v>45231</v>
      </c>
      <c r="C109" s="146"/>
      <c r="D109" s="146"/>
      <c r="E109" s="146"/>
      <c r="F109" s="146"/>
      <c r="G109" s="146"/>
      <c r="H109" s="146"/>
      <c r="I109" s="146"/>
      <c r="J109" s="146">
        <f t="shared" si="8"/>
        <v>0</v>
      </c>
      <c r="K109" s="146">
        <f t="shared" si="10"/>
        <v>0</v>
      </c>
      <c r="L109" s="146">
        <f t="shared" si="11"/>
        <v>0</v>
      </c>
      <c r="M109" s="146"/>
      <c r="N109" s="146"/>
      <c r="O109" s="146"/>
    </row>
    <row r="110" spans="1:15" hidden="1">
      <c r="A110" s="144">
        <v>102</v>
      </c>
      <c r="B110" s="145">
        <v>45261</v>
      </c>
      <c r="C110" s="146"/>
      <c r="D110" s="146"/>
      <c r="E110" s="146"/>
      <c r="F110" s="146"/>
      <c r="G110" s="146"/>
      <c r="H110" s="146"/>
      <c r="I110" s="146"/>
      <c r="J110" s="146">
        <f t="shared" si="8"/>
        <v>0</v>
      </c>
      <c r="K110" s="146">
        <f t="shared" si="10"/>
        <v>0</v>
      </c>
      <c r="L110" s="146">
        <f t="shared" si="11"/>
        <v>0</v>
      </c>
      <c r="M110" s="146"/>
      <c r="N110" s="146"/>
      <c r="O110" s="146"/>
    </row>
    <row r="111" spans="1:15" hidden="1">
      <c r="A111" s="144">
        <v>103</v>
      </c>
      <c r="B111" s="145">
        <v>45292</v>
      </c>
      <c r="C111" s="146"/>
      <c r="D111" s="146"/>
      <c r="E111" s="146"/>
      <c r="F111" s="146"/>
      <c r="G111" s="146"/>
      <c r="H111" s="146"/>
      <c r="I111" s="146"/>
      <c r="J111" s="146">
        <f t="shared" si="8"/>
        <v>0</v>
      </c>
      <c r="K111" s="146">
        <f t="shared" si="10"/>
        <v>0</v>
      </c>
      <c r="L111" s="146">
        <f t="shared" si="11"/>
        <v>0</v>
      </c>
      <c r="M111" s="146"/>
      <c r="N111" s="146"/>
      <c r="O111" s="146"/>
    </row>
    <row r="112" spans="1:15" hidden="1">
      <c r="A112" s="144">
        <v>104</v>
      </c>
      <c r="B112" s="145">
        <v>45323</v>
      </c>
      <c r="C112" s="146"/>
      <c r="D112" s="146"/>
      <c r="E112" s="146"/>
      <c r="F112" s="146"/>
      <c r="G112" s="146"/>
      <c r="H112" s="146"/>
      <c r="I112" s="146"/>
      <c r="J112" s="146">
        <f t="shared" si="8"/>
        <v>0</v>
      </c>
      <c r="K112" s="146">
        <f t="shared" si="10"/>
        <v>0</v>
      </c>
      <c r="L112" s="146">
        <f t="shared" si="11"/>
        <v>0</v>
      </c>
      <c r="M112" s="146"/>
      <c r="N112" s="146"/>
      <c r="O112" s="146"/>
    </row>
    <row r="113" spans="1:15" hidden="1">
      <c r="A113" s="144">
        <v>105</v>
      </c>
      <c r="B113" s="145">
        <v>45352</v>
      </c>
      <c r="C113" s="146"/>
      <c r="D113" s="146"/>
      <c r="E113" s="146"/>
      <c r="F113" s="146"/>
      <c r="G113" s="146"/>
      <c r="H113" s="146"/>
      <c r="I113" s="146"/>
      <c r="J113" s="146">
        <f t="shared" si="8"/>
        <v>0</v>
      </c>
      <c r="K113" s="146">
        <f t="shared" si="10"/>
        <v>0</v>
      </c>
      <c r="L113" s="146">
        <f t="shared" si="11"/>
        <v>0</v>
      </c>
      <c r="M113" s="146"/>
      <c r="N113" s="146"/>
      <c r="O113" s="146"/>
    </row>
    <row r="114" spans="1:15" hidden="1">
      <c r="A114" s="144">
        <v>106</v>
      </c>
      <c r="B114" s="145">
        <v>45383</v>
      </c>
      <c r="C114" s="146"/>
      <c r="D114" s="146"/>
      <c r="E114" s="146"/>
      <c r="F114" s="146"/>
      <c r="G114" s="146"/>
      <c r="H114" s="146"/>
      <c r="I114" s="146"/>
      <c r="J114" s="146">
        <f t="shared" si="8"/>
        <v>0</v>
      </c>
      <c r="K114" s="146">
        <f t="shared" si="10"/>
        <v>0</v>
      </c>
      <c r="L114" s="146">
        <f t="shared" si="11"/>
        <v>0</v>
      </c>
      <c r="M114" s="146"/>
      <c r="N114" s="146"/>
      <c r="O114" s="146"/>
    </row>
    <row r="115" spans="1:15" hidden="1">
      <c r="A115" s="144">
        <v>107</v>
      </c>
      <c r="B115" s="145">
        <v>45413</v>
      </c>
      <c r="C115" s="146"/>
      <c r="D115" s="146"/>
      <c r="E115" s="146"/>
      <c r="F115" s="146"/>
      <c r="G115" s="146"/>
      <c r="H115" s="146"/>
      <c r="I115" s="146"/>
      <c r="J115" s="146">
        <f t="shared" si="8"/>
        <v>0</v>
      </c>
      <c r="K115" s="146">
        <f t="shared" si="10"/>
        <v>0</v>
      </c>
      <c r="L115" s="146">
        <f t="shared" si="11"/>
        <v>0</v>
      </c>
      <c r="M115" s="146"/>
      <c r="N115" s="146"/>
      <c r="O115" s="146"/>
    </row>
    <row r="116" spans="1:15" hidden="1">
      <c r="A116" s="144">
        <v>108</v>
      </c>
      <c r="B116" s="145">
        <v>45444</v>
      </c>
      <c r="C116" s="146"/>
      <c r="D116" s="146"/>
      <c r="E116" s="146"/>
      <c r="F116" s="146"/>
      <c r="G116" s="146"/>
      <c r="H116" s="146"/>
      <c r="I116" s="146"/>
      <c r="J116" s="146">
        <f t="shared" si="8"/>
        <v>0</v>
      </c>
      <c r="K116" s="146">
        <f t="shared" si="10"/>
        <v>0</v>
      </c>
      <c r="L116" s="146">
        <f t="shared" si="11"/>
        <v>0</v>
      </c>
      <c r="M116" s="146"/>
      <c r="N116" s="146"/>
      <c r="O116" s="146"/>
    </row>
    <row r="117" spans="1:15" hidden="1">
      <c r="A117" s="144">
        <v>109</v>
      </c>
      <c r="B117" s="145">
        <v>45474</v>
      </c>
      <c r="C117" s="146"/>
      <c r="D117" s="146"/>
      <c r="E117" s="146"/>
      <c r="F117" s="146"/>
      <c r="G117" s="146"/>
      <c r="H117" s="146"/>
      <c r="I117" s="146"/>
      <c r="J117" s="146">
        <f t="shared" si="8"/>
        <v>0</v>
      </c>
      <c r="K117" s="146">
        <f t="shared" si="10"/>
        <v>0</v>
      </c>
      <c r="L117" s="146">
        <f t="shared" si="11"/>
        <v>0</v>
      </c>
      <c r="M117" s="146"/>
      <c r="N117" s="146"/>
      <c r="O117" s="146"/>
    </row>
    <row r="118" spans="1:15" hidden="1">
      <c r="A118" s="144">
        <v>110</v>
      </c>
      <c r="B118" s="145">
        <v>45505</v>
      </c>
      <c r="C118" s="146"/>
      <c r="D118" s="146"/>
      <c r="E118" s="146"/>
      <c r="F118" s="146"/>
      <c r="G118" s="146"/>
      <c r="H118" s="146"/>
      <c r="I118" s="146"/>
      <c r="J118" s="146">
        <f t="shared" si="8"/>
        <v>0</v>
      </c>
      <c r="K118" s="146">
        <f t="shared" si="10"/>
        <v>0</v>
      </c>
      <c r="L118" s="146">
        <f t="shared" si="11"/>
        <v>0</v>
      </c>
      <c r="M118" s="146"/>
      <c r="N118" s="146"/>
      <c r="O118" s="146"/>
    </row>
    <row r="119" spans="1:15" hidden="1">
      <c r="A119" s="144">
        <v>111</v>
      </c>
      <c r="B119" s="145">
        <v>45536</v>
      </c>
      <c r="C119" s="146"/>
      <c r="D119" s="146"/>
      <c r="E119" s="146"/>
      <c r="F119" s="146"/>
      <c r="G119" s="146"/>
      <c r="H119" s="146"/>
      <c r="I119" s="146"/>
      <c r="J119" s="146">
        <f t="shared" si="8"/>
        <v>0</v>
      </c>
      <c r="K119" s="146">
        <f t="shared" si="10"/>
        <v>0</v>
      </c>
      <c r="L119" s="146">
        <f t="shared" si="11"/>
        <v>0</v>
      </c>
      <c r="M119" s="146"/>
      <c r="N119" s="146"/>
      <c r="O119" s="146"/>
    </row>
    <row r="120" spans="1:15" hidden="1">
      <c r="A120" s="144">
        <v>112</v>
      </c>
      <c r="B120" s="145">
        <v>45566</v>
      </c>
      <c r="C120" s="146"/>
      <c r="D120" s="146"/>
      <c r="E120" s="146"/>
      <c r="F120" s="146"/>
      <c r="G120" s="146"/>
      <c r="H120" s="146"/>
      <c r="I120" s="146"/>
      <c r="J120" s="146">
        <f t="shared" si="8"/>
        <v>0</v>
      </c>
      <c r="K120" s="146">
        <f t="shared" si="10"/>
        <v>0</v>
      </c>
      <c r="L120" s="146">
        <f t="shared" si="11"/>
        <v>0</v>
      </c>
      <c r="M120" s="146"/>
      <c r="N120" s="146"/>
      <c r="O120" s="146"/>
    </row>
    <row r="121" spans="1:15" hidden="1">
      <c r="A121" s="144">
        <v>113</v>
      </c>
      <c r="B121" s="145">
        <v>45597</v>
      </c>
      <c r="C121" s="146"/>
      <c r="D121" s="146"/>
      <c r="E121" s="146"/>
      <c r="F121" s="146"/>
      <c r="G121" s="146"/>
      <c r="H121" s="146"/>
      <c r="I121" s="146"/>
      <c r="J121" s="146">
        <f t="shared" si="8"/>
        <v>0</v>
      </c>
      <c r="K121" s="146">
        <f t="shared" si="10"/>
        <v>0</v>
      </c>
      <c r="L121" s="146">
        <f t="shared" si="11"/>
        <v>0</v>
      </c>
      <c r="M121" s="146"/>
      <c r="N121" s="146"/>
      <c r="O121" s="146"/>
    </row>
    <row r="122" spans="1:15" hidden="1">
      <c r="A122" s="144">
        <v>114</v>
      </c>
      <c r="B122" s="145">
        <v>45627</v>
      </c>
      <c r="C122" s="146"/>
      <c r="D122" s="146"/>
      <c r="E122" s="146"/>
      <c r="F122" s="146"/>
      <c r="G122" s="146"/>
      <c r="H122" s="146"/>
      <c r="I122" s="146"/>
      <c r="J122" s="146">
        <f t="shared" si="8"/>
        <v>0</v>
      </c>
      <c r="K122" s="146">
        <f t="shared" si="10"/>
        <v>0</v>
      </c>
      <c r="L122" s="146">
        <f t="shared" si="11"/>
        <v>0</v>
      </c>
      <c r="M122" s="146"/>
      <c r="N122" s="146"/>
      <c r="O122" s="146"/>
    </row>
    <row r="123" spans="1:15" hidden="1">
      <c r="A123" s="144">
        <v>115</v>
      </c>
      <c r="B123" s="145">
        <v>45658</v>
      </c>
      <c r="C123" s="146"/>
      <c r="D123" s="146"/>
      <c r="E123" s="146"/>
      <c r="F123" s="146"/>
      <c r="G123" s="146"/>
      <c r="H123" s="146"/>
      <c r="I123" s="146"/>
      <c r="J123" s="146">
        <f t="shared" si="8"/>
        <v>0</v>
      </c>
      <c r="K123" s="146">
        <f t="shared" si="10"/>
        <v>0</v>
      </c>
      <c r="L123" s="146">
        <f t="shared" si="11"/>
        <v>0</v>
      </c>
      <c r="M123" s="146"/>
      <c r="N123" s="146"/>
      <c r="O123" s="146"/>
    </row>
    <row r="124" spans="1:15" hidden="1">
      <c r="A124" s="144">
        <v>116</v>
      </c>
      <c r="B124" s="145">
        <v>45689</v>
      </c>
      <c r="C124" s="146"/>
      <c r="D124" s="146"/>
      <c r="E124" s="146"/>
      <c r="F124" s="146"/>
      <c r="G124" s="146"/>
      <c r="H124" s="146"/>
      <c r="I124" s="146"/>
      <c r="J124" s="146">
        <f t="shared" si="8"/>
        <v>0</v>
      </c>
      <c r="K124" s="146">
        <f t="shared" si="10"/>
        <v>0</v>
      </c>
      <c r="L124" s="146">
        <f t="shared" si="11"/>
        <v>0</v>
      </c>
      <c r="M124" s="146"/>
      <c r="N124" s="146"/>
      <c r="O124" s="146"/>
    </row>
    <row r="125" spans="1:15" hidden="1">
      <c r="A125" s="144">
        <v>117</v>
      </c>
      <c r="B125" s="145">
        <v>45717</v>
      </c>
      <c r="C125" s="146"/>
      <c r="D125" s="146"/>
      <c r="E125" s="146"/>
      <c r="F125" s="146"/>
      <c r="G125" s="146"/>
      <c r="H125" s="146"/>
      <c r="I125" s="146"/>
      <c r="J125" s="146">
        <f t="shared" si="8"/>
        <v>0</v>
      </c>
      <c r="K125" s="146">
        <f t="shared" si="10"/>
        <v>0</v>
      </c>
      <c r="L125" s="146">
        <f t="shared" si="11"/>
        <v>0</v>
      </c>
      <c r="M125" s="146"/>
      <c r="N125" s="146"/>
      <c r="O125" s="146"/>
    </row>
    <row r="126" spans="1:15" hidden="1">
      <c r="A126" s="144">
        <v>118</v>
      </c>
      <c r="B126" s="145">
        <v>45748</v>
      </c>
      <c r="C126" s="146"/>
      <c r="D126" s="146"/>
      <c r="E126" s="146"/>
      <c r="F126" s="146"/>
      <c r="G126" s="146"/>
      <c r="H126" s="146"/>
      <c r="I126" s="146"/>
      <c r="J126" s="146">
        <f t="shared" si="8"/>
        <v>0</v>
      </c>
      <c r="K126" s="146">
        <f t="shared" si="10"/>
        <v>0</v>
      </c>
      <c r="L126" s="146">
        <f t="shared" si="11"/>
        <v>0</v>
      </c>
      <c r="M126" s="146"/>
      <c r="N126" s="146"/>
      <c r="O126" s="146"/>
    </row>
    <row r="127" spans="1:15" hidden="1">
      <c r="A127" s="144">
        <v>119</v>
      </c>
      <c r="B127" s="145">
        <v>45778</v>
      </c>
      <c r="C127" s="146"/>
      <c r="D127" s="146"/>
      <c r="E127" s="146"/>
      <c r="F127" s="146"/>
      <c r="G127" s="146"/>
      <c r="H127" s="146"/>
      <c r="I127" s="146"/>
      <c r="J127" s="146">
        <f t="shared" si="8"/>
        <v>0</v>
      </c>
      <c r="K127" s="146">
        <f t="shared" si="10"/>
        <v>0</v>
      </c>
      <c r="L127" s="146">
        <f t="shared" si="11"/>
        <v>0</v>
      </c>
      <c r="M127" s="146"/>
      <c r="N127" s="146"/>
      <c r="O127" s="146"/>
    </row>
    <row r="128" spans="1:15" hidden="1">
      <c r="A128" s="144">
        <v>120</v>
      </c>
      <c r="B128" s="145">
        <v>45809</v>
      </c>
      <c r="C128" s="146"/>
      <c r="D128" s="146"/>
      <c r="E128" s="146"/>
      <c r="F128" s="146"/>
      <c r="G128" s="146"/>
      <c r="H128" s="146"/>
      <c r="I128" s="146"/>
      <c r="J128" s="146">
        <f t="shared" si="8"/>
        <v>0</v>
      </c>
      <c r="K128" s="146">
        <f t="shared" si="10"/>
        <v>0</v>
      </c>
      <c r="L128" s="146">
        <f t="shared" si="11"/>
        <v>0</v>
      </c>
      <c r="M128" s="146"/>
      <c r="N128" s="146"/>
      <c r="O128" s="146"/>
    </row>
    <row r="129" spans="1:15" hidden="1">
      <c r="A129" s="144">
        <v>121</v>
      </c>
      <c r="B129" s="145">
        <v>45839</v>
      </c>
      <c r="C129" s="146"/>
      <c r="D129" s="146"/>
      <c r="E129" s="146"/>
      <c r="F129" s="146"/>
      <c r="G129" s="146"/>
      <c r="H129" s="146"/>
      <c r="I129" s="146"/>
      <c r="J129" s="146">
        <f t="shared" si="8"/>
        <v>0</v>
      </c>
      <c r="K129" s="146">
        <f t="shared" si="10"/>
        <v>0</v>
      </c>
      <c r="L129" s="146">
        <f t="shared" si="11"/>
        <v>0</v>
      </c>
      <c r="M129" s="146"/>
      <c r="N129" s="146"/>
      <c r="O129" s="146"/>
    </row>
    <row r="130" spans="1:15" hidden="1">
      <c r="A130" s="144">
        <v>122</v>
      </c>
      <c r="B130" s="145">
        <v>45870</v>
      </c>
      <c r="C130" s="146"/>
      <c r="D130" s="146"/>
      <c r="E130" s="146"/>
      <c r="F130" s="146"/>
      <c r="G130" s="146"/>
      <c r="H130" s="146"/>
      <c r="I130" s="146"/>
      <c r="J130" s="146">
        <f t="shared" si="8"/>
        <v>0</v>
      </c>
      <c r="K130" s="146">
        <f t="shared" si="10"/>
        <v>0</v>
      </c>
      <c r="L130" s="146">
        <f t="shared" si="11"/>
        <v>0</v>
      </c>
      <c r="M130" s="146"/>
      <c r="N130" s="146"/>
      <c r="O130" s="146"/>
    </row>
    <row r="131" spans="1:15" hidden="1">
      <c r="A131" s="144">
        <v>123</v>
      </c>
      <c r="B131" s="145">
        <v>45901</v>
      </c>
      <c r="C131" s="146"/>
      <c r="D131" s="146"/>
      <c r="E131" s="146"/>
      <c r="F131" s="146"/>
      <c r="G131" s="146"/>
      <c r="H131" s="146"/>
      <c r="I131" s="146"/>
      <c r="J131" s="146">
        <f t="shared" si="8"/>
        <v>0</v>
      </c>
      <c r="K131" s="146">
        <f t="shared" si="10"/>
        <v>0</v>
      </c>
      <c r="L131" s="146">
        <f t="shared" si="11"/>
        <v>0</v>
      </c>
      <c r="M131" s="146"/>
      <c r="N131" s="146"/>
      <c r="O131" s="146"/>
    </row>
    <row r="132" spans="1:15" hidden="1">
      <c r="A132" s="144">
        <v>124</v>
      </c>
      <c r="B132" s="145">
        <v>45931</v>
      </c>
      <c r="C132" s="146"/>
      <c r="D132" s="146"/>
      <c r="E132" s="146"/>
      <c r="F132" s="146"/>
      <c r="G132" s="146"/>
      <c r="H132" s="146"/>
      <c r="I132" s="146"/>
      <c r="J132" s="146">
        <f t="shared" si="8"/>
        <v>0</v>
      </c>
      <c r="K132" s="146">
        <f t="shared" si="10"/>
        <v>0</v>
      </c>
      <c r="L132" s="146">
        <f t="shared" si="11"/>
        <v>0</v>
      </c>
      <c r="M132" s="146"/>
      <c r="N132" s="146"/>
      <c r="O132" s="146"/>
    </row>
    <row r="133" spans="1:15" hidden="1">
      <c r="A133" s="144">
        <v>125</v>
      </c>
      <c r="B133" s="145">
        <v>45962</v>
      </c>
      <c r="C133" s="146"/>
      <c r="D133" s="146"/>
      <c r="E133" s="146"/>
      <c r="F133" s="146"/>
      <c r="G133" s="146"/>
      <c r="H133" s="146"/>
      <c r="I133" s="146"/>
      <c r="J133" s="146">
        <f t="shared" si="8"/>
        <v>0</v>
      </c>
      <c r="K133" s="146">
        <f t="shared" si="10"/>
        <v>0</v>
      </c>
      <c r="L133" s="146">
        <f t="shared" si="11"/>
        <v>0</v>
      </c>
      <c r="M133" s="146"/>
      <c r="N133" s="146"/>
      <c r="O133" s="146"/>
    </row>
    <row r="134" spans="1:15" hidden="1">
      <c r="A134" s="144">
        <v>126</v>
      </c>
      <c r="B134" s="145">
        <v>45992</v>
      </c>
      <c r="C134" s="146"/>
      <c r="D134" s="146"/>
      <c r="E134" s="146"/>
      <c r="F134" s="146"/>
      <c r="G134" s="146"/>
      <c r="H134" s="146"/>
      <c r="I134" s="146"/>
      <c r="J134" s="146">
        <f t="shared" si="8"/>
        <v>0</v>
      </c>
      <c r="K134" s="146">
        <f t="shared" si="10"/>
        <v>0</v>
      </c>
      <c r="L134" s="146">
        <f t="shared" si="11"/>
        <v>0</v>
      </c>
      <c r="M134" s="146"/>
      <c r="N134" s="146"/>
      <c r="O134" s="146"/>
    </row>
    <row r="135" spans="1:15" hidden="1">
      <c r="A135" s="144">
        <v>127</v>
      </c>
      <c r="B135" s="145">
        <v>46023</v>
      </c>
      <c r="C135" s="146"/>
      <c r="D135" s="146"/>
      <c r="E135" s="146"/>
      <c r="F135" s="146"/>
      <c r="G135" s="146"/>
      <c r="H135" s="146"/>
      <c r="I135" s="146"/>
      <c r="J135" s="146">
        <f t="shared" si="8"/>
        <v>0</v>
      </c>
      <c r="K135" s="146">
        <f t="shared" si="10"/>
        <v>0</v>
      </c>
      <c r="L135" s="146">
        <f t="shared" si="11"/>
        <v>0</v>
      </c>
      <c r="M135" s="146"/>
      <c r="N135" s="146"/>
      <c r="O135" s="146"/>
    </row>
    <row r="136" spans="1:15" hidden="1">
      <c r="A136" s="144">
        <v>128</v>
      </c>
      <c r="B136" s="145">
        <v>46054</v>
      </c>
      <c r="C136" s="146"/>
      <c r="D136" s="146"/>
      <c r="E136" s="146"/>
      <c r="F136" s="146"/>
      <c r="G136" s="146"/>
      <c r="H136" s="146"/>
      <c r="I136" s="146"/>
      <c r="J136" s="146">
        <f t="shared" si="8"/>
        <v>0</v>
      </c>
      <c r="K136" s="146">
        <f t="shared" si="10"/>
        <v>0</v>
      </c>
      <c r="L136" s="146">
        <f t="shared" si="11"/>
        <v>0</v>
      </c>
      <c r="M136" s="146"/>
      <c r="N136" s="146"/>
      <c r="O136" s="146"/>
    </row>
    <row r="137" spans="1:15" hidden="1">
      <c r="A137" s="144">
        <v>129</v>
      </c>
      <c r="B137" s="145">
        <v>46082</v>
      </c>
      <c r="C137" s="146"/>
      <c r="D137" s="146"/>
      <c r="E137" s="146"/>
      <c r="F137" s="146"/>
      <c r="G137" s="146"/>
      <c r="H137" s="146"/>
      <c r="I137" s="146"/>
      <c r="J137" s="146">
        <f t="shared" si="8"/>
        <v>0</v>
      </c>
      <c r="K137" s="146">
        <f t="shared" si="10"/>
        <v>0</v>
      </c>
      <c r="L137" s="146">
        <f t="shared" si="11"/>
        <v>0</v>
      </c>
      <c r="M137" s="146"/>
      <c r="N137" s="146"/>
      <c r="O137" s="146"/>
    </row>
    <row r="138" spans="1:15" hidden="1">
      <c r="A138" s="144">
        <v>130</v>
      </c>
      <c r="B138" s="145">
        <v>46113</v>
      </c>
      <c r="C138" s="146"/>
      <c r="D138" s="146"/>
      <c r="E138" s="146"/>
      <c r="F138" s="146"/>
      <c r="G138" s="146"/>
      <c r="H138" s="146"/>
      <c r="I138" s="146"/>
      <c r="J138" s="146">
        <f t="shared" ref="J138:J201" si="12">SUM(C138:I138)</f>
        <v>0</v>
      </c>
      <c r="K138" s="146">
        <f t="shared" si="10"/>
        <v>0</v>
      </c>
      <c r="L138" s="146">
        <f t="shared" si="11"/>
        <v>0</v>
      </c>
      <c r="M138" s="146"/>
      <c r="N138" s="146"/>
      <c r="O138" s="146"/>
    </row>
    <row r="139" spans="1:15" hidden="1">
      <c r="A139" s="144">
        <v>131</v>
      </c>
      <c r="B139" s="145">
        <v>46143</v>
      </c>
      <c r="C139" s="146"/>
      <c r="D139" s="146"/>
      <c r="E139" s="146"/>
      <c r="F139" s="146"/>
      <c r="G139" s="146"/>
      <c r="H139" s="146"/>
      <c r="I139" s="146"/>
      <c r="J139" s="146">
        <f t="shared" si="12"/>
        <v>0</v>
      </c>
      <c r="K139" s="146">
        <f t="shared" si="10"/>
        <v>0</v>
      </c>
      <c r="L139" s="146">
        <f t="shared" si="11"/>
        <v>0</v>
      </c>
      <c r="M139" s="146"/>
      <c r="N139" s="146"/>
      <c r="O139" s="146"/>
    </row>
    <row r="140" spans="1:15" hidden="1">
      <c r="A140" s="144">
        <v>132</v>
      </c>
      <c r="B140" s="145">
        <v>46174</v>
      </c>
      <c r="C140" s="146"/>
      <c r="D140" s="146"/>
      <c r="E140" s="146"/>
      <c r="F140" s="146"/>
      <c r="G140" s="146"/>
      <c r="H140" s="146"/>
      <c r="I140" s="146"/>
      <c r="J140" s="146">
        <f t="shared" si="12"/>
        <v>0</v>
      </c>
      <c r="K140" s="146">
        <f t="shared" si="10"/>
        <v>0</v>
      </c>
      <c r="L140" s="146">
        <f t="shared" si="11"/>
        <v>0</v>
      </c>
      <c r="M140" s="146"/>
      <c r="N140" s="146"/>
      <c r="O140" s="146"/>
    </row>
    <row r="141" spans="1:15" hidden="1">
      <c r="A141" s="144">
        <v>133</v>
      </c>
      <c r="B141" s="145">
        <v>46204</v>
      </c>
      <c r="C141" s="146"/>
      <c r="D141" s="146"/>
      <c r="E141" s="146"/>
      <c r="F141" s="146"/>
      <c r="G141" s="146"/>
      <c r="H141" s="146"/>
      <c r="I141" s="146"/>
      <c r="J141" s="146">
        <f t="shared" si="12"/>
        <v>0</v>
      </c>
      <c r="K141" s="146">
        <f t="shared" si="10"/>
        <v>0</v>
      </c>
      <c r="L141" s="146">
        <f t="shared" si="11"/>
        <v>0</v>
      </c>
      <c r="M141" s="146"/>
      <c r="N141" s="146"/>
      <c r="O141" s="146"/>
    </row>
    <row r="142" spans="1:15" hidden="1">
      <c r="A142" s="144">
        <v>134</v>
      </c>
      <c r="B142" s="145">
        <v>46235</v>
      </c>
      <c r="C142" s="146"/>
      <c r="D142" s="146"/>
      <c r="E142" s="146"/>
      <c r="F142" s="146"/>
      <c r="G142" s="146"/>
      <c r="H142" s="146"/>
      <c r="I142" s="146"/>
      <c r="J142" s="146">
        <f t="shared" si="12"/>
        <v>0</v>
      </c>
      <c r="K142" s="146">
        <f t="shared" si="10"/>
        <v>0</v>
      </c>
      <c r="L142" s="146">
        <f t="shared" si="11"/>
        <v>0</v>
      </c>
      <c r="M142" s="146"/>
      <c r="N142" s="146"/>
      <c r="O142" s="146"/>
    </row>
    <row r="143" spans="1:15" hidden="1">
      <c r="A143" s="144">
        <v>135</v>
      </c>
      <c r="B143" s="145">
        <v>46266</v>
      </c>
      <c r="C143" s="146"/>
      <c r="D143" s="146"/>
      <c r="E143" s="146"/>
      <c r="F143" s="146"/>
      <c r="G143" s="146"/>
      <c r="H143" s="146"/>
      <c r="I143" s="146"/>
      <c r="J143" s="146">
        <f t="shared" si="12"/>
        <v>0</v>
      </c>
      <c r="K143" s="146">
        <f t="shared" si="10"/>
        <v>0</v>
      </c>
      <c r="L143" s="146">
        <f t="shared" si="11"/>
        <v>0</v>
      </c>
      <c r="M143" s="146"/>
      <c r="N143" s="146"/>
      <c r="O143" s="146"/>
    </row>
    <row r="144" spans="1:15" hidden="1">
      <c r="A144" s="144">
        <v>136</v>
      </c>
      <c r="B144" s="145">
        <v>46296</v>
      </c>
      <c r="C144" s="146"/>
      <c r="D144" s="146"/>
      <c r="E144" s="146"/>
      <c r="F144" s="146"/>
      <c r="G144" s="146"/>
      <c r="H144" s="146"/>
      <c r="I144" s="146"/>
      <c r="J144" s="146">
        <f t="shared" si="12"/>
        <v>0</v>
      </c>
      <c r="K144" s="146">
        <f t="shared" si="10"/>
        <v>0</v>
      </c>
      <c r="L144" s="146">
        <f t="shared" si="11"/>
        <v>0</v>
      </c>
      <c r="M144" s="146"/>
      <c r="N144" s="146"/>
      <c r="O144" s="146"/>
    </row>
    <row r="145" spans="1:15" hidden="1">
      <c r="A145" s="144">
        <v>137</v>
      </c>
      <c r="B145" s="145">
        <v>46327</v>
      </c>
      <c r="C145" s="146"/>
      <c r="D145" s="146"/>
      <c r="E145" s="146"/>
      <c r="F145" s="146"/>
      <c r="G145" s="146"/>
      <c r="H145" s="146"/>
      <c r="I145" s="146"/>
      <c r="J145" s="146">
        <f t="shared" si="12"/>
        <v>0</v>
      </c>
      <c r="K145" s="146">
        <f t="shared" si="10"/>
        <v>0</v>
      </c>
      <c r="L145" s="146">
        <f t="shared" si="11"/>
        <v>0</v>
      </c>
      <c r="M145" s="146"/>
      <c r="N145" s="146"/>
      <c r="O145" s="146"/>
    </row>
    <row r="146" spans="1:15" hidden="1">
      <c r="A146" s="144">
        <v>138</v>
      </c>
      <c r="B146" s="145">
        <v>46357</v>
      </c>
      <c r="C146" s="146"/>
      <c r="D146" s="146"/>
      <c r="E146" s="146"/>
      <c r="F146" s="146"/>
      <c r="G146" s="146"/>
      <c r="H146" s="146"/>
      <c r="I146" s="146"/>
      <c r="J146" s="146">
        <f t="shared" si="12"/>
        <v>0</v>
      </c>
      <c r="K146" s="146">
        <f t="shared" ref="K146:K209" si="13">C146+D146+F146+G146</f>
        <v>0</v>
      </c>
      <c r="L146" s="146">
        <f t="shared" si="11"/>
        <v>0</v>
      </c>
      <c r="M146" s="146"/>
      <c r="N146" s="146"/>
      <c r="O146" s="146"/>
    </row>
    <row r="147" spans="1:15" hidden="1">
      <c r="A147" s="144">
        <v>139</v>
      </c>
      <c r="B147" s="145">
        <v>46388</v>
      </c>
      <c r="C147" s="146"/>
      <c r="D147" s="146"/>
      <c r="E147" s="146"/>
      <c r="F147" s="146"/>
      <c r="G147" s="146"/>
      <c r="H147" s="146"/>
      <c r="I147" s="146"/>
      <c r="J147" s="146">
        <f t="shared" si="12"/>
        <v>0</v>
      </c>
      <c r="K147" s="146">
        <f t="shared" si="13"/>
        <v>0</v>
      </c>
      <c r="L147" s="146">
        <f t="shared" si="11"/>
        <v>0</v>
      </c>
      <c r="M147" s="146"/>
      <c r="N147" s="146"/>
      <c r="O147" s="146"/>
    </row>
    <row r="148" spans="1:15" hidden="1">
      <c r="A148" s="144">
        <v>140</v>
      </c>
      <c r="B148" s="145">
        <v>46419</v>
      </c>
      <c r="C148" s="146"/>
      <c r="D148" s="146"/>
      <c r="E148" s="146"/>
      <c r="F148" s="146"/>
      <c r="G148" s="146"/>
      <c r="H148" s="146"/>
      <c r="I148" s="146"/>
      <c r="J148" s="146">
        <f t="shared" si="12"/>
        <v>0</v>
      </c>
      <c r="K148" s="146">
        <f t="shared" si="13"/>
        <v>0</v>
      </c>
      <c r="L148" s="146">
        <f t="shared" si="11"/>
        <v>0</v>
      </c>
      <c r="M148" s="146"/>
      <c r="N148" s="146"/>
      <c r="O148" s="146"/>
    </row>
    <row r="149" spans="1:15" hidden="1">
      <c r="A149" s="144">
        <v>141</v>
      </c>
      <c r="B149" s="145">
        <v>46447</v>
      </c>
      <c r="C149" s="146"/>
      <c r="D149" s="146"/>
      <c r="E149" s="146"/>
      <c r="F149" s="146"/>
      <c r="G149" s="146"/>
      <c r="H149" s="146"/>
      <c r="I149" s="146"/>
      <c r="J149" s="146">
        <f t="shared" si="12"/>
        <v>0</v>
      </c>
      <c r="K149" s="146">
        <f t="shared" si="13"/>
        <v>0</v>
      </c>
      <c r="L149" s="146">
        <f t="shared" si="11"/>
        <v>0</v>
      </c>
      <c r="M149" s="146"/>
      <c r="N149" s="146"/>
      <c r="O149" s="146"/>
    </row>
    <row r="150" spans="1:15" hidden="1">
      <c r="A150" s="144">
        <v>142</v>
      </c>
      <c r="B150" s="145">
        <v>46478</v>
      </c>
      <c r="C150" s="146"/>
      <c r="D150" s="146"/>
      <c r="E150" s="146"/>
      <c r="F150" s="146"/>
      <c r="G150" s="146"/>
      <c r="H150" s="146"/>
      <c r="I150" s="146"/>
      <c r="J150" s="146">
        <f t="shared" si="12"/>
        <v>0</v>
      </c>
      <c r="K150" s="146">
        <f t="shared" si="13"/>
        <v>0</v>
      </c>
      <c r="L150" s="146">
        <f t="shared" si="11"/>
        <v>0</v>
      </c>
      <c r="M150" s="146"/>
      <c r="N150" s="146"/>
      <c r="O150" s="146"/>
    </row>
    <row r="151" spans="1:15" hidden="1">
      <c r="A151" s="144">
        <v>143</v>
      </c>
      <c r="B151" s="145">
        <v>46508</v>
      </c>
      <c r="C151" s="146"/>
      <c r="D151" s="146"/>
      <c r="E151" s="146"/>
      <c r="F151" s="146"/>
      <c r="G151" s="146"/>
      <c r="H151" s="146"/>
      <c r="I151" s="146"/>
      <c r="J151" s="146">
        <f t="shared" si="12"/>
        <v>0</v>
      </c>
      <c r="K151" s="146">
        <f t="shared" si="13"/>
        <v>0</v>
      </c>
      <c r="L151" s="146">
        <f t="shared" si="11"/>
        <v>0</v>
      </c>
      <c r="M151" s="146"/>
      <c r="N151" s="146"/>
      <c r="O151" s="146"/>
    </row>
    <row r="152" spans="1:15" hidden="1">
      <c r="A152" s="144">
        <v>144</v>
      </c>
      <c r="B152" s="145">
        <v>46539</v>
      </c>
      <c r="C152" s="146"/>
      <c r="D152" s="146"/>
      <c r="E152" s="146"/>
      <c r="F152" s="146"/>
      <c r="G152" s="146"/>
      <c r="H152" s="146"/>
      <c r="I152" s="146"/>
      <c r="J152" s="146">
        <f t="shared" si="12"/>
        <v>0</v>
      </c>
      <c r="K152" s="146">
        <f t="shared" si="13"/>
        <v>0</v>
      </c>
      <c r="L152" s="146">
        <f t="shared" si="11"/>
        <v>0</v>
      </c>
      <c r="M152" s="146"/>
      <c r="N152" s="146"/>
      <c r="O152" s="146"/>
    </row>
    <row r="153" spans="1:15" hidden="1">
      <c r="A153" s="144">
        <v>145</v>
      </c>
      <c r="B153" s="145">
        <v>46569</v>
      </c>
      <c r="C153" s="146"/>
      <c r="D153" s="146"/>
      <c r="E153" s="146"/>
      <c r="F153" s="146"/>
      <c r="G153" s="146"/>
      <c r="H153" s="146"/>
      <c r="I153" s="146"/>
      <c r="J153" s="146">
        <f t="shared" si="12"/>
        <v>0</v>
      </c>
      <c r="K153" s="146">
        <f t="shared" si="13"/>
        <v>0</v>
      </c>
      <c r="L153" s="146">
        <f t="shared" si="11"/>
        <v>0</v>
      </c>
      <c r="M153" s="146"/>
      <c r="N153" s="146"/>
      <c r="O153" s="146"/>
    </row>
    <row r="154" spans="1:15" hidden="1">
      <c r="A154" s="144">
        <v>146</v>
      </c>
      <c r="B154" s="145">
        <v>46600</v>
      </c>
      <c r="C154" s="146"/>
      <c r="D154" s="146"/>
      <c r="E154" s="146"/>
      <c r="F154" s="146"/>
      <c r="G154" s="146"/>
      <c r="H154" s="146"/>
      <c r="I154" s="146"/>
      <c r="J154" s="146">
        <f t="shared" si="12"/>
        <v>0</v>
      </c>
      <c r="K154" s="146">
        <f t="shared" si="13"/>
        <v>0</v>
      </c>
      <c r="L154" s="146">
        <f t="shared" si="11"/>
        <v>0</v>
      </c>
      <c r="M154" s="146"/>
      <c r="N154" s="146"/>
      <c r="O154" s="146"/>
    </row>
    <row r="155" spans="1:15" hidden="1">
      <c r="A155" s="144">
        <v>147</v>
      </c>
      <c r="B155" s="145">
        <v>46631</v>
      </c>
      <c r="C155" s="146"/>
      <c r="D155" s="146"/>
      <c r="E155" s="146"/>
      <c r="F155" s="146"/>
      <c r="G155" s="146"/>
      <c r="H155" s="146"/>
      <c r="I155" s="146"/>
      <c r="J155" s="146">
        <f t="shared" si="12"/>
        <v>0</v>
      </c>
      <c r="K155" s="146">
        <f t="shared" si="13"/>
        <v>0</v>
      </c>
      <c r="L155" s="146">
        <f t="shared" si="11"/>
        <v>0</v>
      </c>
      <c r="M155" s="146"/>
      <c r="N155" s="146"/>
      <c r="O155" s="146"/>
    </row>
    <row r="156" spans="1:15" hidden="1">
      <c r="A156" s="144">
        <v>148</v>
      </c>
      <c r="B156" s="145">
        <v>46661</v>
      </c>
      <c r="C156" s="146"/>
      <c r="D156" s="146"/>
      <c r="E156" s="146"/>
      <c r="F156" s="146"/>
      <c r="G156" s="146"/>
      <c r="H156" s="146"/>
      <c r="I156" s="146"/>
      <c r="J156" s="146">
        <f t="shared" si="12"/>
        <v>0</v>
      </c>
      <c r="K156" s="146">
        <f t="shared" si="13"/>
        <v>0</v>
      </c>
      <c r="L156" s="146">
        <f t="shared" si="11"/>
        <v>0</v>
      </c>
      <c r="M156" s="146"/>
      <c r="N156" s="146"/>
      <c r="O156" s="146"/>
    </row>
    <row r="157" spans="1:15" hidden="1">
      <c r="A157" s="144">
        <v>149</v>
      </c>
      <c r="B157" s="145">
        <v>46692</v>
      </c>
      <c r="C157" s="146"/>
      <c r="D157" s="146"/>
      <c r="E157" s="146"/>
      <c r="F157" s="146"/>
      <c r="G157" s="146"/>
      <c r="H157" s="146"/>
      <c r="I157" s="146"/>
      <c r="J157" s="146">
        <f t="shared" si="12"/>
        <v>0</v>
      </c>
      <c r="K157" s="146">
        <f t="shared" si="13"/>
        <v>0</v>
      </c>
      <c r="L157" s="146">
        <f t="shared" si="11"/>
        <v>0</v>
      </c>
      <c r="M157" s="146"/>
      <c r="N157" s="146"/>
      <c r="O157" s="146"/>
    </row>
    <row r="158" spans="1:15" hidden="1">
      <c r="A158" s="144">
        <v>150</v>
      </c>
      <c r="B158" s="145">
        <v>46722</v>
      </c>
      <c r="C158" s="146"/>
      <c r="D158" s="146"/>
      <c r="E158" s="146"/>
      <c r="F158" s="146"/>
      <c r="G158" s="146"/>
      <c r="H158" s="146"/>
      <c r="I158" s="146"/>
      <c r="J158" s="146">
        <f t="shared" si="12"/>
        <v>0</v>
      </c>
      <c r="K158" s="146">
        <f t="shared" si="13"/>
        <v>0</v>
      </c>
      <c r="L158" s="146">
        <f t="shared" ref="L158:L221" si="14">ROUND(K158*N$39,0)</f>
        <v>0</v>
      </c>
      <c r="M158" s="146"/>
      <c r="N158" s="146"/>
      <c r="O158" s="146"/>
    </row>
    <row r="159" spans="1:15" hidden="1">
      <c r="A159" s="144">
        <v>151</v>
      </c>
      <c r="B159" s="145">
        <v>46753</v>
      </c>
      <c r="C159" s="146"/>
      <c r="D159" s="146"/>
      <c r="E159" s="146"/>
      <c r="F159" s="146"/>
      <c r="G159" s="146"/>
      <c r="H159" s="146"/>
      <c r="I159" s="146"/>
      <c r="J159" s="146">
        <f t="shared" si="12"/>
        <v>0</v>
      </c>
      <c r="K159" s="146">
        <f t="shared" si="13"/>
        <v>0</v>
      </c>
      <c r="L159" s="146">
        <f t="shared" si="14"/>
        <v>0</v>
      </c>
      <c r="M159" s="146"/>
      <c r="N159" s="146"/>
      <c r="O159" s="146"/>
    </row>
    <row r="160" spans="1:15" hidden="1">
      <c r="A160" s="144">
        <v>152</v>
      </c>
      <c r="B160" s="145">
        <v>46784</v>
      </c>
      <c r="C160" s="146"/>
      <c r="D160" s="146"/>
      <c r="E160" s="146"/>
      <c r="F160" s="146"/>
      <c r="G160" s="146"/>
      <c r="H160" s="146"/>
      <c r="I160" s="146"/>
      <c r="J160" s="146">
        <f t="shared" si="12"/>
        <v>0</v>
      </c>
      <c r="K160" s="146">
        <f t="shared" si="13"/>
        <v>0</v>
      </c>
      <c r="L160" s="146">
        <f t="shared" si="14"/>
        <v>0</v>
      </c>
      <c r="M160" s="146"/>
      <c r="N160" s="146"/>
      <c r="O160" s="146"/>
    </row>
    <row r="161" spans="1:15" hidden="1">
      <c r="A161" s="144">
        <v>153</v>
      </c>
      <c r="B161" s="145">
        <v>46813</v>
      </c>
      <c r="C161" s="146"/>
      <c r="D161" s="146"/>
      <c r="E161" s="146"/>
      <c r="F161" s="146"/>
      <c r="G161" s="146"/>
      <c r="H161" s="146"/>
      <c r="I161" s="146"/>
      <c r="J161" s="146">
        <f t="shared" si="12"/>
        <v>0</v>
      </c>
      <c r="K161" s="146">
        <f t="shared" si="13"/>
        <v>0</v>
      </c>
      <c r="L161" s="146">
        <f t="shared" si="14"/>
        <v>0</v>
      </c>
      <c r="M161" s="146"/>
      <c r="N161" s="146"/>
      <c r="O161" s="146"/>
    </row>
    <row r="162" spans="1:15" hidden="1">
      <c r="A162" s="144">
        <v>154</v>
      </c>
      <c r="B162" s="145">
        <v>46844</v>
      </c>
      <c r="C162" s="146"/>
      <c r="D162" s="146"/>
      <c r="E162" s="146"/>
      <c r="F162" s="146"/>
      <c r="G162" s="146"/>
      <c r="H162" s="146"/>
      <c r="I162" s="146"/>
      <c r="J162" s="146">
        <f t="shared" si="12"/>
        <v>0</v>
      </c>
      <c r="K162" s="146">
        <f t="shared" si="13"/>
        <v>0</v>
      </c>
      <c r="L162" s="146">
        <f t="shared" si="14"/>
        <v>0</v>
      </c>
      <c r="M162" s="146"/>
      <c r="N162" s="146"/>
      <c r="O162" s="146"/>
    </row>
    <row r="163" spans="1:15" hidden="1">
      <c r="A163" s="144">
        <v>155</v>
      </c>
      <c r="B163" s="145">
        <v>46874</v>
      </c>
      <c r="C163" s="146"/>
      <c r="D163" s="146"/>
      <c r="E163" s="146"/>
      <c r="F163" s="146"/>
      <c r="G163" s="146"/>
      <c r="H163" s="146"/>
      <c r="I163" s="146"/>
      <c r="J163" s="146">
        <f t="shared" si="12"/>
        <v>0</v>
      </c>
      <c r="K163" s="146">
        <f t="shared" si="13"/>
        <v>0</v>
      </c>
      <c r="L163" s="146">
        <f t="shared" si="14"/>
        <v>0</v>
      </c>
      <c r="M163" s="146"/>
      <c r="N163" s="146"/>
      <c r="O163" s="146"/>
    </row>
    <row r="164" spans="1:15" hidden="1">
      <c r="A164" s="144">
        <v>156</v>
      </c>
      <c r="B164" s="145">
        <v>46905</v>
      </c>
      <c r="C164" s="146"/>
      <c r="D164" s="146"/>
      <c r="E164" s="146"/>
      <c r="F164" s="146"/>
      <c r="G164" s="146"/>
      <c r="H164" s="146"/>
      <c r="I164" s="146"/>
      <c r="J164" s="146">
        <f t="shared" si="12"/>
        <v>0</v>
      </c>
      <c r="K164" s="146">
        <f t="shared" si="13"/>
        <v>0</v>
      </c>
      <c r="L164" s="146">
        <f t="shared" si="14"/>
        <v>0</v>
      </c>
      <c r="M164" s="146"/>
      <c r="N164" s="146"/>
      <c r="O164" s="146"/>
    </row>
    <row r="165" spans="1:15" hidden="1">
      <c r="A165" s="144">
        <v>157</v>
      </c>
      <c r="B165" s="145">
        <v>46935</v>
      </c>
      <c r="C165" s="146"/>
      <c r="D165" s="146"/>
      <c r="E165" s="146"/>
      <c r="F165" s="146"/>
      <c r="G165" s="146"/>
      <c r="H165" s="146"/>
      <c r="I165" s="146"/>
      <c r="J165" s="146">
        <f t="shared" si="12"/>
        <v>0</v>
      </c>
      <c r="K165" s="146">
        <f t="shared" si="13"/>
        <v>0</v>
      </c>
      <c r="L165" s="146">
        <f t="shared" si="14"/>
        <v>0</v>
      </c>
      <c r="M165" s="146"/>
      <c r="N165" s="146"/>
      <c r="O165" s="146"/>
    </row>
    <row r="166" spans="1:15" hidden="1">
      <c r="A166" s="144">
        <v>158</v>
      </c>
      <c r="B166" s="145">
        <v>46966</v>
      </c>
      <c r="C166" s="146"/>
      <c r="D166" s="146"/>
      <c r="E166" s="146"/>
      <c r="F166" s="146"/>
      <c r="G166" s="146"/>
      <c r="H166" s="146"/>
      <c r="I166" s="146"/>
      <c r="J166" s="146">
        <f t="shared" si="12"/>
        <v>0</v>
      </c>
      <c r="K166" s="146">
        <f t="shared" si="13"/>
        <v>0</v>
      </c>
      <c r="L166" s="146">
        <f t="shared" si="14"/>
        <v>0</v>
      </c>
      <c r="M166" s="146"/>
      <c r="N166" s="146"/>
      <c r="O166" s="146"/>
    </row>
    <row r="167" spans="1:15" hidden="1">
      <c r="A167" s="144">
        <v>159</v>
      </c>
      <c r="B167" s="145">
        <v>46997</v>
      </c>
      <c r="C167" s="146"/>
      <c r="D167" s="146"/>
      <c r="E167" s="146"/>
      <c r="F167" s="146"/>
      <c r="G167" s="146"/>
      <c r="H167" s="146"/>
      <c r="I167" s="146"/>
      <c r="J167" s="146">
        <f t="shared" si="12"/>
        <v>0</v>
      </c>
      <c r="K167" s="146">
        <f t="shared" si="13"/>
        <v>0</v>
      </c>
      <c r="L167" s="146">
        <f t="shared" si="14"/>
        <v>0</v>
      </c>
      <c r="M167" s="146"/>
      <c r="N167" s="146"/>
      <c r="O167" s="146"/>
    </row>
    <row r="168" spans="1:15" hidden="1">
      <c r="A168" s="144">
        <v>160</v>
      </c>
      <c r="B168" s="145">
        <v>47027</v>
      </c>
      <c r="C168" s="146"/>
      <c r="D168" s="146"/>
      <c r="E168" s="146"/>
      <c r="F168" s="146"/>
      <c r="G168" s="146"/>
      <c r="H168" s="146"/>
      <c r="I168" s="146"/>
      <c r="J168" s="146">
        <f t="shared" si="12"/>
        <v>0</v>
      </c>
      <c r="K168" s="146">
        <f t="shared" si="13"/>
        <v>0</v>
      </c>
      <c r="L168" s="146">
        <f t="shared" si="14"/>
        <v>0</v>
      </c>
      <c r="M168" s="146"/>
      <c r="N168" s="146"/>
      <c r="O168" s="146"/>
    </row>
    <row r="169" spans="1:15" hidden="1">
      <c r="A169" s="144">
        <v>161</v>
      </c>
      <c r="B169" s="145">
        <v>47058</v>
      </c>
      <c r="C169" s="146"/>
      <c r="D169" s="146"/>
      <c r="E169" s="146"/>
      <c r="F169" s="146"/>
      <c r="G169" s="146"/>
      <c r="H169" s="146"/>
      <c r="I169" s="146"/>
      <c r="J169" s="146">
        <f t="shared" si="12"/>
        <v>0</v>
      </c>
      <c r="K169" s="146">
        <f t="shared" si="13"/>
        <v>0</v>
      </c>
      <c r="L169" s="146">
        <f t="shared" si="14"/>
        <v>0</v>
      </c>
      <c r="M169" s="146"/>
      <c r="N169" s="146"/>
      <c r="O169" s="146"/>
    </row>
    <row r="170" spans="1:15" hidden="1">
      <c r="A170" s="144">
        <v>162</v>
      </c>
      <c r="B170" s="145">
        <v>47088</v>
      </c>
      <c r="C170" s="146"/>
      <c r="D170" s="146"/>
      <c r="E170" s="146"/>
      <c r="F170" s="146"/>
      <c r="G170" s="146"/>
      <c r="H170" s="146"/>
      <c r="I170" s="146"/>
      <c r="J170" s="146">
        <f t="shared" si="12"/>
        <v>0</v>
      </c>
      <c r="K170" s="146">
        <f t="shared" si="13"/>
        <v>0</v>
      </c>
      <c r="L170" s="146">
        <f t="shared" si="14"/>
        <v>0</v>
      </c>
      <c r="M170" s="146"/>
      <c r="N170" s="146"/>
      <c r="O170" s="146"/>
    </row>
    <row r="171" spans="1:15" hidden="1">
      <c r="A171" s="144">
        <v>163</v>
      </c>
      <c r="B171" s="145">
        <v>47119</v>
      </c>
      <c r="C171" s="146"/>
      <c r="D171" s="146"/>
      <c r="E171" s="146"/>
      <c r="F171" s="146"/>
      <c r="G171" s="146"/>
      <c r="H171" s="146"/>
      <c r="I171" s="146"/>
      <c r="J171" s="146">
        <f t="shared" si="12"/>
        <v>0</v>
      </c>
      <c r="K171" s="146">
        <f t="shared" si="13"/>
        <v>0</v>
      </c>
      <c r="L171" s="146">
        <f t="shared" si="14"/>
        <v>0</v>
      </c>
      <c r="M171" s="146"/>
      <c r="N171" s="146"/>
      <c r="O171" s="146"/>
    </row>
    <row r="172" spans="1:15" hidden="1">
      <c r="A172" s="144">
        <v>164</v>
      </c>
      <c r="B172" s="145">
        <v>47150</v>
      </c>
      <c r="C172" s="146"/>
      <c r="D172" s="146"/>
      <c r="E172" s="146"/>
      <c r="F172" s="146"/>
      <c r="G172" s="146"/>
      <c r="H172" s="146"/>
      <c r="I172" s="146"/>
      <c r="J172" s="146">
        <f t="shared" si="12"/>
        <v>0</v>
      </c>
      <c r="K172" s="146">
        <f t="shared" si="13"/>
        <v>0</v>
      </c>
      <c r="L172" s="146">
        <f t="shared" si="14"/>
        <v>0</v>
      </c>
      <c r="M172" s="146"/>
      <c r="N172" s="146"/>
      <c r="O172" s="146"/>
    </row>
    <row r="173" spans="1:15" hidden="1">
      <c r="A173" s="144">
        <v>165</v>
      </c>
      <c r="B173" s="145">
        <v>47178</v>
      </c>
      <c r="C173" s="146"/>
      <c r="D173" s="146"/>
      <c r="E173" s="146"/>
      <c r="F173" s="146"/>
      <c r="G173" s="146"/>
      <c r="H173" s="146"/>
      <c r="I173" s="146"/>
      <c r="J173" s="146">
        <f t="shared" si="12"/>
        <v>0</v>
      </c>
      <c r="K173" s="146">
        <f t="shared" si="13"/>
        <v>0</v>
      </c>
      <c r="L173" s="146">
        <f t="shared" si="14"/>
        <v>0</v>
      </c>
      <c r="M173" s="146"/>
      <c r="N173" s="146"/>
      <c r="O173" s="146"/>
    </row>
    <row r="174" spans="1:15" hidden="1">
      <c r="A174" s="144">
        <v>166</v>
      </c>
      <c r="B174" s="145">
        <v>47209</v>
      </c>
      <c r="C174" s="146"/>
      <c r="D174" s="146"/>
      <c r="E174" s="146"/>
      <c r="F174" s="146"/>
      <c r="G174" s="146"/>
      <c r="H174" s="146"/>
      <c r="I174" s="146"/>
      <c r="J174" s="146">
        <f t="shared" si="12"/>
        <v>0</v>
      </c>
      <c r="K174" s="146">
        <f t="shared" si="13"/>
        <v>0</v>
      </c>
      <c r="L174" s="146">
        <f t="shared" si="14"/>
        <v>0</v>
      </c>
      <c r="M174" s="146"/>
      <c r="N174" s="146"/>
      <c r="O174" s="146"/>
    </row>
    <row r="175" spans="1:15" hidden="1">
      <c r="A175" s="144">
        <v>167</v>
      </c>
      <c r="B175" s="145">
        <v>47239</v>
      </c>
      <c r="C175" s="146"/>
      <c r="D175" s="146"/>
      <c r="E175" s="146"/>
      <c r="F175" s="146"/>
      <c r="G175" s="146"/>
      <c r="H175" s="146"/>
      <c r="I175" s="146"/>
      <c r="J175" s="146">
        <f t="shared" si="12"/>
        <v>0</v>
      </c>
      <c r="K175" s="146">
        <f t="shared" si="13"/>
        <v>0</v>
      </c>
      <c r="L175" s="146">
        <f t="shared" si="14"/>
        <v>0</v>
      </c>
      <c r="M175" s="146"/>
      <c r="N175" s="146"/>
      <c r="O175" s="146"/>
    </row>
    <row r="176" spans="1:15" hidden="1">
      <c r="A176" s="144">
        <v>168</v>
      </c>
      <c r="B176" s="145">
        <v>47270</v>
      </c>
      <c r="C176" s="146"/>
      <c r="D176" s="146"/>
      <c r="E176" s="146"/>
      <c r="F176" s="146"/>
      <c r="G176" s="146"/>
      <c r="H176" s="146"/>
      <c r="I176" s="146"/>
      <c r="J176" s="146">
        <f t="shared" si="12"/>
        <v>0</v>
      </c>
      <c r="K176" s="146">
        <f t="shared" si="13"/>
        <v>0</v>
      </c>
      <c r="L176" s="146">
        <f t="shared" si="14"/>
        <v>0</v>
      </c>
      <c r="M176" s="146"/>
      <c r="N176" s="146"/>
      <c r="O176" s="146"/>
    </row>
    <row r="177" spans="1:15" hidden="1">
      <c r="A177" s="144">
        <v>169</v>
      </c>
      <c r="B177" s="145">
        <v>47300</v>
      </c>
      <c r="C177" s="146"/>
      <c r="D177" s="146"/>
      <c r="E177" s="146"/>
      <c r="F177" s="146"/>
      <c r="G177" s="146"/>
      <c r="H177" s="146"/>
      <c r="I177" s="146"/>
      <c r="J177" s="146">
        <f t="shared" si="12"/>
        <v>0</v>
      </c>
      <c r="K177" s="146">
        <f t="shared" si="13"/>
        <v>0</v>
      </c>
      <c r="L177" s="146">
        <f t="shared" si="14"/>
        <v>0</v>
      </c>
      <c r="M177" s="146"/>
      <c r="N177" s="146"/>
      <c r="O177" s="146"/>
    </row>
    <row r="178" spans="1:15" hidden="1">
      <c r="A178" s="144">
        <v>170</v>
      </c>
      <c r="B178" s="145">
        <v>47331</v>
      </c>
      <c r="C178" s="146"/>
      <c r="D178" s="146"/>
      <c r="E178" s="146"/>
      <c r="F178" s="146"/>
      <c r="G178" s="146"/>
      <c r="H178" s="146"/>
      <c r="I178" s="146"/>
      <c r="J178" s="146">
        <f t="shared" si="12"/>
        <v>0</v>
      </c>
      <c r="K178" s="146">
        <f t="shared" si="13"/>
        <v>0</v>
      </c>
      <c r="L178" s="146">
        <f t="shared" si="14"/>
        <v>0</v>
      </c>
      <c r="M178" s="146"/>
      <c r="N178" s="146"/>
      <c r="O178" s="146"/>
    </row>
    <row r="179" spans="1:15" hidden="1">
      <c r="A179" s="144">
        <v>171</v>
      </c>
      <c r="B179" s="145">
        <v>47362</v>
      </c>
      <c r="C179" s="146"/>
      <c r="D179" s="146"/>
      <c r="E179" s="146"/>
      <c r="F179" s="146"/>
      <c r="G179" s="146"/>
      <c r="H179" s="146"/>
      <c r="I179" s="146"/>
      <c r="J179" s="146">
        <f t="shared" si="12"/>
        <v>0</v>
      </c>
      <c r="K179" s="146">
        <f t="shared" si="13"/>
        <v>0</v>
      </c>
      <c r="L179" s="146">
        <f t="shared" si="14"/>
        <v>0</v>
      </c>
      <c r="M179" s="146"/>
      <c r="N179" s="146"/>
      <c r="O179" s="146"/>
    </row>
    <row r="180" spans="1:15" hidden="1">
      <c r="A180" s="144">
        <v>172</v>
      </c>
      <c r="B180" s="145">
        <v>47392</v>
      </c>
      <c r="C180" s="146"/>
      <c r="D180" s="146"/>
      <c r="E180" s="146"/>
      <c r="F180" s="146"/>
      <c r="G180" s="146"/>
      <c r="H180" s="146"/>
      <c r="I180" s="146"/>
      <c r="J180" s="146">
        <f t="shared" si="12"/>
        <v>0</v>
      </c>
      <c r="K180" s="146">
        <f t="shared" si="13"/>
        <v>0</v>
      </c>
      <c r="L180" s="146">
        <f t="shared" si="14"/>
        <v>0</v>
      </c>
      <c r="M180" s="146"/>
      <c r="N180" s="146"/>
      <c r="O180" s="146"/>
    </row>
    <row r="181" spans="1:15" hidden="1">
      <c r="A181" s="144">
        <v>173</v>
      </c>
      <c r="B181" s="145">
        <v>47423</v>
      </c>
      <c r="C181" s="146"/>
      <c r="D181" s="146"/>
      <c r="E181" s="146"/>
      <c r="F181" s="146"/>
      <c r="G181" s="146"/>
      <c r="H181" s="146"/>
      <c r="I181" s="146"/>
      <c r="J181" s="146">
        <f t="shared" si="12"/>
        <v>0</v>
      </c>
      <c r="K181" s="146">
        <f t="shared" si="13"/>
        <v>0</v>
      </c>
      <c r="L181" s="146">
        <f t="shared" si="14"/>
        <v>0</v>
      </c>
      <c r="M181" s="146"/>
      <c r="N181" s="146"/>
      <c r="O181" s="146"/>
    </row>
    <row r="182" spans="1:15" hidden="1">
      <c r="A182" s="144">
        <v>174</v>
      </c>
      <c r="B182" s="145">
        <v>47453</v>
      </c>
      <c r="C182" s="146"/>
      <c r="D182" s="146"/>
      <c r="E182" s="146"/>
      <c r="F182" s="146"/>
      <c r="G182" s="146"/>
      <c r="H182" s="146"/>
      <c r="I182" s="146"/>
      <c r="J182" s="146">
        <f t="shared" si="12"/>
        <v>0</v>
      </c>
      <c r="K182" s="146">
        <f t="shared" si="13"/>
        <v>0</v>
      </c>
      <c r="L182" s="146">
        <f t="shared" si="14"/>
        <v>0</v>
      </c>
      <c r="M182" s="146"/>
      <c r="N182" s="146"/>
      <c r="O182" s="146"/>
    </row>
    <row r="183" spans="1:15" hidden="1">
      <c r="A183" s="144">
        <v>175</v>
      </c>
      <c r="B183" s="145">
        <v>47484</v>
      </c>
      <c r="C183" s="146"/>
      <c r="D183" s="146"/>
      <c r="E183" s="146"/>
      <c r="F183" s="146"/>
      <c r="G183" s="146"/>
      <c r="H183" s="146"/>
      <c r="I183" s="146"/>
      <c r="J183" s="146">
        <f t="shared" si="12"/>
        <v>0</v>
      </c>
      <c r="K183" s="146">
        <f t="shared" si="13"/>
        <v>0</v>
      </c>
      <c r="L183" s="146">
        <f t="shared" si="14"/>
        <v>0</v>
      </c>
      <c r="M183" s="146"/>
      <c r="N183" s="146"/>
      <c r="O183" s="146"/>
    </row>
    <row r="184" spans="1:15" hidden="1">
      <c r="A184" s="144">
        <v>176</v>
      </c>
      <c r="B184" s="145">
        <v>47515</v>
      </c>
      <c r="C184" s="146"/>
      <c r="D184" s="146"/>
      <c r="E184" s="146"/>
      <c r="F184" s="146"/>
      <c r="G184" s="146"/>
      <c r="H184" s="146"/>
      <c r="I184" s="146"/>
      <c r="J184" s="146">
        <f t="shared" si="12"/>
        <v>0</v>
      </c>
      <c r="K184" s="146">
        <f t="shared" si="13"/>
        <v>0</v>
      </c>
      <c r="L184" s="146">
        <f t="shared" si="14"/>
        <v>0</v>
      </c>
      <c r="M184" s="146"/>
      <c r="N184" s="146"/>
      <c r="O184" s="146"/>
    </row>
    <row r="185" spans="1:15" hidden="1">
      <c r="A185" s="144">
        <v>177</v>
      </c>
      <c r="B185" s="145">
        <v>47543</v>
      </c>
      <c r="C185" s="146"/>
      <c r="D185" s="146"/>
      <c r="E185" s="146"/>
      <c r="F185" s="146"/>
      <c r="G185" s="146"/>
      <c r="H185" s="146"/>
      <c r="I185" s="146"/>
      <c r="J185" s="146">
        <f t="shared" si="12"/>
        <v>0</v>
      </c>
      <c r="K185" s="146">
        <f t="shared" si="13"/>
        <v>0</v>
      </c>
      <c r="L185" s="146">
        <f t="shared" si="14"/>
        <v>0</v>
      </c>
      <c r="M185" s="146"/>
      <c r="N185" s="146"/>
      <c r="O185" s="146"/>
    </row>
    <row r="186" spans="1:15" hidden="1">
      <c r="A186" s="144">
        <v>178</v>
      </c>
      <c r="B186" s="145">
        <v>47574</v>
      </c>
      <c r="C186" s="146"/>
      <c r="D186" s="146"/>
      <c r="E186" s="146"/>
      <c r="F186" s="146"/>
      <c r="G186" s="146"/>
      <c r="H186" s="146"/>
      <c r="I186" s="146"/>
      <c r="J186" s="146">
        <f t="shared" si="12"/>
        <v>0</v>
      </c>
      <c r="K186" s="146">
        <f t="shared" si="13"/>
        <v>0</v>
      </c>
      <c r="L186" s="146">
        <f t="shared" si="14"/>
        <v>0</v>
      </c>
      <c r="M186" s="146"/>
      <c r="N186" s="146"/>
      <c r="O186" s="146"/>
    </row>
    <row r="187" spans="1:15" hidden="1">
      <c r="A187" s="144">
        <v>179</v>
      </c>
      <c r="B187" s="145">
        <v>47604</v>
      </c>
      <c r="C187" s="146"/>
      <c r="D187" s="146"/>
      <c r="E187" s="146"/>
      <c r="F187" s="146"/>
      <c r="G187" s="146"/>
      <c r="H187" s="146"/>
      <c r="I187" s="146"/>
      <c r="J187" s="146">
        <f t="shared" si="12"/>
        <v>0</v>
      </c>
      <c r="K187" s="146">
        <f t="shared" si="13"/>
        <v>0</v>
      </c>
      <c r="L187" s="146">
        <f t="shared" si="14"/>
        <v>0</v>
      </c>
      <c r="M187" s="146"/>
      <c r="N187" s="146"/>
      <c r="O187" s="146"/>
    </row>
    <row r="188" spans="1:15" hidden="1">
      <c r="A188" s="144">
        <v>180</v>
      </c>
      <c r="B188" s="145">
        <v>47635</v>
      </c>
      <c r="C188" s="146"/>
      <c r="D188" s="146"/>
      <c r="E188" s="146"/>
      <c r="F188" s="146"/>
      <c r="G188" s="146"/>
      <c r="H188" s="146"/>
      <c r="I188" s="146"/>
      <c r="J188" s="146">
        <f t="shared" si="12"/>
        <v>0</v>
      </c>
      <c r="K188" s="146">
        <f t="shared" si="13"/>
        <v>0</v>
      </c>
      <c r="L188" s="146">
        <f t="shared" si="14"/>
        <v>0</v>
      </c>
      <c r="M188" s="146"/>
      <c r="N188" s="146"/>
      <c r="O188" s="146"/>
    </row>
    <row r="189" spans="1:15" hidden="1">
      <c r="A189" s="144">
        <v>181</v>
      </c>
      <c r="B189" s="145">
        <v>47665</v>
      </c>
      <c r="C189" s="146"/>
      <c r="D189" s="146"/>
      <c r="E189" s="146"/>
      <c r="F189" s="146"/>
      <c r="G189" s="146"/>
      <c r="H189" s="146"/>
      <c r="I189" s="146"/>
      <c r="J189" s="146">
        <f t="shared" si="12"/>
        <v>0</v>
      </c>
      <c r="K189" s="146">
        <f t="shared" si="13"/>
        <v>0</v>
      </c>
      <c r="L189" s="146">
        <f t="shared" si="14"/>
        <v>0</v>
      </c>
      <c r="M189" s="146"/>
      <c r="N189" s="146"/>
      <c r="O189" s="146"/>
    </row>
    <row r="190" spans="1:15" hidden="1">
      <c r="A190" s="144">
        <v>182</v>
      </c>
      <c r="B190" s="145">
        <v>47696</v>
      </c>
      <c r="C190" s="146"/>
      <c r="D190" s="146"/>
      <c r="E190" s="146"/>
      <c r="F190" s="146"/>
      <c r="G190" s="146"/>
      <c r="H190" s="146"/>
      <c r="I190" s="146"/>
      <c r="J190" s="146">
        <f t="shared" si="12"/>
        <v>0</v>
      </c>
      <c r="K190" s="146">
        <f t="shared" si="13"/>
        <v>0</v>
      </c>
      <c r="L190" s="146">
        <f t="shared" si="14"/>
        <v>0</v>
      </c>
      <c r="M190" s="146"/>
      <c r="N190" s="146"/>
      <c r="O190" s="146"/>
    </row>
    <row r="191" spans="1:15" hidden="1">
      <c r="A191" s="144">
        <v>183</v>
      </c>
      <c r="B191" s="145">
        <v>47727</v>
      </c>
      <c r="C191" s="146"/>
      <c r="D191" s="146"/>
      <c r="E191" s="146"/>
      <c r="F191" s="146"/>
      <c r="G191" s="146"/>
      <c r="H191" s="146"/>
      <c r="I191" s="146"/>
      <c r="J191" s="146">
        <f t="shared" si="12"/>
        <v>0</v>
      </c>
      <c r="K191" s="146">
        <f t="shared" si="13"/>
        <v>0</v>
      </c>
      <c r="L191" s="146">
        <f t="shared" si="14"/>
        <v>0</v>
      </c>
      <c r="M191" s="146"/>
      <c r="N191" s="146"/>
      <c r="O191" s="146"/>
    </row>
    <row r="192" spans="1:15" hidden="1">
      <c r="A192" s="144">
        <v>184</v>
      </c>
      <c r="B192" s="145">
        <v>47757</v>
      </c>
      <c r="C192" s="146"/>
      <c r="D192" s="146"/>
      <c r="E192" s="146"/>
      <c r="F192" s="146"/>
      <c r="G192" s="146"/>
      <c r="H192" s="146"/>
      <c r="I192" s="146"/>
      <c r="J192" s="146">
        <f t="shared" si="12"/>
        <v>0</v>
      </c>
      <c r="K192" s="146">
        <f t="shared" si="13"/>
        <v>0</v>
      </c>
      <c r="L192" s="146">
        <f t="shared" si="14"/>
        <v>0</v>
      </c>
      <c r="M192" s="146"/>
      <c r="N192" s="146"/>
      <c r="O192" s="146"/>
    </row>
    <row r="193" spans="1:15" hidden="1">
      <c r="A193" s="144">
        <v>185</v>
      </c>
      <c r="B193" s="145">
        <v>47788</v>
      </c>
      <c r="C193" s="146"/>
      <c r="D193" s="146"/>
      <c r="E193" s="146"/>
      <c r="F193" s="146"/>
      <c r="G193" s="146"/>
      <c r="H193" s="146"/>
      <c r="I193" s="146"/>
      <c r="J193" s="146">
        <f t="shared" si="12"/>
        <v>0</v>
      </c>
      <c r="K193" s="146">
        <f t="shared" si="13"/>
        <v>0</v>
      </c>
      <c r="L193" s="146">
        <f t="shared" si="14"/>
        <v>0</v>
      </c>
      <c r="M193" s="146"/>
      <c r="N193" s="146"/>
      <c r="O193" s="146"/>
    </row>
    <row r="194" spans="1:15" hidden="1">
      <c r="A194" s="144">
        <v>186</v>
      </c>
      <c r="B194" s="145">
        <v>47818</v>
      </c>
      <c r="C194" s="146"/>
      <c r="D194" s="146"/>
      <c r="E194" s="146"/>
      <c r="F194" s="146"/>
      <c r="G194" s="146"/>
      <c r="H194" s="146"/>
      <c r="I194" s="146"/>
      <c r="J194" s="146">
        <f t="shared" si="12"/>
        <v>0</v>
      </c>
      <c r="K194" s="146">
        <f t="shared" si="13"/>
        <v>0</v>
      </c>
      <c r="L194" s="146">
        <f t="shared" si="14"/>
        <v>0</v>
      </c>
      <c r="M194" s="146"/>
      <c r="N194" s="146"/>
      <c r="O194" s="146"/>
    </row>
    <row r="195" spans="1:15" hidden="1">
      <c r="A195" s="144">
        <v>187</v>
      </c>
      <c r="B195" s="145">
        <v>47849</v>
      </c>
      <c r="C195" s="146"/>
      <c r="D195" s="146"/>
      <c r="E195" s="146"/>
      <c r="F195" s="146"/>
      <c r="G195" s="146"/>
      <c r="H195" s="146"/>
      <c r="I195" s="146"/>
      <c r="J195" s="146">
        <f t="shared" si="12"/>
        <v>0</v>
      </c>
      <c r="K195" s="146">
        <f t="shared" si="13"/>
        <v>0</v>
      </c>
      <c r="L195" s="146">
        <f t="shared" si="14"/>
        <v>0</v>
      </c>
      <c r="M195" s="146"/>
      <c r="N195" s="146"/>
      <c r="O195" s="146"/>
    </row>
    <row r="196" spans="1:15" hidden="1">
      <c r="A196" s="144">
        <v>188</v>
      </c>
      <c r="B196" s="145">
        <v>47880</v>
      </c>
      <c r="C196" s="146"/>
      <c r="D196" s="146"/>
      <c r="E196" s="146"/>
      <c r="F196" s="146"/>
      <c r="G196" s="146"/>
      <c r="H196" s="146"/>
      <c r="I196" s="146"/>
      <c r="J196" s="146">
        <f t="shared" si="12"/>
        <v>0</v>
      </c>
      <c r="K196" s="146">
        <f t="shared" si="13"/>
        <v>0</v>
      </c>
      <c r="L196" s="146">
        <f t="shared" si="14"/>
        <v>0</v>
      </c>
      <c r="M196" s="146"/>
      <c r="N196" s="146"/>
      <c r="O196" s="146"/>
    </row>
    <row r="197" spans="1:15" hidden="1">
      <c r="A197" s="144">
        <v>189</v>
      </c>
      <c r="B197" s="145">
        <v>47908</v>
      </c>
      <c r="C197" s="146"/>
      <c r="D197" s="146"/>
      <c r="E197" s="146"/>
      <c r="F197" s="146"/>
      <c r="G197" s="146"/>
      <c r="H197" s="146"/>
      <c r="I197" s="146"/>
      <c r="J197" s="146">
        <f t="shared" si="12"/>
        <v>0</v>
      </c>
      <c r="K197" s="146">
        <f t="shared" si="13"/>
        <v>0</v>
      </c>
      <c r="L197" s="146">
        <f t="shared" si="14"/>
        <v>0</v>
      </c>
      <c r="M197" s="146"/>
      <c r="N197" s="146"/>
      <c r="O197" s="146"/>
    </row>
    <row r="198" spans="1:15" hidden="1">
      <c r="A198" s="144">
        <v>190</v>
      </c>
      <c r="B198" s="145">
        <v>47939</v>
      </c>
      <c r="C198" s="146"/>
      <c r="D198" s="146"/>
      <c r="E198" s="146"/>
      <c r="F198" s="146"/>
      <c r="G198" s="146"/>
      <c r="H198" s="146"/>
      <c r="I198" s="146"/>
      <c r="J198" s="146">
        <f t="shared" si="12"/>
        <v>0</v>
      </c>
      <c r="K198" s="146">
        <f t="shared" si="13"/>
        <v>0</v>
      </c>
      <c r="L198" s="146">
        <f t="shared" si="14"/>
        <v>0</v>
      </c>
      <c r="M198" s="146"/>
      <c r="N198" s="146"/>
      <c r="O198" s="146"/>
    </row>
    <row r="199" spans="1:15" hidden="1">
      <c r="A199" s="144">
        <v>191</v>
      </c>
      <c r="B199" s="145">
        <v>47969</v>
      </c>
      <c r="C199" s="146"/>
      <c r="D199" s="146"/>
      <c r="E199" s="146"/>
      <c r="F199" s="146"/>
      <c r="G199" s="146"/>
      <c r="H199" s="146"/>
      <c r="I199" s="146"/>
      <c r="J199" s="146">
        <f t="shared" si="12"/>
        <v>0</v>
      </c>
      <c r="K199" s="146">
        <f t="shared" si="13"/>
        <v>0</v>
      </c>
      <c r="L199" s="146">
        <f t="shared" si="14"/>
        <v>0</v>
      </c>
      <c r="M199" s="146"/>
      <c r="N199" s="146"/>
      <c r="O199" s="146"/>
    </row>
    <row r="200" spans="1:15" hidden="1">
      <c r="A200" s="144">
        <v>192</v>
      </c>
      <c r="B200" s="145">
        <v>48000</v>
      </c>
      <c r="C200" s="146"/>
      <c r="D200" s="146"/>
      <c r="E200" s="146"/>
      <c r="F200" s="146"/>
      <c r="G200" s="146"/>
      <c r="H200" s="146"/>
      <c r="I200" s="146"/>
      <c r="J200" s="146">
        <f t="shared" si="12"/>
        <v>0</v>
      </c>
      <c r="K200" s="146">
        <f t="shared" si="13"/>
        <v>0</v>
      </c>
      <c r="L200" s="146">
        <f t="shared" si="14"/>
        <v>0</v>
      </c>
      <c r="M200" s="146"/>
      <c r="N200" s="146"/>
      <c r="O200" s="146"/>
    </row>
    <row r="201" spans="1:15" hidden="1">
      <c r="A201" s="144">
        <v>193</v>
      </c>
      <c r="B201" s="145">
        <v>48030</v>
      </c>
      <c r="C201" s="146"/>
      <c r="D201" s="146"/>
      <c r="E201" s="146"/>
      <c r="F201" s="146"/>
      <c r="G201" s="146"/>
      <c r="H201" s="146"/>
      <c r="I201" s="146"/>
      <c r="J201" s="146">
        <f t="shared" si="12"/>
        <v>0</v>
      </c>
      <c r="K201" s="146">
        <f t="shared" si="13"/>
        <v>0</v>
      </c>
      <c r="L201" s="146">
        <f t="shared" si="14"/>
        <v>0</v>
      </c>
      <c r="M201" s="146"/>
      <c r="N201" s="146"/>
      <c r="O201" s="146"/>
    </row>
    <row r="202" spans="1:15" hidden="1">
      <c r="A202" s="144">
        <v>194</v>
      </c>
      <c r="B202" s="145">
        <v>48061</v>
      </c>
      <c r="C202" s="146"/>
      <c r="D202" s="146"/>
      <c r="E202" s="146"/>
      <c r="F202" s="146"/>
      <c r="G202" s="146"/>
      <c r="H202" s="146"/>
      <c r="I202" s="146"/>
      <c r="J202" s="146">
        <f t="shared" ref="J202:J265" si="15">SUM(C202:I202)</f>
        <v>0</v>
      </c>
      <c r="K202" s="146">
        <f t="shared" si="13"/>
        <v>0</v>
      </c>
      <c r="L202" s="146">
        <f t="shared" si="14"/>
        <v>0</v>
      </c>
      <c r="M202" s="146"/>
      <c r="N202" s="146"/>
      <c r="O202" s="146"/>
    </row>
    <row r="203" spans="1:15" hidden="1">
      <c r="A203" s="144">
        <v>195</v>
      </c>
      <c r="B203" s="145">
        <v>48092</v>
      </c>
      <c r="C203" s="146"/>
      <c r="D203" s="146"/>
      <c r="E203" s="146"/>
      <c r="F203" s="146"/>
      <c r="G203" s="146"/>
      <c r="H203" s="146"/>
      <c r="I203" s="146"/>
      <c r="J203" s="146">
        <f t="shared" si="15"/>
        <v>0</v>
      </c>
      <c r="K203" s="146">
        <f t="shared" si="13"/>
        <v>0</v>
      </c>
      <c r="L203" s="146">
        <f t="shared" si="14"/>
        <v>0</v>
      </c>
      <c r="M203" s="146"/>
      <c r="N203" s="146"/>
      <c r="O203" s="146"/>
    </row>
    <row r="204" spans="1:15" hidden="1">
      <c r="A204" s="144">
        <v>196</v>
      </c>
      <c r="B204" s="145">
        <v>48122</v>
      </c>
      <c r="C204" s="146"/>
      <c r="D204" s="146"/>
      <c r="E204" s="146"/>
      <c r="F204" s="146"/>
      <c r="G204" s="146"/>
      <c r="H204" s="146"/>
      <c r="I204" s="146"/>
      <c r="J204" s="146">
        <f t="shared" si="15"/>
        <v>0</v>
      </c>
      <c r="K204" s="146">
        <f t="shared" si="13"/>
        <v>0</v>
      </c>
      <c r="L204" s="146">
        <f t="shared" si="14"/>
        <v>0</v>
      </c>
      <c r="M204" s="146"/>
      <c r="N204" s="146"/>
      <c r="O204" s="146"/>
    </row>
    <row r="205" spans="1:15" hidden="1">
      <c r="A205" s="144">
        <v>197</v>
      </c>
      <c r="B205" s="145">
        <v>48153</v>
      </c>
      <c r="C205" s="146"/>
      <c r="D205" s="146"/>
      <c r="E205" s="146"/>
      <c r="F205" s="146"/>
      <c r="G205" s="146"/>
      <c r="H205" s="146"/>
      <c r="I205" s="146"/>
      <c r="J205" s="146">
        <f t="shared" si="15"/>
        <v>0</v>
      </c>
      <c r="K205" s="146">
        <f t="shared" si="13"/>
        <v>0</v>
      </c>
      <c r="L205" s="146">
        <f t="shared" si="14"/>
        <v>0</v>
      </c>
      <c r="M205" s="146"/>
      <c r="N205" s="146"/>
      <c r="O205" s="146"/>
    </row>
    <row r="206" spans="1:15" hidden="1">
      <c r="A206" s="144">
        <v>198</v>
      </c>
      <c r="B206" s="145">
        <v>48183</v>
      </c>
      <c r="C206" s="146"/>
      <c r="D206" s="146"/>
      <c r="E206" s="146"/>
      <c r="F206" s="146"/>
      <c r="G206" s="146"/>
      <c r="H206" s="146"/>
      <c r="I206" s="146"/>
      <c r="J206" s="146">
        <f t="shared" si="15"/>
        <v>0</v>
      </c>
      <c r="K206" s="146">
        <f t="shared" si="13"/>
        <v>0</v>
      </c>
      <c r="L206" s="146">
        <f t="shared" si="14"/>
        <v>0</v>
      </c>
      <c r="M206" s="146"/>
      <c r="N206" s="146"/>
      <c r="O206" s="146"/>
    </row>
    <row r="207" spans="1:15" hidden="1">
      <c r="A207" s="144">
        <v>199</v>
      </c>
      <c r="B207" s="145">
        <v>48214</v>
      </c>
      <c r="C207" s="146"/>
      <c r="D207" s="146"/>
      <c r="E207" s="146"/>
      <c r="F207" s="146"/>
      <c r="G207" s="146"/>
      <c r="H207" s="146"/>
      <c r="I207" s="146"/>
      <c r="J207" s="146">
        <f t="shared" si="15"/>
        <v>0</v>
      </c>
      <c r="K207" s="146">
        <f t="shared" si="13"/>
        <v>0</v>
      </c>
      <c r="L207" s="146">
        <f t="shared" si="14"/>
        <v>0</v>
      </c>
      <c r="M207" s="146"/>
      <c r="N207" s="146"/>
      <c r="O207" s="146"/>
    </row>
    <row r="208" spans="1:15" hidden="1">
      <c r="A208" s="144">
        <v>200</v>
      </c>
      <c r="B208" s="145">
        <v>48245</v>
      </c>
      <c r="C208" s="146"/>
      <c r="D208" s="146"/>
      <c r="E208" s="146"/>
      <c r="F208" s="146"/>
      <c r="G208" s="146"/>
      <c r="H208" s="146"/>
      <c r="I208" s="146"/>
      <c r="J208" s="146">
        <f t="shared" si="15"/>
        <v>0</v>
      </c>
      <c r="K208" s="146">
        <f t="shared" si="13"/>
        <v>0</v>
      </c>
      <c r="L208" s="146">
        <f t="shared" si="14"/>
        <v>0</v>
      </c>
      <c r="M208" s="146"/>
      <c r="N208" s="146"/>
      <c r="O208" s="146"/>
    </row>
    <row r="209" spans="1:15" hidden="1">
      <c r="A209" s="144">
        <v>201</v>
      </c>
      <c r="B209" s="145">
        <v>48274</v>
      </c>
      <c r="C209" s="146"/>
      <c r="D209" s="146"/>
      <c r="E209" s="146"/>
      <c r="F209" s="146"/>
      <c r="G209" s="146"/>
      <c r="H209" s="146"/>
      <c r="I209" s="146"/>
      <c r="J209" s="146">
        <f t="shared" si="15"/>
        <v>0</v>
      </c>
      <c r="K209" s="146">
        <f t="shared" si="13"/>
        <v>0</v>
      </c>
      <c r="L209" s="146">
        <f t="shared" si="14"/>
        <v>0</v>
      </c>
      <c r="M209" s="146"/>
      <c r="N209" s="146"/>
      <c r="O209" s="146"/>
    </row>
    <row r="210" spans="1:15" hidden="1">
      <c r="A210" s="144">
        <v>202</v>
      </c>
      <c r="B210" s="145">
        <v>48305</v>
      </c>
      <c r="C210" s="146"/>
      <c r="D210" s="146"/>
      <c r="E210" s="146"/>
      <c r="F210" s="146"/>
      <c r="G210" s="146"/>
      <c r="H210" s="146"/>
      <c r="I210" s="146"/>
      <c r="J210" s="146">
        <f t="shared" si="15"/>
        <v>0</v>
      </c>
      <c r="K210" s="146">
        <f t="shared" ref="K210:K273" si="16">C210+D210+F210+G210</f>
        <v>0</v>
      </c>
      <c r="L210" s="146">
        <f t="shared" si="14"/>
        <v>0</v>
      </c>
      <c r="M210" s="146"/>
      <c r="N210" s="146"/>
      <c r="O210" s="146"/>
    </row>
    <row r="211" spans="1:15" hidden="1">
      <c r="A211" s="144">
        <v>203</v>
      </c>
      <c r="B211" s="145">
        <v>48335</v>
      </c>
      <c r="C211" s="146"/>
      <c r="D211" s="146"/>
      <c r="E211" s="146"/>
      <c r="F211" s="146"/>
      <c r="G211" s="146"/>
      <c r="H211" s="146"/>
      <c r="I211" s="146"/>
      <c r="J211" s="146">
        <f t="shared" si="15"/>
        <v>0</v>
      </c>
      <c r="K211" s="146">
        <f t="shared" si="16"/>
        <v>0</v>
      </c>
      <c r="L211" s="146">
        <f t="shared" si="14"/>
        <v>0</v>
      </c>
      <c r="M211" s="146"/>
      <c r="N211" s="146"/>
      <c r="O211" s="146"/>
    </row>
    <row r="212" spans="1:15" hidden="1">
      <c r="A212" s="144">
        <v>204</v>
      </c>
      <c r="B212" s="145">
        <v>48366</v>
      </c>
      <c r="C212" s="146"/>
      <c r="D212" s="146"/>
      <c r="E212" s="146"/>
      <c r="F212" s="146"/>
      <c r="G212" s="146"/>
      <c r="H212" s="146"/>
      <c r="I212" s="146"/>
      <c r="J212" s="146">
        <f t="shared" si="15"/>
        <v>0</v>
      </c>
      <c r="K212" s="146">
        <f t="shared" si="16"/>
        <v>0</v>
      </c>
      <c r="L212" s="146">
        <f t="shared" si="14"/>
        <v>0</v>
      </c>
      <c r="M212" s="146"/>
      <c r="N212" s="146"/>
      <c r="O212" s="146"/>
    </row>
    <row r="213" spans="1:15" hidden="1">
      <c r="A213" s="144">
        <v>205</v>
      </c>
      <c r="B213" s="145">
        <v>48396</v>
      </c>
      <c r="C213" s="146"/>
      <c r="D213" s="146"/>
      <c r="E213" s="146"/>
      <c r="F213" s="146"/>
      <c r="G213" s="146"/>
      <c r="H213" s="146"/>
      <c r="I213" s="146"/>
      <c r="J213" s="146">
        <f t="shared" si="15"/>
        <v>0</v>
      </c>
      <c r="K213" s="146">
        <f t="shared" si="16"/>
        <v>0</v>
      </c>
      <c r="L213" s="146">
        <f t="shared" si="14"/>
        <v>0</v>
      </c>
      <c r="M213" s="146"/>
      <c r="N213" s="146"/>
      <c r="O213" s="146"/>
    </row>
    <row r="214" spans="1:15" hidden="1">
      <c r="A214" s="144">
        <v>206</v>
      </c>
      <c r="B214" s="145">
        <v>48427</v>
      </c>
      <c r="C214" s="146"/>
      <c r="D214" s="146"/>
      <c r="E214" s="146"/>
      <c r="F214" s="146"/>
      <c r="G214" s="146"/>
      <c r="H214" s="146"/>
      <c r="I214" s="146"/>
      <c r="J214" s="146">
        <f t="shared" si="15"/>
        <v>0</v>
      </c>
      <c r="K214" s="146">
        <f t="shared" si="16"/>
        <v>0</v>
      </c>
      <c r="L214" s="146">
        <f t="shared" si="14"/>
        <v>0</v>
      </c>
      <c r="M214" s="146"/>
      <c r="N214" s="146"/>
      <c r="O214" s="146"/>
    </row>
    <row r="215" spans="1:15" hidden="1">
      <c r="A215" s="144">
        <v>207</v>
      </c>
      <c r="B215" s="145">
        <v>48458</v>
      </c>
      <c r="C215" s="146"/>
      <c r="D215" s="146"/>
      <c r="E215" s="146"/>
      <c r="F215" s="146"/>
      <c r="G215" s="146"/>
      <c r="H215" s="146"/>
      <c r="I215" s="146"/>
      <c r="J215" s="146">
        <f t="shared" si="15"/>
        <v>0</v>
      </c>
      <c r="K215" s="146">
        <f t="shared" si="16"/>
        <v>0</v>
      </c>
      <c r="L215" s="146">
        <f t="shared" si="14"/>
        <v>0</v>
      </c>
      <c r="M215" s="146"/>
      <c r="N215" s="146"/>
      <c r="O215" s="146"/>
    </row>
    <row r="216" spans="1:15" hidden="1">
      <c r="A216" s="144">
        <v>208</v>
      </c>
      <c r="B216" s="145">
        <v>48488</v>
      </c>
      <c r="C216" s="146"/>
      <c r="D216" s="146"/>
      <c r="E216" s="146"/>
      <c r="F216" s="146"/>
      <c r="G216" s="146"/>
      <c r="H216" s="146"/>
      <c r="I216" s="146"/>
      <c r="J216" s="146">
        <f t="shared" si="15"/>
        <v>0</v>
      </c>
      <c r="K216" s="146">
        <f t="shared" si="16"/>
        <v>0</v>
      </c>
      <c r="L216" s="146">
        <f t="shared" si="14"/>
        <v>0</v>
      </c>
      <c r="M216" s="146"/>
      <c r="N216" s="146"/>
      <c r="O216" s="146"/>
    </row>
    <row r="217" spans="1:15" hidden="1">
      <c r="A217" s="144">
        <v>209</v>
      </c>
      <c r="B217" s="145">
        <v>48519</v>
      </c>
      <c r="C217" s="146"/>
      <c r="D217" s="146"/>
      <c r="E217" s="146"/>
      <c r="F217" s="146"/>
      <c r="G217" s="146"/>
      <c r="H217" s="146"/>
      <c r="I217" s="146"/>
      <c r="J217" s="146">
        <f t="shared" si="15"/>
        <v>0</v>
      </c>
      <c r="K217" s="146">
        <f t="shared" si="16"/>
        <v>0</v>
      </c>
      <c r="L217" s="146">
        <f t="shared" si="14"/>
        <v>0</v>
      </c>
      <c r="M217" s="146"/>
      <c r="N217" s="146"/>
      <c r="O217" s="146"/>
    </row>
    <row r="218" spans="1:15" hidden="1">
      <c r="A218" s="144">
        <v>210</v>
      </c>
      <c r="B218" s="145">
        <v>48549</v>
      </c>
      <c r="C218" s="146"/>
      <c r="D218" s="146"/>
      <c r="E218" s="146"/>
      <c r="F218" s="146"/>
      <c r="G218" s="146"/>
      <c r="H218" s="146"/>
      <c r="I218" s="146"/>
      <c r="J218" s="146">
        <f t="shared" si="15"/>
        <v>0</v>
      </c>
      <c r="K218" s="146">
        <f t="shared" si="16"/>
        <v>0</v>
      </c>
      <c r="L218" s="146">
        <f t="shared" si="14"/>
        <v>0</v>
      </c>
      <c r="M218" s="146"/>
      <c r="N218" s="146"/>
      <c r="O218" s="146"/>
    </row>
    <row r="219" spans="1:15" hidden="1">
      <c r="A219" s="144">
        <v>211</v>
      </c>
      <c r="B219" s="145">
        <v>48580</v>
      </c>
      <c r="C219" s="146"/>
      <c r="D219" s="146"/>
      <c r="E219" s="146"/>
      <c r="F219" s="146"/>
      <c r="G219" s="146"/>
      <c r="H219" s="146"/>
      <c r="I219" s="146"/>
      <c r="J219" s="146">
        <f t="shared" si="15"/>
        <v>0</v>
      </c>
      <c r="K219" s="146">
        <f t="shared" si="16"/>
        <v>0</v>
      </c>
      <c r="L219" s="146">
        <f t="shared" si="14"/>
        <v>0</v>
      </c>
      <c r="M219" s="146"/>
      <c r="N219" s="146"/>
      <c r="O219" s="146"/>
    </row>
    <row r="220" spans="1:15" hidden="1">
      <c r="A220" s="144">
        <v>212</v>
      </c>
      <c r="B220" s="145">
        <v>48611</v>
      </c>
      <c r="C220" s="146"/>
      <c r="D220" s="146"/>
      <c r="E220" s="146"/>
      <c r="F220" s="146"/>
      <c r="G220" s="146"/>
      <c r="H220" s="146"/>
      <c r="I220" s="146"/>
      <c r="J220" s="146">
        <f t="shared" si="15"/>
        <v>0</v>
      </c>
      <c r="K220" s="146">
        <f t="shared" si="16"/>
        <v>0</v>
      </c>
      <c r="L220" s="146">
        <f t="shared" si="14"/>
        <v>0</v>
      </c>
      <c r="M220" s="146"/>
      <c r="N220" s="146"/>
      <c r="O220" s="146"/>
    </row>
    <row r="221" spans="1:15" hidden="1">
      <c r="A221" s="144">
        <v>213</v>
      </c>
      <c r="B221" s="145">
        <v>48639</v>
      </c>
      <c r="C221" s="146"/>
      <c r="D221" s="146"/>
      <c r="E221" s="146"/>
      <c r="F221" s="146"/>
      <c r="G221" s="146"/>
      <c r="H221" s="146"/>
      <c r="I221" s="146"/>
      <c r="J221" s="146">
        <f t="shared" si="15"/>
        <v>0</v>
      </c>
      <c r="K221" s="146">
        <f t="shared" si="16"/>
        <v>0</v>
      </c>
      <c r="L221" s="146">
        <f t="shared" si="14"/>
        <v>0</v>
      </c>
      <c r="M221" s="146"/>
      <c r="N221" s="146"/>
      <c r="O221" s="146"/>
    </row>
    <row r="222" spans="1:15" hidden="1">
      <c r="A222" s="144">
        <v>214</v>
      </c>
      <c r="B222" s="145">
        <v>48670</v>
      </c>
      <c r="C222" s="146"/>
      <c r="D222" s="146"/>
      <c r="E222" s="146"/>
      <c r="F222" s="146"/>
      <c r="G222" s="146"/>
      <c r="H222" s="146"/>
      <c r="I222" s="146"/>
      <c r="J222" s="146">
        <f t="shared" si="15"/>
        <v>0</v>
      </c>
      <c r="K222" s="146">
        <f t="shared" si="16"/>
        <v>0</v>
      </c>
      <c r="L222" s="146">
        <f t="shared" ref="L222:L285" si="17">ROUND(K222*N$39,0)</f>
        <v>0</v>
      </c>
      <c r="M222" s="146"/>
      <c r="N222" s="146"/>
      <c r="O222" s="146"/>
    </row>
    <row r="223" spans="1:15" hidden="1">
      <c r="A223" s="144">
        <v>215</v>
      </c>
      <c r="B223" s="145">
        <v>48700</v>
      </c>
      <c r="C223" s="146"/>
      <c r="D223" s="146"/>
      <c r="E223" s="146"/>
      <c r="F223" s="146"/>
      <c r="G223" s="146"/>
      <c r="H223" s="146"/>
      <c r="I223" s="146"/>
      <c r="J223" s="146">
        <f t="shared" si="15"/>
        <v>0</v>
      </c>
      <c r="K223" s="146">
        <f t="shared" si="16"/>
        <v>0</v>
      </c>
      <c r="L223" s="146">
        <f t="shared" si="17"/>
        <v>0</v>
      </c>
      <c r="M223" s="146"/>
      <c r="N223" s="146"/>
      <c r="O223" s="146"/>
    </row>
    <row r="224" spans="1:15" hidden="1">
      <c r="A224" s="144">
        <v>216</v>
      </c>
      <c r="B224" s="145">
        <v>48731</v>
      </c>
      <c r="C224" s="146"/>
      <c r="D224" s="146"/>
      <c r="E224" s="146"/>
      <c r="F224" s="146"/>
      <c r="G224" s="146"/>
      <c r="H224" s="146"/>
      <c r="I224" s="146"/>
      <c r="J224" s="146">
        <f t="shared" si="15"/>
        <v>0</v>
      </c>
      <c r="K224" s="146">
        <f t="shared" si="16"/>
        <v>0</v>
      </c>
      <c r="L224" s="146">
        <f t="shared" si="17"/>
        <v>0</v>
      </c>
      <c r="M224" s="146"/>
      <c r="N224" s="146"/>
      <c r="O224" s="146"/>
    </row>
    <row r="225" spans="1:15" hidden="1">
      <c r="A225" s="144">
        <v>217</v>
      </c>
      <c r="B225" s="145">
        <v>48761</v>
      </c>
      <c r="C225" s="146"/>
      <c r="D225" s="146"/>
      <c r="E225" s="146"/>
      <c r="F225" s="146"/>
      <c r="G225" s="146"/>
      <c r="H225" s="146"/>
      <c r="I225" s="146"/>
      <c r="J225" s="146">
        <f t="shared" si="15"/>
        <v>0</v>
      </c>
      <c r="K225" s="146">
        <f t="shared" si="16"/>
        <v>0</v>
      </c>
      <c r="L225" s="146">
        <f t="shared" si="17"/>
        <v>0</v>
      </c>
      <c r="M225" s="146"/>
      <c r="N225" s="146"/>
      <c r="O225" s="146"/>
    </row>
    <row r="226" spans="1:15" hidden="1">
      <c r="A226" s="144">
        <v>218</v>
      </c>
      <c r="B226" s="145">
        <v>48792</v>
      </c>
      <c r="C226" s="146"/>
      <c r="D226" s="146"/>
      <c r="E226" s="146"/>
      <c r="F226" s="146"/>
      <c r="G226" s="146"/>
      <c r="H226" s="146"/>
      <c r="I226" s="146"/>
      <c r="J226" s="146">
        <f t="shared" si="15"/>
        <v>0</v>
      </c>
      <c r="K226" s="146">
        <f t="shared" si="16"/>
        <v>0</v>
      </c>
      <c r="L226" s="146">
        <f t="shared" si="17"/>
        <v>0</v>
      </c>
      <c r="M226" s="146"/>
      <c r="N226" s="146"/>
      <c r="O226" s="146"/>
    </row>
    <row r="227" spans="1:15" hidden="1">
      <c r="A227" s="144">
        <v>219</v>
      </c>
      <c r="B227" s="145">
        <v>48823</v>
      </c>
      <c r="C227" s="146"/>
      <c r="D227" s="146"/>
      <c r="E227" s="146"/>
      <c r="F227" s="146"/>
      <c r="G227" s="146"/>
      <c r="H227" s="146"/>
      <c r="I227" s="146"/>
      <c r="J227" s="146">
        <f t="shared" si="15"/>
        <v>0</v>
      </c>
      <c r="K227" s="146">
        <f t="shared" si="16"/>
        <v>0</v>
      </c>
      <c r="L227" s="146">
        <f t="shared" si="17"/>
        <v>0</v>
      </c>
      <c r="M227" s="146"/>
      <c r="N227" s="146"/>
      <c r="O227" s="146"/>
    </row>
    <row r="228" spans="1:15" hidden="1">
      <c r="A228" s="144">
        <v>220</v>
      </c>
      <c r="B228" s="145">
        <v>48853</v>
      </c>
      <c r="C228" s="146"/>
      <c r="D228" s="146"/>
      <c r="E228" s="146"/>
      <c r="F228" s="146"/>
      <c r="G228" s="146"/>
      <c r="H228" s="146"/>
      <c r="I228" s="146"/>
      <c r="J228" s="146">
        <f t="shared" si="15"/>
        <v>0</v>
      </c>
      <c r="K228" s="146">
        <f t="shared" si="16"/>
        <v>0</v>
      </c>
      <c r="L228" s="146">
        <f t="shared" si="17"/>
        <v>0</v>
      </c>
      <c r="M228" s="146"/>
      <c r="N228" s="146"/>
      <c r="O228" s="146"/>
    </row>
    <row r="229" spans="1:15" hidden="1">
      <c r="A229" s="144">
        <v>221</v>
      </c>
      <c r="B229" s="145">
        <v>48884</v>
      </c>
      <c r="C229" s="146"/>
      <c r="D229" s="146"/>
      <c r="E229" s="146"/>
      <c r="F229" s="146"/>
      <c r="G229" s="146"/>
      <c r="H229" s="146"/>
      <c r="I229" s="146"/>
      <c r="J229" s="146">
        <f t="shared" si="15"/>
        <v>0</v>
      </c>
      <c r="K229" s="146">
        <f t="shared" si="16"/>
        <v>0</v>
      </c>
      <c r="L229" s="146">
        <f t="shared" si="17"/>
        <v>0</v>
      </c>
      <c r="M229" s="146"/>
      <c r="N229" s="146"/>
      <c r="O229" s="146"/>
    </row>
    <row r="230" spans="1:15" hidden="1">
      <c r="A230" s="144">
        <v>222</v>
      </c>
      <c r="B230" s="145">
        <v>48914</v>
      </c>
      <c r="C230" s="146"/>
      <c r="D230" s="146"/>
      <c r="E230" s="146"/>
      <c r="F230" s="146"/>
      <c r="G230" s="146"/>
      <c r="H230" s="146"/>
      <c r="I230" s="146"/>
      <c r="J230" s="146">
        <f t="shared" si="15"/>
        <v>0</v>
      </c>
      <c r="K230" s="146">
        <f t="shared" si="16"/>
        <v>0</v>
      </c>
      <c r="L230" s="146">
        <f t="shared" si="17"/>
        <v>0</v>
      </c>
      <c r="M230" s="146"/>
      <c r="N230" s="146"/>
      <c r="O230" s="146"/>
    </row>
    <row r="231" spans="1:15" hidden="1">
      <c r="A231" s="144">
        <v>223</v>
      </c>
      <c r="B231" s="145">
        <v>48945</v>
      </c>
      <c r="C231" s="146"/>
      <c r="D231" s="146"/>
      <c r="E231" s="146"/>
      <c r="F231" s="146"/>
      <c r="G231" s="146"/>
      <c r="H231" s="146"/>
      <c r="I231" s="146"/>
      <c r="J231" s="146">
        <f t="shared" si="15"/>
        <v>0</v>
      </c>
      <c r="K231" s="146">
        <f t="shared" si="16"/>
        <v>0</v>
      </c>
      <c r="L231" s="146">
        <f t="shared" si="17"/>
        <v>0</v>
      </c>
      <c r="M231" s="146"/>
      <c r="N231" s="146"/>
      <c r="O231" s="146"/>
    </row>
    <row r="232" spans="1:15" hidden="1">
      <c r="A232" s="144">
        <v>224</v>
      </c>
      <c r="B232" s="145">
        <v>48976</v>
      </c>
      <c r="C232" s="146"/>
      <c r="D232" s="146"/>
      <c r="E232" s="146"/>
      <c r="F232" s="146"/>
      <c r="G232" s="146"/>
      <c r="H232" s="146"/>
      <c r="I232" s="146"/>
      <c r="J232" s="146">
        <f t="shared" si="15"/>
        <v>0</v>
      </c>
      <c r="K232" s="146">
        <f t="shared" si="16"/>
        <v>0</v>
      </c>
      <c r="L232" s="146">
        <f t="shared" si="17"/>
        <v>0</v>
      </c>
      <c r="M232" s="146"/>
      <c r="N232" s="146"/>
      <c r="O232" s="146"/>
    </row>
    <row r="233" spans="1:15" hidden="1">
      <c r="A233" s="144">
        <v>225</v>
      </c>
      <c r="B233" s="145">
        <v>49004</v>
      </c>
      <c r="C233" s="146"/>
      <c r="D233" s="146"/>
      <c r="E233" s="146"/>
      <c r="F233" s="146"/>
      <c r="G233" s="146"/>
      <c r="H233" s="146"/>
      <c r="I233" s="146"/>
      <c r="J233" s="146">
        <f t="shared" si="15"/>
        <v>0</v>
      </c>
      <c r="K233" s="146">
        <f t="shared" si="16"/>
        <v>0</v>
      </c>
      <c r="L233" s="146">
        <f t="shared" si="17"/>
        <v>0</v>
      </c>
      <c r="M233" s="146"/>
      <c r="N233" s="146"/>
      <c r="O233" s="146"/>
    </row>
    <row r="234" spans="1:15" hidden="1">
      <c r="A234" s="144">
        <v>226</v>
      </c>
      <c r="B234" s="145">
        <v>49035</v>
      </c>
      <c r="C234" s="146"/>
      <c r="D234" s="146"/>
      <c r="E234" s="146"/>
      <c r="F234" s="146"/>
      <c r="G234" s="146"/>
      <c r="H234" s="146"/>
      <c r="I234" s="146"/>
      <c r="J234" s="146">
        <f t="shared" si="15"/>
        <v>0</v>
      </c>
      <c r="K234" s="146">
        <f t="shared" si="16"/>
        <v>0</v>
      </c>
      <c r="L234" s="146">
        <f t="shared" si="17"/>
        <v>0</v>
      </c>
      <c r="M234" s="146"/>
      <c r="N234" s="146"/>
      <c r="O234" s="146"/>
    </row>
    <row r="235" spans="1:15" hidden="1">
      <c r="A235" s="144">
        <v>227</v>
      </c>
      <c r="B235" s="145">
        <v>49065</v>
      </c>
      <c r="C235" s="146"/>
      <c r="D235" s="146"/>
      <c r="E235" s="146"/>
      <c r="F235" s="146"/>
      <c r="G235" s="146"/>
      <c r="H235" s="146"/>
      <c r="I235" s="146"/>
      <c r="J235" s="146">
        <f t="shared" si="15"/>
        <v>0</v>
      </c>
      <c r="K235" s="146">
        <f t="shared" si="16"/>
        <v>0</v>
      </c>
      <c r="L235" s="146">
        <f t="shared" si="17"/>
        <v>0</v>
      </c>
      <c r="M235" s="146"/>
      <c r="N235" s="146"/>
      <c r="O235" s="146"/>
    </row>
    <row r="236" spans="1:15" hidden="1">
      <c r="A236" s="144">
        <v>228</v>
      </c>
      <c r="B236" s="145">
        <v>49096</v>
      </c>
      <c r="C236" s="146"/>
      <c r="D236" s="146"/>
      <c r="E236" s="146"/>
      <c r="F236" s="146"/>
      <c r="G236" s="146"/>
      <c r="H236" s="146"/>
      <c r="I236" s="146"/>
      <c r="J236" s="146">
        <f t="shared" si="15"/>
        <v>0</v>
      </c>
      <c r="K236" s="146">
        <f t="shared" si="16"/>
        <v>0</v>
      </c>
      <c r="L236" s="146">
        <f t="shared" si="17"/>
        <v>0</v>
      </c>
      <c r="M236" s="146"/>
      <c r="N236" s="146"/>
      <c r="O236" s="146"/>
    </row>
    <row r="237" spans="1:15" hidden="1">
      <c r="A237" s="144">
        <v>229</v>
      </c>
      <c r="B237" s="145">
        <v>49126</v>
      </c>
      <c r="C237" s="146"/>
      <c r="D237" s="146"/>
      <c r="E237" s="146"/>
      <c r="F237" s="146"/>
      <c r="G237" s="146"/>
      <c r="H237" s="146"/>
      <c r="I237" s="146"/>
      <c r="J237" s="146">
        <f t="shared" si="15"/>
        <v>0</v>
      </c>
      <c r="K237" s="146">
        <f t="shared" si="16"/>
        <v>0</v>
      </c>
      <c r="L237" s="146">
        <f t="shared" si="17"/>
        <v>0</v>
      </c>
      <c r="M237" s="146"/>
      <c r="N237" s="146"/>
      <c r="O237" s="146"/>
    </row>
    <row r="238" spans="1:15" hidden="1">
      <c r="A238" s="144">
        <v>230</v>
      </c>
      <c r="B238" s="145">
        <v>49157</v>
      </c>
      <c r="C238" s="146"/>
      <c r="D238" s="146"/>
      <c r="E238" s="146"/>
      <c r="F238" s="146"/>
      <c r="G238" s="146"/>
      <c r="H238" s="146"/>
      <c r="I238" s="146"/>
      <c r="J238" s="146">
        <f t="shared" si="15"/>
        <v>0</v>
      </c>
      <c r="K238" s="146">
        <f t="shared" si="16"/>
        <v>0</v>
      </c>
      <c r="L238" s="146">
        <f t="shared" si="17"/>
        <v>0</v>
      </c>
      <c r="M238" s="146"/>
      <c r="N238" s="146"/>
      <c r="O238" s="146"/>
    </row>
    <row r="239" spans="1:15" hidden="1">
      <c r="A239" s="144">
        <v>231</v>
      </c>
      <c r="B239" s="145">
        <v>49188</v>
      </c>
      <c r="C239" s="146"/>
      <c r="D239" s="146"/>
      <c r="E239" s="146"/>
      <c r="F239" s="146"/>
      <c r="G239" s="146"/>
      <c r="H239" s="146"/>
      <c r="I239" s="146"/>
      <c r="J239" s="146">
        <f t="shared" si="15"/>
        <v>0</v>
      </c>
      <c r="K239" s="146">
        <f t="shared" si="16"/>
        <v>0</v>
      </c>
      <c r="L239" s="146">
        <f t="shared" si="17"/>
        <v>0</v>
      </c>
      <c r="M239" s="146"/>
      <c r="N239" s="146"/>
      <c r="O239" s="146"/>
    </row>
    <row r="240" spans="1:15" hidden="1">
      <c r="A240" s="144">
        <v>232</v>
      </c>
      <c r="B240" s="145">
        <v>49218</v>
      </c>
      <c r="C240" s="146"/>
      <c r="D240" s="146"/>
      <c r="E240" s="146"/>
      <c r="F240" s="146"/>
      <c r="G240" s="146"/>
      <c r="H240" s="146"/>
      <c r="I240" s="146"/>
      <c r="J240" s="146">
        <f t="shared" si="15"/>
        <v>0</v>
      </c>
      <c r="K240" s="146">
        <f t="shared" si="16"/>
        <v>0</v>
      </c>
      <c r="L240" s="146">
        <f t="shared" si="17"/>
        <v>0</v>
      </c>
      <c r="M240" s="146"/>
      <c r="N240" s="146"/>
      <c r="O240" s="146"/>
    </row>
    <row r="241" spans="1:15" hidden="1">
      <c r="A241" s="144">
        <v>233</v>
      </c>
      <c r="B241" s="145">
        <v>49249</v>
      </c>
      <c r="C241" s="146"/>
      <c r="D241" s="146"/>
      <c r="E241" s="146"/>
      <c r="F241" s="146"/>
      <c r="G241" s="146"/>
      <c r="H241" s="146"/>
      <c r="I241" s="146"/>
      <c r="J241" s="146">
        <f t="shared" si="15"/>
        <v>0</v>
      </c>
      <c r="K241" s="146">
        <f t="shared" si="16"/>
        <v>0</v>
      </c>
      <c r="L241" s="146">
        <f t="shared" si="17"/>
        <v>0</v>
      </c>
      <c r="M241" s="146"/>
      <c r="N241" s="146"/>
      <c r="O241" s="146"/>
    </row>
    <row r="242" spans="1:15" hidden="1">
      <c r="A242" s="144">
        <v>234</v>
      </c>
      <c r="B242" s="145">
        <v>49279</v>
      </c>
      <c r="C242" s="146"/>
      <c r="D242" s="146"/>
      <c r="E242" s="146"/>
      <c r="F242" s="146"/>
      <c r="G242" s="146"/>
      <c r="H242" s="146"/>
      <c r="I242" s="146"/>
      <c r="J242" s="146">
        <f t="shared" si="15"/>
        <v>0</v>
      </c>
      <c r="K242" s="146">
        <f t="shared" si="16"/>
        <v>0</v>
      </c>
      <c r="L242" s="146">
        <f t="shared" si="17"/>
        <v>0</v>
      </c>
      <c r="M242" s="146"/>
      <c r="N242" s="146"/>
      <c r="O242" s="146"/>
    </row>
    <row r="243" spans="1:15" hidden="1">
      <c r="A243" s="144">
        <v>235</v>
      </c>
      <c r="B243" s="145">
        <v>49310</v>
      </c>
      <c r="C243" s="146"/>
      <c r="D243" s="146"/>
      <c r="E243" s="146"/>
      <c r="F243" s="146"/>
      <c r="G243" s="146"/>
      <c r="H243" s="146"/>
      <c r="I243" s="146"/>
      <c r="J243" s="146">
        <f t="shared" si="15"/>
        <v>0</v>
      </c>
      <c r="K243" s="146">
        <f t="shared" si="16"/>
        <v>0</v>
      </c>
      <c r="L243" s="146">
        <f t="shared" si="17"/>
        <v>0</v>
      </c>
      <c r="M243" s="146"/>
      <c r="N243" s="146"/>
      <c r="O243" s="146"/>
    </row>
    <row r="244" spans="1:15" hidden="1">
      <c r="A244" s="144">
        <v>236</v>
      </c>
      <c r="B244" s="145">
        <v>49341</v>
      </c>
      <c r="C244" s="146"/>
      <c r="D244" s="146"/>
      <c r="E244" s="146"/>
      <c r="F244" s="146"/>
      <c r="G244" s="146"/>
      <c r="H244" s="146"/>
      <c r="I244" s="146"/>
      <c r="J244" s="146">
        <f t="shared" si="15"/>
        <v>0</v>
      </c>
      <c r="K244" s="146">
        <f t="shared" si="16"/>
        <v>0</v>
      </c>
      <c r="L244" s="146">
        <f t="shared" si="17"/>
        <v>0</v>
      </c>
      <c r="M244" s="146"/>
      <c r="N244" s="146"/>
      <c r="O244" s="146"/>
    </row>
    <row r="245" spans="1:15" hidden="1">
      <c r="A245" s="144">
        <v>237</v>
      </c>
      <c r="B245" s="145">
        <v>49369</v>
      </c>
      <c r="C245" s="146"/>
      <c r="D245" s="146"/>
      <c r="E245" s="146"/>
      <c r="F245" s="146"/>
      <c r="G245" s="146"/>
      <c r="H245" s="146"/>
      <c r="I245" s="146"/>
      <c r="J245" s="146">
        <f t="shared" si="15"/>
        <v>0</v>
      </c>
      <c r="K245" s="146">
        <f t="shared" si="16"/>
        <v>0</v>
      </c>
      <c r="L245" s="146">
        <f t="shared" si="17"/>
        <v>0</v>
      </c>
      <c r="M245" s="146"/>
      <c r="N245" s="146"/>
      <c r="O245" s="146"/>
    </row>
    <row r="246" spans="1:15" hidden="1">
      <c r="A246" s="144">
        <v>238</v>
      </c>
      <c r="B246" s="145">
        <v>49400</v>
      </c>
      <c r="C246" s="146"/>
      <c r="D246" s="146"/>
      <c r="E246" s="146"/>
      <c r="F246" s="146"/>
      <c r="G246" s="146"/>
      <c r="H246" s="146"/>
      <c r="I246" s="146"/>
      <c r="J246" s="146">
        <f t="shared" si="15"/>
        <v>0</v>
      </c>
      <c r="K246" s="146">
        <f t="shared" si="16"/>
        <v>0</v>
      </c>
      <c r="L246" s="146">
        <f t="shared" si="17"/>
        <v>0</v>
      </c>
      <c r="M246" s="146"/>
      <c r="N246" s="146"/>
      <c r="O246" s="146"/>
    </row>
    <row r="247" spans="1:15" hidden="1">
      <c r="A247" s="144">
        <v>239</v>
      </c>
      <c r="B247" s="145">
        <v>49430</v>
      </c>
      <c r="C247" s="146"/>
      <c r="D247" s="146"/>
      <c r="E247" s="146"/>
      <c r="F247" s="146"/>
      <c r="G247" s="146"/>
      <c r="H247" s="146"/>
      <c r="I247" s="146"/>
      <c r="J247" s="146">
        <f t="shared" si="15"/>
        <v>0</v>
      </c>
      <c r="K247" s="146">
        <f t="shared" si="16"/>
        <v>0</v>
      </c>
      <c r="L247" s="146">
        <f t="shared" si="17"/>
        <v>0</v>
      </c>
      <c r="M247" s="146"/>
      <c r="N247" s="146"/>
      <c r="O247" s="146"/>
    </row>
    <row r="248" spans="1:15" hidden="1">
      <c r="A248" s="144">
        <v>240</v>
      </c>
      <c r="B248" s="145">
        <v>49461</v>
      </c>
      <c r="C248" s="146"/>
      <c r="D248" s="146"/>
      <c r="E248" s="146"/>
      <c r="F248" s="146"/>
      <c r="G248" s="146"/>
      <c r="H248" s="146"/>
      <c r="I248" s="146"/>
      <c r="J248" s="146">
        <f t="shared" si="15"/>
        <v>0</v>
      </c>
      <c r="K248" s="146">
        <f t="shared" si="16"/>
        <v>0</v>
      </c>
      <c r="L248" s="146">
        <f t="shared" si="17"/>
        <v>0</v>
      </c>
      <c r="M248" s="146"/>
      <c r="N248" s="146"/>
      <c r="O248" s="146"/>
    </row>
    <row r="249" spans="1:15" hidden="1">
      <c r="A249" s="144">
        <v>241</v>
      </c>
      <c r="B249" s="145">
        <v>49491</v>
      </c>
      <c r="C249" s="146"/>
      <c r="D249" s="146"/>
      <c r="E249" s="146"/>
      <c r="F249" s="146"/>
      <c r="G249" s="146"/>
      <c r="H249" s="146"/>
      <c r="I249" s="146"/>
      <c r="J249" s="146">
        <f t="shared" si="15"/>
        <v>0</v>
      </c>
      <c r="K249" s="146">
        <f t="shared" si="16"/>
        <v>0</v>
      </c>
      <c r="L249" s="146">
        <f t="shared" si="17"/>
        <v>0</v>
      </c>
      <c r="M249" s="146"/>
      <c r="N249" s="146"/>
      <c r="O249" s="146"/>
    </row>
    <row r="250" spans="1:15" hidden="1">
      <c r="A250" s="144">
        <v>242</v>
      </c>
      <c r="B250" s="145">
        <v>49522</v>
      </c>
      <c r="C250" s="146"/>
      <c r="D250" s="146"/>
      <c r="E250" s="146"/>
      <c r="F250" s="146"/>
      <c r="G250" s="146"/>
      <c r="H250" s="146"/>
      <c r="I250" s="146"/>
      <c r="J250" s="146">
        <f t="shared" si="15"/>
        <v>0</v>
      </c>
      <c r="K250" s="146">
        <f t="shared" si="16"/>
        <v>0</v>
      </c>
      <c r="L250" s="146">
        <f t="shared" si="17"/>
        <v>0</v>
      </c>
      <c r="M250" s="146"/>
      <c r="N250" s="146"/>
      <c r="O250" s="146"/>
    </row>
    <row r="251" spans="1:15" hidden="1">
      <c r="A251" s="144">
        <v>243</v>
      </c>
      <c r="B251" s="145">
        <v>49553</v>
      </c>
      <c r="C251" s="146"/>
      <c r="D251" s="146"/>
      <c r="E251" s="146"/>
      <c r="F251" s="146"/>
      <c r="G251" s="146"/>
      <c r="H251" s="146"/>
      <c r="I251" s="146"/>
      <c r="J251" s="146">
        <f t="shared" si="15"/>
        <v>0</v>
      </c>
      <c r="K251" s="146">
        <f t="shared" si="16"/>
        <v>0</v>
      </c>
      <c r="L251" s="146">
        <f t="shared" si="17"/>
        <v>0</v>
      </c>
      <c r="M251" s="146"/>
      <c r="N251" s="146"/>
      <c r="O251" s="146"/>
    </row>
    <row r="252" spans="1:15" hidden="1">
      <c r="A252" s="144">
        <v>244</v>
      </c>
      <c r="B252" s="145">
        <v>49583</v>
      </c>
      <c r="C252" s="146"/>
      <c r="D252" s="146"/>
      <c r="E252" s="146"/>
      <c r="F252" s="146"/>
      <c r="G252" s="146"/>
      <c r="H252" s="146"/>
      <c r="I252" s="146"/>
      <c r="J252" s="146">
        <f t="shared" si="15"/>
        <v>0</v>
      </c>
      <c r="K252" s="146">
        <f t="shared" si="16"/>
        <v>0</v>
      </c>
      <c r="L252" s="146">
        <f t="shared" si="17"/>
        <v>0</v>
      </c>
      <c r="M252" s="146"/>
      <c r="N252" s="146"/>
      <c r="O252" s="146"/>
    </row>
    <row r="253" spans="1:15" hidden="1">
      <c r="A253" s="144">
        <v>245</v>
      </c>
      <c r="B253" s="145">
        <v>49614</v>
      </c>
      <c r="C253" s="146"/>
      <c r="D253" s="146"/>
      <c r="E253" s="146"/>
      <c r="F253" s="146"/>
      <c r="G253" s="146"/>
      <c r="H253" s="146"/>
      <c r="I253" s="146"/>
      <c r="J253" s="146">
        <f t="shared" si="15"/>
        <v>0</v>
      </c>
      <c r="K253" s="146">
        <f t="shared" si="16"/>
        <v>0</v>
      </c>
      <c r="L253" s="146">
        <f t="shared" si="17"/>
        <v>0</v>
      </c>
      <c r="M253" s="146"/>
      <c r="N253" s="146"/>
      <c r="O253" s="146"/>
    </row>
    <row r="254" spans="1:15" hidden="1">
      <c r="A254" s="144">
        <v>246</v>
      </c>
      <c r="B254" s="145">
        <v>49644</v>
      </c>
      <c r="C254" s="146"/>
      <c r="D254" s="146"/>
      <c r="E254" s="146"/>
      <c r="F254" s="146"/>
      <c r="G254" s="146"/>
      <c r="H254" s="146"/>
      <c r="I254" s="146"/>
      <c r="J254" s="146">
        <f t="shared" si="15"/>
        <v>0</v>
      </c>
      <c r="K254" s="146">
        <f t="shared" si="16"/>
        <v>0</v>
      </c>
      <c r="L254" s="146">
        <f t="shared" si="17"/>
        <v>0</v>
      </c>
      <c r="M254" s="146"/>
      <c r="N254" s="146"/>
      <c r="O254" s="146"/>
    </row>
    <row r="255" spans="1:15" hidden="1">
      <c r="A255" s="144">
        <v>247</v>
      </c>
      <c r="B255" s="145">
        <v>49675</v>
      </c>
      <c r="C255" s="146"/>
      <c r="D255" s="146"/>
      <c r="E255" s="146"/>
      <c r="F255" s="146"/>
      <c r="G255" s="146"/>
      <c r="H255" s="146"/>
      <c r="I255" s="146"/>
      <c r="J255" s="146">
        <f t="shared" si="15"/>
        <v>0</v>
      </c>
      <c r="K255" s="146">
        <f t="shared" si="16"/>
        <v>0</v>
      </c>
      <c r="L255" s="146">
        <f t="shared" si="17"/>
        <v>0</v>
      </c>
      <c r="M255" s="146"/>
      <c r="N255" s="146"/>
      <c r="O255" s="146"/>
    </row>
    <row r="256" spans="1:15" hidden="1">
      <c r="A256" s="144">
        <v>248</v>
      </c>
      <c r="B256" s="145">
        <v>49706</v>
      </c>
      <c r="C256" s="146"/>
      <c r="D256" s="146"/>
      <c r="E256" s="146"/>
      <c r="F256" s="146"/>
      <c r="G256" s="146"/>
      <c r="H256" s="146"/>
      <c r="I256" s="146"/>
      <c r="J256" s="146">
        <f t="shared" si="15"/>
        <v>0</v>
      </c>
      <c r="K256" s="146">
        <f t="shared" si="16"/>
        <v>0</v>
      </c>
      <c r="L256" s="146">
        <f t="shared" si="17"/>
        <v>0</v>
      </c>
      <c r="M256" s="146"/>
      <c r="N256" s="146"/>
      <c r="O256" s="146"/>
    </row>
    <row r="257" spans="1:15" hidden="1">
      <c r="A257" s="144">
        <v>249</v>
      </c>
      <c r="B257" s="145">
        <v>49735</v>
      </c>
      <c r="C257" s="146"/>
      <c r="D257" s="146"/>
      <c r="E257" s="146"/>
      <c r="F257" s="146"/>
      <c r="G257" s="146"/>
      <c r="H257" s="146"/>
      <c r="I257" s="146"/>
      <c r="J257" s="146">
        <f t="shared" si="15"/>
        <v>0</v>
      </c>
      <c r="K257" s="146">
        <f t="shared" si="16"/>
        <v>0</v>
      </c>
      <c r="L257" s="146">
        <f t="shared" si="17"/>
        <v>0</v>
      </c>
      <c r="M257" s="146"/>
      <c r="N257" s="146"/>
      <c r="O257" s="146"/>
    </row>
    <row r="258" spans="1:15" hidden="1">
      <c r="A258" s="144">
        <v>250</v>
      </c>
      <c r="B258" s="145">
        <v>49766</v>
      </c>
      <c r="C258" s="146"/>
      <c r="D258" s="146"/>
      <c r="E258" s="146"/>
      <c r="F258" s="146"/>
      <c r="G258" s="146"/>
      <c r="H258" s="146"/>
      <c r="I258" s="146"/>
      <c r="J258" s="146">
        <f t="shared" si="15"/>
        <v>0</v>
      </c>
      <c r="K258" s="146">
        <f t="shared" si="16"/>
        <v>0</v>
      </c>
      <c r="L258" s="146">
        <f t="shared" si="17"/>
        <v>0</v>
      </c>
      <c r="M258" s="146"/>
      <c r="N258" s="146"/>
      <c r="O258" s="146"/>
    </row>
    <row r="259" spans="1:15" hidden="1">
      <c r="A259" s="144">
        <v>251</v>
      </c>
      <c r="B259" s="145">
        <v>49796</v>
      </c>
      <c r="C259" s="146"/>
      <c r="D259" s="146"/>
      <c r="E259" s="146"/>
      <c r="F259" s="146"/>
      <c r="G259" s="146"/>
      <c r="H259" s="146"/>
      <c r="I259" s="146"/>
      <c r="J259" s="146">
        <f t="shared" si="15"/>
        <v>0</v>
      </c>
      <c r="K259" s="146">
        <f t="shared" si="16"/>
        <v>0</v>
      </c>
      <c r="L259" s="146">
        <f t="shared" si="17"/>
        <v>0</v>
      </c>
      <c r="M259" s="146"/>
      <c r="N259" s="146"/>
      <c r="O259" s="146"/>
    </row>
    <row r="260" spans="1:15" hidden="1">
      <c r="A260" s="144">
        <v>252</v>
      </c>
      <c r="B260" s="145">
        <v>49827</v>
      </c>
      <c r="C260" s="146"/>
      <c r="D260" s="146"/>
      <c r="E260" s="146"/>
      <c r="F260" s="146"/>
      <c r="G260" s="146"/>
      <c r="H260" s="146"/>
      <c r="I260" s="146"/>
      <c r="J260" s="146">
        <f t="shared" si="15"/>
        <v>0</v>
      </c>
      <c r="K260" s="146">
        <f t="shared" si="16"/>
        <v>0</v>
      </c>
      <c r="L260" s="146">
        <f t="shared" si="17"/>
        <v>0</v>
      </c>
      <c r="M260" s="146"/>
      <c r="N260" s="146"/>
      <c r="O260" s="146"/>
    </row>
    <row r="261" spans="1:15" hidden="1">
      <c r="A261" s="144">
        <v>253</v>
      </c>
      <c r="B261" s="145">
        <v>49857</v>
      </c>
      <c r="C261" s="146"/>
      <c r="D261" s="146"/>
      <c r="E261" s="146"/>
      <c r="F261" s="146"/>
      <c r="G261" s="146"/>
      <c r="H261" s="146"/>
      <c r="I261" s="146"/>
      <c r="J261" s="146">
        <f t="shared" si="15"/>
        <v>0</v>
      </c>
      <c r="K261" s="146">
        <f t="shared" si="16"/>
        <v>0</v>
      </c>
      <c r="L261" s="146">
        <f t="shared" si="17"/>
        <v>0</v>
      </c>
      <c r="M261" s="146"/>
      <c r="N261" s="146"/>
      <c r="O261" s="146"/>
    </row>
    <row r="262" spans="1:15" hidden="1">
      <c r="A262" s="144">
        <v>254</v>
      </c>
      <c r="B262" s="145">
        <v>49888</v>
      </c>
      <c r="C262" s="146"/>
      <c r="D262" s="146"/>
      <c r="E262" s="146"/>
      <c r="F262" s="146"/>
      <c r="G262" s="146"/>
      <c r="H262" s="146"/>
      <c r="I262" s="146"/>
      <c r="J262" s="146">
        <f t="shared" si="15"/>
        <v>0</v>
      </c>
      <c r="K262" s="146">
        <f t="shared" si="16"/>
        <v>0</v>
      </c>
      <c r="L262" s="146">
        <f t="shared" si="17"/>
        <v>0</v>
      </c>
      <c r="M262" s="146"/>
      <c r="N262" s="146"/>
      <c r="O262" s="146"/>
    </row>
    <row r="263" spans="1:15" hidden="1">
      <c r="A263" s="144">
        <v>255</v>
      </c>
      <c r="B263" s="145">
        <v>49919</v>
      </c>
      <c r="C263" s="146"/>
      <c r="D263" s="146"/>
      <c r="E263" s="146"/>
      <c r="F263" s="146"/>
      <c r="G263" s="146"/>
      <c r="H263" s="146"/>
      <c r="I263" s="146"/>
      <c r="J263" s="146">
        <f t="shared" si="15"/>
        <v>0</v>
      </c>
      <c r="K263" s="146">
        <f t="shared" si="16"/>
        <v>0</v>
      </c>
      <c r="L263" s="146">
        <f t="shared" si="17"/>
        <v>0</v>
      </c>
      <c r="M263" s="146"/>
      <c r="N263" s="146"/>
      <c r="O263" s="146"/>
    </row>
    <row r="264" spans="1:15" hidden="1">
      <c r="A264" s="144">
        <v>256</v>
      </c>
      <c r="B264" s="145">
        <v>49949</v>
      </c>
      <c r="C264" s="146"/>
      <c r="D264" s="146"/>
      <c r="E264" s="146"/>
      <c r="F264" s="146"/>
      <c r="G264" s="146"/>
      <c r="H264" s="146"/>
      <c r="I264" s="146"/>
      <c r="J264" s="146">
        <f t="shared" si="15"/>
        <v>0</v>
      </c>
      <c r="K264" s="146">
        <f t="shared" si="16"/>
        <v>0</v>
      </c>
      <c r="L264" s="146">
        <f t="shared" si="17"/>
        <v>0</v>
      </c>
      <c r="M264" s="146"/>
      <c r="N264" s="146"/>
      <c r="O264" s="146"/>
    </row>
    <row r="265" spans="1:15" hidden="1">
      <c r="A265" s="144">
        <v>257</v>
      </c>
      <c r="B265" s="145">
        <v>49980</v>
      </c>
      <c r="C265" s="146"/>
      <c r="D265" s="146"/>
      <c r="E265" s="146"/>
      <c r="F265" s="146"/>
      <c r="G265" s="146"/>
      <c r="H265" s="146"/>
      <c r="I265" s="146"/>
      <c r="J265" s="146">
        <f t="shared" si="15"/>
        <v>0</v>
      </c>
      <c r="K265" s="146">
        <f t="shared" si="16"/>
        <v>0</v>
      </c>
      <c r="L265" s="146">
        <f t="shared" si="17"/>
        <v>0</v>
      </c>
      <c r="M265" s="146"/>
      <c r="N265" s="146"/>
      <c r="O265" s="146"/>
    </row>
    <row r="266" spans="1:15" hidden="1">
      <c r="A266" s="144">
        <v>258</v>
      </c>
      <c r="B266" s="145">
        <v>50010</v>
      </c>
      <c r="C266" s="146"/>
      <c r="D266" s="146"/>
      <c r="E266" s="146"/>
      <c r="F266" s="146"/>
      <c r="G266" s="146"/>
      <c r="H266" s="146"/>
      <c r="I266" s="146"/>
      <c r="J266" s="146">
        <f t="shared" ref="J266:J307" si="18">SUM(C266:I266)</f>
        <v>0</v>
      </c>
      <c r="K266" s="146">
        <f t="shared" si="16"/>
        <v>0</v>
      </c>
      <c r="L266" s="146">
        <f t="shared" si="17"/>
        <v>0</v>
      </c>
      <c r="M266" s="146"/>
      <c r="N266" s="146"/>
      <c r="O266" s="146"/>
    </row>
    <row r="267" spans="1:15" hidden="1">
      <c r="A267" s="144">
        <v>259</v>
      </c>
      <c r="B267" s="145">
        <v>50041</v>
      </c>
      <c r="C267" s="146"/>
      <c r="D267" s="146"/>
      <c r="E267" s="146"/>
      <c r="F267" s="146"/>
      <c r="G267" s="146"/>
      <c r="H267" s="146"/>
      <c r="I267" s="146"/>
      <c r="J267" s="146">
        <f t="shared" si="18"/>
        <v>0</v>
      </c>
      <c r="K267" s="146">
        <f t="shared" si="16"/>
        <v>0</v>
      </c>
      <c r="L267" s="146">
        <f t="shared" si="17"/>
        <v>0</v>
      </c>
      <c r="M267" s="146"/>
      <c r="N267" s="146"/>
      <c r="O267" s="146"/>
    </row>
    <row r="268" spans="1:15" hidden="1">
      <c r="A268" s="144">
        <v>260</v>
      </c>
      <c r="B268" s="145">
        <v>50072</v>
      </c>
      <c r="C268" s="146"/>
      <c r="D268" s="146"/>
      <c r="E268" s="146"/>
      <c r="F268" s="146"/>
      <c r="G268" s="146"/>
      <c r="H268" s="146"/>
      <c r="I268" s="146"/>
      <c r="J268" s="146">
        <f t="shared" si="18"/>
        <v>0</v>
      </c>
      <c r="K268" s="146">
        <f t="shared" si="16"/>
        <v>0</v>
      </c>
      <c r="L268" s="146">
        <f t="shared" si="17"/>
        <v>0</v>
      </c>
      <c r="M268" s="146"/>
      <c r="N268" s="146"/>
      <c r="O268" s="146"/>
    </row>
    <row r="269" spans="1:15" hidden="1">
      <c r="A269" s="144">
        <v>261</v>
      </c>
      <c r="B269" s="145">
        <v>50100</v>
      </c>
      <c r="C269" s="146"/>
      <c r="D269" s="146"/>
      <c r="E269" s="146"/>
      <c r="F269" s="146"/>
      <c r="G269" s="146"/>
      <c r="H269" s="146"/>
      <c r="I269" s="146"/>
      <c r="J269" s="146">
        <f t="shared" si="18"/>
        <v>0</v>
      </c>
      <c r="K269" s="146">
        <f t="shared" si="16"/>
        <v>0</v>
      </c>
      <c r="L269" s="146">
        <f t="shared" si="17"/>
        <v>0</v>
      </c>
      <c r="M269" s="146"/>
      <c r="N269" s="146"/>
      <c r="O269" s="146"/>
    </row>
    <row r="270" spans="1:15" hidden="1">
      <c r="A270" s="144">
        <v>262</v>
      </c>
      <c r="B270" s="145">
        <v>50131</v>
      </c>
      <c r="C270" s="146"/>
      <c r="D270" s="146"/>
      <c r="E270" s="146"/>
      <c r="F270" s="146"/>
      <c r="G270" s="146"/>
      <c r="H270" s="146"/>
      <c r="I270" s="146"/>
      <c r="J270" s="146">
        <f t="shared" si="18"/>
        <v>0</v>
      </c>
      <c r="K270" s="146">
        <f t="shared" si="16"/>
        <v>0</v>
      </c>
      <c r="L270" s="146">
        <f t="shared" si="17"/>
        <v>0</v>
      </c>
      <c r="M270" s="146"/>
      <c r="N270" s="146"/>
      <c r="O270" s="146"/>
    </row>
    <row r="271" spans="1:15" hidden="1">
      <c r="A271" s="144">
        <v>263</v>
      </c>
      <c r="B271" s="145">
        <v>50161</v>
      </c>
      <c r="C271" s="146"/>
      <c r="D271" s="146"/>
      <c r="E271" s="146"/>
      <c r="F271" s="146"/>
      <c r="G271" s="146"/>
      <c r="H271" s="146"/>
      <c r="I271" s="146"/>
      <c r="J271" s="146">
        <f t="shared" si="18"/>
        <v>0</v>
      </c>
      <c r="K271" s="146">
        <f t="shared" si="16"/>
        <v>0</v>
      </c>
      <c r="L271" s="146">
        <f t="shared" si="17"/>
        <v>0</v>
      </c>
      <c r="M271" s="146"/>
      <c r="N271" s="146"/>
      <c r="O271" s="146"/>
    </row>
    <row r="272" spans="1:15" hidden="1">
      <c r="A272" s="144">
        <v>264</v>
      </c>
      <c r="B272" s="145">
        <v>50192</v>
      </c>
      <c r="C272" s="146"/>
      <c r="D272" s="146"/>
      <c r="E272" s="146"/>
      <c r="F272" s="146"/>
      <c r="G272" s="146"/>
      <c r="H272" s="146"/>
      <c r="I272" s="146"/>
      <c r="J272" s="146">
        <f t="shared" si="18"/>
        <v>0</v>
      </c>
      <c r="K272" s="146">
        <f t="shared" si="16"/>
        <v>0</v>
      </c>
      <c r="L272" s="146">
        <f t="shared" si="17"/>
        <v>0</v>
      </c>
      <c r="M272" s="146"/>
      <c r="N272" s="146"/>
      <c r="O272" s="146"/>
    </row>
    <row r="273" spans="1:15" hidden="1">
      <c r="A273" s="144">
        <v>265</v>
      </c>
      <c r="B273" s="145">
        <v>50222</v>
      </c>
      <c r="C273" s="146"/>
      <c r="D273" s="146"/>
      <c r="E273" s="146"/>
      <c r="F273" s="146"/>
      <c r="G273" s="146"/>
      <c r="H273" s="146"/>
      <c r="I273" s="146"/>
      <c r="J273" s="146">
        <f t="shared" si="18"/>
        <v>0</v>
      </c>
      <c r="K273" s="146">
        <f t="shared" si="16"/>
        <v>0</v>
      </c>
      <c r="L273" s="146">
        <f t="shared" si="17"/>
        <v>0</v>
      </c>
      <c r="M273" s="146"/>
      <c r="N273" s="146"/>
      <c r="O273" s="146"/>
    </row>
    <row r="274" spans="1:15" hidden="1">
      <c r="A274" s="144">
        <v>266</v>
      </c>
      <c r="B274" s="145">
        <v>50253</v>
      </c>
      <c r="C274" s="146"/>
      <c r="D274" s="146"/>
      <c r="E274" s="146"/>
      <c r="F274" s="146"/>
      <c r="G274" s="146"/>
      <c r="H274" s="146"/>
      <c r="I274" s="146"/>
      <c r="J274" s="146">
        <f t="shared" si="18"/>
        <v>0</v>
      </c>
      <c r="K274" s="146">
        <f t="shared" ref="K274:K308" si="19">C274+D274+F274+G274</f>
        <v>0</v>
      </c>
      <c r="L274" s="146">
        <f t="shared" si="17"/>
        <v>0</v>
      </c>
      <c r="M274" s="146"/>
      <c r="N274" s="146"/>
      <c r="O274" s="146"/>
    </row>
    <row r="275" spans="1:15" hidden="1">
      <c r="A275" s="144">
        <v>267</v>
      </c>
      <c r="B275" s="145">
        <v>50284</v>
      </c>
      <c r="C275" s="146"/>
      <c r="D275" s="146"/>
      <c r="E275" s="146"/>
      <c r="F275" s="146"/>
      <c r="G275" s="146"/>
      <c r="H275" s="146"/>
      <c r="I275" s="146"/>
      <c r="J275" s="146">
        <f t="shared" si="18"/>
        <v>0</v>
      </c>
      <c r="K275" s="146">
        <f t="shared" si="19"/>
        <v>0</v>
      </c>
      <c r="L275" s="146">
        <f t="shared" si="17"/>
        <v>0</v>
      </c>
      <c r="M275" s="146"/>
      <c r="N275" s="146"/>
      <c r="O275" s="146"/>
    </row>
    <row r="276" spans="1:15" hidden="1">
      <c r="A276" s="144">
        <v>268</v>
      </c>
      <c r="B276" s="145">
        <v>50314</v>
      </c>
      <c r="C276" s="146"/>
      <c r="D276" s="146"/>
      <c r="E276" s="146"/>
      <c r="F276" s="146"/>
      <c r="G276" s="146"/>
      <c r="H276" s="146"/>
      <c r="I276" s="146"/>
      <c r="J276" s="146">
        <f t="shared" si="18"/>
        <v>0</v>
      </c>
      <c r="K276" s="146">
        <f t="shared" si="19"/>
        <v>0</v>
      </c>
      <c r="L276" s="146">
        <f t="shared" si="17"/>
        <v>0</v>
      </c>
      <c r="M276" s="146"/>
      <c r="N276" s="146"/>
      <c r="O276" s="146"/>
    </row>
    <row r="277" spans="1:15" hidden="1">
      <c r="A277" s="144">
        <v>269</v>
      </c>
      <c r="B277" s="145">
        <v>50345</v>
      </c>
      <c r="C277" s="146"/>
      <c r="D277" s="146"/>
      <c r="E277" s="146"/>
      <c r="F277" s="146"/>
      <c r="G277" s="146"/>
      <c r="H277" s="146"/>
      <c r="I277" s="146"/>
      <c r="J277" s="146">
        <f t="shared" si="18"/>
        <v>0</v>
      </c>
      <c r="K277" s="146">
        <f t="shared" si="19"/>
        <v>0</v>
      </c>
      <c r="L277" s="146">
        <f t="shared" si="17"/>
        <v>0</v>
      </c>
      <c r="M277" s="146"/>
      <c r="N277" s="146"/>
      <c r="O277" s="146"/>
    </row>
    <row r="278" spans="1:15" hidden="1">
      <c r="A278" s="144">
        <v>270</v>
      </c>
      <c r="B278" s="145">
        <v>50375</v>
      </c>
      <c r="C278" s="146"/>
      <c r="D278" s="146"/>
      <c r="E278" s="146"/>
      <c r="F278" s="146"/>
      <c r="G278" s="146"/>
      <c r="H278" s="146"/>
      <c r="I278" s="146"/>
      <c r="J278" s="146">
        <f t="shared" si="18"/>
        <v>0</v>
      </c>
      <c r="K278" s="146">
        <f t="shared" si="19"/>
        <v>0</v>
      </c>
      <c r="L278" s="146">
        <f t="shared" si="17"/>
        <v>0</v>
      </c>
      <c r="M278" s="146"/>
      <c r="N278" s="146"/>
      <c r="O278" s="146"/>
    </row>
    <row r="279" spans="1:15" hidden="1">
      <c r="A279" s="144">
        <v>271</v>
      </c>
      <c r="B279" s="145">
        <v>50406</v>
      </c>
      <c r="C279" s="146"/>
      <c r="D279" s="146"/>
      <c r="E279" s="146"/>
      <c r="F279" s="146"/>
      <c r="G279" s="146"/>
      <c r="H279" s="146"/>
      <c r="I279" s="146"/>
      <c r="J279" s="146">
        <f t="shared" si="18"/>
        <v>0</v>
      </c>
      <c r="K279" s="146">
        <f t="shared" si="19"/>
        <v>0</v>
      </c>
      <c r="L279" s="146">
        <f t="shared" si="17"/>
        <v>0</v>
      </c>
      <c r="M279" s="146"/>
      <c r="N279" s="146"/>
      <c r="O279" s="146"/>
    </row>
    <row r="280" spans="1:15" hidden="1">
      <c r="A280" s="144">
        <v>272</v>
      </c>
      <c r="B280" s="145">
        <v>50437</v>
      </c>
      <c r="C280" s="146"/>
      <c r="D280" s="146"/>
      <c r="E280" s="146"/>
      <c r="F280" s="146"/>
      <c r="G280" s="146"/>
      <c r="H280" s="146"/>
      <c r="I280" s="146"/>
      <c r="J280" s="146">
        <f t="shared" si="18"/>
        <v>0</v>
      </c>
      <c r="K280" s="146">
        <f t="shared" si="19"/>
        <v>0</v>
      </c>
      <c r="L280" s="146">
        <f t="shared" si="17"/>
        <v>0</v>
      </c>
      <c r="M280" s="146"/>
      <c r="N280" s="146"/>
      <c r="O280" s="146"/>
    </row>
    <row r="281" spans="1:15" hidden="1">
      <c r="A281" s="144">
        <v>273</v>
      </c>
      <c r="B281" s="145">
        <v>50465</v>
      </c>
      <c r="C281" s="146"/>
      <c r="D281" s="146"/>
      <c r="E281" s="146"/>
      <c r="F281" s="146"/>
      <c r="G281" s="146"/>
      <c r="H281" s="146"/>
      <c r="I281" s="146"/>
      <c r="J281" s="146">
        <f t="shared" si="18"/>
        <v>0</v>
      </c>
      <c r="K281" s="146">
        <f t="shared" si="19"/>
        <v>0</v>
      </c>
      <c r="L281" s="146">
        <f t="shared" si="17"/>
        <v>0</v>
      </c>
      <c r="M281" s="146"/>
      <c r="N281" s="146"/>
      <c r="O281" s="146"/>
    </row>
    <row r="282" spans="1:15" hidden="1">
      <c r="A282" s="144">
        <v>274</v>
      </c>
      <c r="B282" s="145">
        <v>50496</v>
      </c>
      <c r="C282" s="146"/>
      <c r="D282" s="146"/>
      <c r="E282" s="146"/>
      <c r="F282" s="146"/>
      <c r="G282" s="146"/>
      <c r="H282" s="146"/>
      <c r="I282" s="146"/>
      <c r="J282" s="146">
        <f t="shared" si="18"/>
        <v>0</v>
      </c>
      <c r="K282" s="146">
        <f t="shared" si="19"/>
        <v>0</v>
      </c>
      <c r="L282" s="146">
        <f t="shared" si="17"/>
        <v>0</v>
      </c>
      <c r="M282" s="146"/>
      <c r="N282" s="146"/>
      <c r="O282" s="146"/>
    </row>
    <row r="283" spans="1:15" hidden="1">
      <c r="A283" s="144">
        <v>275</v>
      </c>
      <c r="B283" s="145">
        <v>50526</v>
      </c>
      <c r="C283" s="146"/>
      <c r="D283" s="146"/>
      <c r="E283" s="146"/>
      <c r="F283" s="146"/>
      <c r="G283" s="146"/>
      <c r="H283" s="146"/>
      <c r="I283" s="146"/>
      <c r="J283" s="146">
        <f t="shared" si="18"/>
        <v>0</v>
      </c>
      <c r="K283" s="146">
        <f t="shared" si="19"/>
        <v>0</v>
      </c>
      <c r="L283" s="146">
        <f t="shared" si="17"/>
        <v>0</v>
      </c>
      <c r="M283" s="146"/>
      <c r="N283" s="146"/>
      <c r="O283" s="146"/>
    </row>
    <row r="284" spans="1:15" hidden="1">
      <c r="A284" s="144">
        <v>276</v>
      </c>
      <c r="B284" s="145">
        <v>50557</v>
      </c>
      <c r="C284" s="146"/>
      <c r="D284" s="146"/>
      <c r="E284" s="146"/>
      <c r="F284" s="146"/>
      <c r="G284" s="146"/>
      <c r="H284" s="146"/>
      <c r="I284" s="146"/>
      <c r="J284" s="146">
        <f t="shared" si="18"/>
        <v>0</v>
      </c>
      <c r="K284" s="146">
        <f t="shared" si="19"/>
        <v>0</v>
      </c>
      <c r="L284" s="146">
        <f t="shared" si="17"/>
        <v>0</v>
      </c>
      <c r="M284" s="146"/>
      <c r="N284" s="146"/>
      <c r="O284" s="146"/>
    </row>
    <row r="285" spans="1:15" hidden="1">
      <c r="A285" s="144">
        <v>277</v>
      </c>
      <c r="B285" s="145">
        <v>50587</v>
      </c>
      <c r="C285" s="146"/>
      <c r="D285" s="146"/>
      <c r="E285" s="146"/>
      <c r="F285" s="146"/>
      <c r="G285" s="146"/>
      <c r="H285" s="146"/>
      <c r="I285" s="146"/>
      <c r="J285" s="146">
        <f t="shared" si="18"/>
        <v>0</v>
      </c>
      <c r="K285" s="146">
        <f t="shared" si="19"/>
        <v>0</v>
      </c>
      <c r="L285" s="146">
        <f t="shared" si="17"/>
        <v>0</v>
      </c>
      <c r="M285" s="146"/>
      <c r="N285" s="146"/>
      <c r="O285" s="146"/>
    </row>
    <row r="286" spans="1:15" hidden="1">
      <c r="A286" s="144">
        <v>278</v>
      </c>
      <c r="B286" s="145">
        <v>50618</v>
      </c>
      <c r="C286" s="146"/>
      <c r="D286" s="146"/>
      <c r="E286" s="146"/>
      <c r="F286" s="146"/>
      <c r="G286" s="146"/>
      <c r="H286" s="146"/>
      <c r="I286" s="146"/>
      <c r="J286" s="146">
        <f t="shared" si="18"/>
        <v>0</v>
      </c>
      <c r="K286" s="146">
        <f t="shared" si="19"/>
        <v>0</v>
      </c>
      <c r="L286" s="146">
        <f t="shared" ref="L286:L308" si="20">ROUND(K286*N$39,0)</f>
        <v>0</v>
      </c>
      <c r="M286" s="146"/>
      <c r="N286" s="146"/>
      <c r="O286" s="146"/>
    </row>
    <row r="287" spans="1:15" hidden="1">
      <c r="A287" s="144">
        <v>279</v>
      </c>
      <c r="B287" s="145">
        <v>50649</v>
      </c>
      <c r="C287" s="146"/>
      <c r="D287" s="146"/>
      <c r="E287" s="146"/>
      <c r="F287" s="146"/>
      <c r="G287" s="146"/>
      <c r="H287" s="146"/>
      <c r="I287" s="146"/>
      <c r="J287" s="146">
        <f t="shared" si="18"/>
        <v>0</v>
      </c>
      <c r="K287" s="146">
        <f t="shared" si="19"/>
        <v>0</v>
      </c>
      <c r="L287" s="146">
        <f t="shared" si="20"/>
        <v>0</v>
      </c>
      <c r="M287" s="146"/>
      <c r="N287" s="146"/>
      <c r="O287" s="146"/>
    </row>
    <row r="288" spans="1:15" hidden="1">
      <c r="A288" s="144">
        <v>280</v>
      </c>
      <c r="B288" s="145">
        <v>50679</v>
      </c>
      <c r="C288" s="146"/>
      <c r="D288" s="146"/>
      <c r="E288" s="146"/>
      <c r="F288" s="146"/>
      <c r="G288" s="146"/>
      <c r="H288" s="146"/>
      <c r="I288" s="146"/>
      <c r="J288" s="146">
        <f t="shared" si="18"/>
        <v>0</v>
      </c>
      <c r="K288" s="146">
        <f t="shared" si="19"/>
        <v>0</v>
      </c>
      <c r="L288" s="146">
        <f t="shared" si="20"/>
        <v>0</v>
      </c>
      <c r="M288" s="146"/>
      <c r="N288" s="146"/>
      <c r="O288" s="146"/>
    </row>
    <row r="289" spans="1:15" hidden="1">
      <c r="A289" s="144">
        <v>281</v>
      </c>
      <c r="B289" s="145">
        <v>50710</v>
      </c>
      <c r="C289" s="146"/>
      <c r="D289" s="146"/>
      <c r="E289" s="146"/>
      <c r="F289" s="146"/>
      <c r="G289" s="146"/>
      <c r="H289" s="146"/>
      <c r="I289" s="146"/>
      <c r="J289" s="146">
        <f t="shared" si="18"/>
        <v>0</v>
      </c>
      <c r="K289" s="146">
        <f t="shared" si="19"/>
        <v>0</v>
      </c>
      <c r="L289" s="146">
        <f t="shared" si="20"/>
        <v>0</v>
      </c>
      <c r="M289" s="146"/>
      <c r="N289" s="146"/>
      <c r="O289" s="146"/>
    </row>
    <row r="290" spans="1:15" hidden="1">
      <c r="A290" s="144">
        <v>282</v>
      </c>
      <c r="B290" s="145">
        <v>50740</v>
      </c>
      <c r="C290" s="146"/>
      <c r="D290" s="146"/>
      <c r="E290" s="146"/>
      <c r="F290" s="146"/>
      <c r="G290" s="146"/>
      <c r="H290" s="146"/>
      <c r="I290" s="146"/>
      <c r="J290" s="146">
        <f t="shared" si="18"/>
        <v>0</v>
      </c>
      <c r="K290" s="146">
        <f t="shared" si="19"/>
        <v>0</v>
      </c>
      <c r="L290" s="146">
        <f t="shared" si="20"/>
        <v>0</v>
      </c>
      <c r="M290" s="146"/>
      <c r="N290" s="146"/>
      <c r="O290" s="146"/>
    </row>
    <row r="291" spans="1:15" hidden="1">
      <c r="A291" s="144">
        <v>283</v>
      </c>
      <c r="B291" s="145">
        <v>50771</v>
      </c>
      <c r="C291" s="146"/>
      <c r="D291" s="146"/>
      <c r="E291" s="146"/>
      <c r="F291" s="146"/>
      <c r="G291" s="146"/>
      <c r="H291" s="146"/>
      <c r="I291" s="146"/>
      <c r="J291" s="146">
        <f t="shared" si="18"/>
        <v>0</v>
      </c>
      <c r="K291" s="146">
        <f t="shared" si="19"/>
        <v>0</v>
      </c>
      <c r="L291" s="146">
        <f t="shared" si="20"/>
        <v>0</v>
      </c>
      <c r="M291" s="146"/>
      <c r="N291" s="146"/>
      <c r="O291" s="146"/>
    </row>
    <row r="292" spans="1:15" hidden="1">
      <c r="A292" s="144">
        <v>284</v>
      </c>
      <c r="B292" s="145">
        <v>50802</v>
      </c>
      <c r="C292" s="146"/>
      <c r="D292" s="146"/>
      <c r="E292" s="146"/>
      <c r="F292" s="146"/>
      <c r="G292" s="146"/>
      <c r="H292" s="146"/>
      <c r="I292" s="146"/>
      <c r="J292" s="146">
        <f t="shared" si="18"/>
        <v>0</v>
      </c>
      <c r="K292" s="146">
        <f t="shared" si="19"/>
        <v>0</v>
      </c>
      <c r="L292" s="146">
        <f t="shared" si="20"/>
        <v>0</v>
      </c>
      <c r="M292" s="146"/>
      <c r="N292" s="146"/>
      <c r="O292" s="146"/>
    </row>
    <row r="293" spans="1:15" hidden="1">
      <c r="A293" s="144">
        <v>285</v>
      </c>
      <c r="B293" s="145">
        <v>50830</v>
      </c>
      <c r="C293" s="146"/>
      <c r="D293" s="146"/>
      <c r="E293" s="146"/>
      <c r="F293" s="146"/>
      <c r="G293" s="146"/>
      <c r="H293" s="146"/>
      <c r="I293" s="146"/>
      <c r="J293" s="146">
        <f t="shared" si="18"/>
        <v>0</v>
      </c>
      <c r="K293" s="146">
        <f t="shared" si="19"/>
        <v>0</v>
      </c>
      <c r="L293" s="146">
        <f t="shared" si="20"/>
        <v>0</v>
      </c>
      <c r="M293" s="146"/>
      <c r="N293" s="146"/>
      <c r="O293" s="146"/>
    </row>
    <row r="294" spans="1:15" hidden="1">
      <c r="A294" s="144">
        <v>286</v>
      </c>
      <c r="B294" s="145">
        <v>50861</v>
      </c>
      <c r="C294" s="146"/>
      <c r="D294" s="146"/>
      <c r="E294" s="146"/>
      <c r="F294" s="146"/>
      <c r="G294" s="146"/>
      <c r="H294" s="146"/>
      <c r="I294" s="146"/>
      <c r="J294" s="146">
        <f t="shared" si="18"/>
        <v>0</v>
      </c>
      <c r="K294" s="146">
        <f t="shared" si="19"/>
        <v>0</v>
      </c>
      <c r="L294" s="146">
        <f t="shared" si="20"/>
        <v>0</v>
      </c>
      <c r="M294" s="146"/>
      <c r="N294" s="146"/>
      <c r="O294" s="146"/>
    </row>
    <row r="295" spans="1:15" hidden="1">
      <c r="A295" s="144">
        <v>287</v>
      </c>
      <c r="B295" s="145">
        <v>50891</v>
      </c>
      <c r="C295" s="146"/>
      <c r="D295" s="146"/>
      <c r="E295" s="146"/>
      <c r="F295" s="146"/>
      <c r="G295" s="146"/>
      <c r="H295" s="146"/>
      <c r="I295" s="146"/>
      <c r="J295" s="146">
        <f t="shared" si="18"/>
        <v>0</v>
      </c>
      <c r="K295" s="146">
        <f t="shared" si="19"/>
        <v>0</v>
      </c>
      <c r="L295" s="146">
        <f t="shared" si="20"/>
        <v>0</v>
      </c>
      <c r="M295" s="146"/>
      <c r="N295" s="146"/>
      <c r="O295" s="146"/>
    </row>
    <row r="296" spans="1:15" hidden="1">
      <c r="A296" s="144">
        <v>288</v>
      </c>
      <c r="B296" s="145">
        <v>50922</v>
      </c>
      <c r="C296" s="146"/>
      <c r="D296" s="146"/>
      <c r="E296" s="146"/>
      <c r="F296" s="146"/>
      <c r="G296" s="146"/>
      <c r="H296" s="146"/>
      <c r="I296" s="146"/>
      <c r="J296" s="146">
        <f t="shared" si="18"/>
        <v>0</v>
      </c>
      <c r="K296" s="146">
        <f t="shared" si="19"/>
        <v>0</v>
      </c>
      <c r="L296" s="146">
        <f t="shared" si="20"/>
        <v>0</v>
      </c>
      <c r="M296" s="146"/>
      <c r="N296" s="146"/>
      <c r="O296" s="146"/>
    </row>
    <row r="297" spans="1:15" hidden="1">
      <c r="A297" s="144">
        <v>289</v>
      </c>
      <c r="B297" s="145">
        <v>50952</v>
      </c>
      <c r="C297" s="146"/>
      <c r="D297" s="146"/>
      <c r="E297" s="146"/>
      <c r="F297" s="146"/>
      <c r="G297" s="146"/>
      <c r="H297" s="146"/>
      <c r="I297" s="146"/>
      <c r="J297" s="146">
        <f t="shared" si="18"/>
        <v>0</v>
      </c>
      <c r="K297" s="146">
        <f t="shared" si="19"/>
        <v>0</v>
      </c>
      <c r="L297" s="146">
        <f t="shared" si="20"/>
        <v>0</v>
      </c>
      <c r="M297" s="146"/>
      <c r="N297" s="146"/>
      <c r="O297" s="146"/>
    </row>
    <row r="298" spans="1:15" hidden="1">
      <c r="A298" s="144">
        <v>290</v>
      </c>
      <c r="B298" s="145">
        <v>50983</v>
      </c>
      <c r="C298" s="146"/>
      <c r="D298" s="146"/>
      <c r="E298" s="146"/>
      <c r="F298" s="146"/>
      <c r="G298" s="146"/>
      <c r="H298" s="146"/>
      <c r="I298" s="146"/>
      <c r="J298" s="146">
        <f t="shared" si="18"/>
        <v>0</v>
      </c>
      <c r="K298" s="146">
        <f t="shared" si="19"/>
        <v>0</v>
      </c>
      <c r="L298" s="146">
        <f t="shared" si="20"/>
        <v>0</v>
      </c>
      <c r="M298" s="146"/>
      <c r="N298" s="146"/>
      <c r="O298" s="146"/>
    </row>
    <row r="299" spans="1:15" hidden="1">
      <c r="A299" s="144">
        <v>291</v>
      </c>
      <c r="B299" s="145">
        <v>51014</v>
      </c>
      <c r="C299" s="146"/>
      <c r="D299" s="146"/>
      <c r="E299" s="146"/>
      <c r="F299" s="146"/>
      <c r="G299" s="146"/>
      <c r="H299" s="146"/>
      <c r="I299" s="146"/>
      <c r="J299" s="146">
        <f t="shared" si="18"/>
        <v>0</v>
      </c>
      <c r="K299" s="146">
        <f t="shared" si="19"/>
        <v>0</v>
      </c>
      <c r="L299" s="146">
        <f t="shared" si="20"/>
        <v>0</v>
      </c>
      <c r="M299" s="146"/>
      <c r="N299" s="146"/>
      <c r="O299" s="146"/>
    </row>
    <row r="300" spans="1:15" hidden="1">
      <c r="A300" s="144">
        <v>292</v>
      </c>
      <c r="B300" s="145">
        <v>51044</v>
      </c>
      <c r="C300" s="146"/>
      <c r="D300" s="146"/>
      <c r="E300" s="146"/>
      <c r="F300" s="146"/>
      <c r="G300" s="146"/>
      <c r="H300" s="146"/>
      <c r="I300" s="146"/>
      <c r="J300" s="146">
        <f t="shared" si="18"/>
        <v>0</v>
      </c>
      <c r="K300" s="146">
        <f t="shared" si="19"/>
        <v>0</v>
      </c>
      <c r="L300" s="146">
        <f t="shared" si="20"/>
        <v>0</v>
      </c>
      <c r="M300" s="146"/>
      <c r="N300" s="146"/>
      <c r="O300" s="146"/>
    </row>
    <row r="301" spans="1:15" hidden="1">
      <c r="A301" s="144">
        <v>293</v>
      </c>
      <c r="B301" s="145">
        <v>51075</v>
      </c>
      <c r="C301" s="146"/>
      <c r="D301" s="146"/>
      <c r="E301" s="146"/>
      <c r="F301" s="146"/>
      <c r="G301" s="146"/>
      <c r="H301" s="146"/>
      <c r="I301" s="146"/>
      <c r="J301" s="146">
        <f t="shared" si="18"/>
        <v>0</v>
      </c>
      <c r="K301" s="146">
        <f t="shared" si="19"/>
        <v>0</v>
      </c>
      <c r="L301" s="146">
        <f t="shared" si="20"/>
        <v>0</v>
      </c>
      <c r="M301" s="146"/>
      <c r="N301" s="146"/>
      <c r="O301" s="146"/>
    </row>
    <row r="302" spans="1:15" hidden="1">
      <c r="A302" s="144">
        <v>294</v>
      </c>
      <c r="B302" s="145">
        <v>51105</v>
      </c>
      <c r="C302" s="146"/>
      <c r="D302" s="146"/>
      <c r="E302" s="146"/>
      <c r="F302" s="146"/>
      <c r="G302" s="146"/>
      <c r="H302" s="146"/>
      <c r="I302" s="146"/>
      <c r="J302" s="146">
        <f t="shared" si="18"/>
        <v>0</v>
      </c>
      <c r="K302" s="146">
        <f t="shared" si="19"/>
        <v>0</v>
      </c>
      <c r="L302" s="146">
        <f t="shared" si="20"/>
        <v>0</v>
      </c>
      <c r="M302" s="146"/>
      <c r="N302" s="146"/>
      <c r="O302" s="146"/>
    </row>
    <row r="303" spans="1:15" hidden="1">
      <c r="A303" s="144">
        <v>295</v>
      </c>
      <c r="B303" s="145">
        <v>51136</v>
      </c>
      <c r="C303" s="146"/>
      <c r="D303" s="146"/>
      <c r="E303" s="146"/>
      <c r="F303" s="146"/>
      <c r="G303" s="146"/>
      <c r="H303" s="146"/>
      <c r="I303" s="146"/>
      <c r="J303" s="146">
        <f t="shared" si="18"/>
        <v>0</v>
      </c>
      <c r="K303" s="146">
        <f t="shared" si="19"/>
        <v>0</v>
      </c>
      <c r="L303" s="146">
        <f t="shared" si="20"/>
        <v>0</v>
      </c>
      <c r="M303" s="146"/>
      <c r="N303" s="146"/>
      <c r="O303" s="146"/>
    </row>
    <row r="304" spans="1:15" hidden="1">
      <c r="A304" s="144">
        <v>296</v>
      </c>
      <c r="B304" s="145">
        <v>51167</v>
      </c>
      <c r="C304" s="146"/>
      <c r="D304" s="146"/>
      <c r="E304" s="146"/>
      <c r="F304" s="146"/>
      <c r="G304" s="146"/>
      <c r="H304" s="146"/>
      <c r="I304" s="146"/>
      <c r="J304" s="146">
        <f t="shared" si="18"/>
        <v>0</v>
      </c>
      <c r="K304" s="146">
        <f t="shared" si="19"/>
        <v>0</v>
      </c>
      <c r="L304" s="146">
        <f t="shared" si="20"/>
        <v>0</v>
      </c>
      <c r="M304" s="146"/>
      <c r="N304" s="146"/>
      <c r="O304" s="146"/>
    </row>
    <row r="305" spans="1:15" hidden="1">
      <c r="A305" s="144">
        <v>297</v>
      </c>
      <c r="B305" s="145">
        <v>51196</v>
      </c>
      <c r="C305" s="146"/>
      <c r="D305" s="146"/>
      <c r="E305" s="146"/>
      <c r="F305" s="146"/>
      <c r="G305" s="146"/>
      <c r="H305" s="146"/>
      <c r="I305" s="146"/>
      <c r="J305" s="146">
        <f t="shared" si="18"/>
        <v>0</v>
      </c>
      <c r="K305" s="146">
        <f t="shared" si="19"/>
        <v>0</v>
      </c>
      <c r="L305" s="146">
        <f t="shared" si="20"/>
        <v>0</v>
      </c>
      <c r="M305" s="146"/>
      <c r="N305" s="146"/>
      <c r="O305" s="146"/>
    </row>
    <row r="306" spans="1:15" hidden="1">
      <c r="A306" s="144">
        <v>298</v>
      </c>
      <c r="B306" s="145">
        <v>51227</v>
      </c>
      <c r="C306" s="146"/>
      <c r="D306" s="146"/>
      <c r="E306" s="146"/>
      <c r="F306" s="146"/>
      <c r="G306" s="146"/>
      <c r="H306" s="146"/>
      <c r="I306" s="146"/>
      <c r="J306" s="146">
        <f t="shared" si="18"/>
        <v>0</v>
      </c>
      <c r="K306" s="146">
        <f t="shared" si="19"/>
        <v>0</v>
      </c>
      <c r="L306" s="146">
        <f t="shared" si="20"/>
        <v>0</v>
      </c>
      <c r="M306" s="146"/>
      <c r="N306" s="146"/>
      <c r="O306" s="146"/>
    </row>
    <row r="307" spans="1:15" hidden="1">
      <c r="A307" s="144">
        <v>299</v>
      </c>
      <c r="B307" s="145">
        <v>51257</v>
      </c>
      <c r="C307" s="146"/>
      <c r="D307" s="146"/>
      <c r="E307" s="146"/>
      <c r="F307" s="146"/>
      <c r="G307" s="146"/>
      <c r="H307" s="146"/>
      <c r="I307" s="146"/>
      <c r="J307" s="146">
        <f t="shared" si="18"/>
        <v>0</v>
      </c>
      <c r="K307" s="146">
        <f t="shared" si="19"/>
        <v>0</v>
      </c>
      <c r="L307" s="146">
        <f t="shared" si="20"/>
        <v>0</v>
      </c>
      <c r="M307" s="146"/>
      <c r="N307" s="146"/>
      <c r="O307" s="146"/>
    </row>
    <row r="308" spans="1:15" hidden="1">
      <c r="A308" s="144">
        <v>300</v>
      </c>
      <c r="B308" s="145">
        <v>51288</v>
      </c>
      <c r="C308" s="146"/>
      <c r="D308" s="146"/>
      <c r="E308" s="146"/>
      <c r="F308" s="146"/>
      <c r="G308" s="146"/>
      <c r="H308" s="146"/>
      <c r="I308" s="146"/>
      <c r="J308" s="146">
        <f>SUM(C308:I308)</f>
        <v>0</v>
      </c>
      <c r="K308" s="146">
        <f t="shared" si="19"/>
        <v>0</v>
      </c>
      <c r="L308" s="146">
        <f t="shared" si="20"/>
        <v>0</v>
      </c>
      <c r="M308" s="146"/>
      <c r="N308" s="146"/>
      <c r="O308" s="146"/>
    </row>
    <row r="309" spans="1:15">
      <c r="B309" s="144" t="s">
        <v>62</v>
      </c>
      <c r="C309" s="146">
        <f>SUM(C7:C308)</f>
        <v>256509061.91000003</v>
      </c>
      <c r="D309" s="146">
        <f>SUM(D7:D308)</f>
        <v>-25047332.459999986</v>
      </c>
      <c r="E309" s="146">
        <f>SUM(E7:E308)</f>
        <v>3015785.4200000004</v>
      </c>
      <c r="F309" s="146">
        <f>SUM(F7:F308)</f>
        <v>109983319.02</v>
      </c>
      <c r="G309" s="146">
        <f t="shared" ref="G309:I309" si="21">SUM(G7:G308)</f>
        <v>932964.62999999966</v>
      </c>
      <c r="H309" s="146">
        <f t="shared" si="21"/>
        <v>0</v>
      </c>
      <c r="I309" s="146">
        <f t="shared" si="21"/>
        <v>0</v>
      </c>
      <c r="J309" s="146">
        <f>SUM(J7:J308)</f>
        <v>345393798.5200004</v>
      </c>
      <c r="K309" s="146"/>
      <c r="L309" s="146">
        <f>ROUND(K309*$N$39,0)</f>
        <v>0</v>
      </c>
      <c r="M309" s="146"/>
      <c r="N309" s="146"/>
      <c r="O309" s="146"/>
    </row>
    <row r="310" spans="1:15" ht="15" hidden="1" customHeight="1">
      <c r="C310" s="235" t="s">
        <v>104</v>
      </c>
      <c r="D310" s="235" t="s">
        <v>105</v>
      </c>
      <c r="E310" s="235" t="s">
        <v>102</v>
      </c>
      <c r="F310" s="235" t="s">
        <v>106</v>
      </c>
      <c r="G310" s="235" t="s">
        <v>103</v>
      </c>
      <c r="H310" s="235" t="s">
        <v>107</v>
      </c>
      <c r="I310" s="235" t="s">
        <v>108</v>
      </c>
    </row>
    <row r="311" spans="1:15" hidden="1">
      <c r="C311" s="236"/>
      <c r="D311" s="236"/>
      <c r="E311" s="236"/>
      <c r="F311" s="236"/>
      <c r="G311" s="236"/>
      <c r="H311" s="236"/>
      <c r="I311" s="236"/>
    </row>
    <row r="312" spans="1:15" hidden="1">
      <c r="C312" s="236"/>
      <c r="D312" s="236"/>
      <c r="E312" s="236"/>
      <c r="F312" s="236"/>
      <c r="G312" s="236"/>
      <c r="H312" s="236"/>
      <c r="I312" s="236"/>
    </row>
    <row r="313" spans="1:15" hidden="1">
      <c r="C313" s="236"/>
      <c r="D313" s="236"/>
      <c r="E313" s="236"/>
      <c r="F313" s="236"/>
      <c r="G313" s="236"/>
      <c r="H313" s="236"/>
      <c r="I313" s="236"/>
    </row>
    <row r="314" spans="1:15" hidden="1">
      <c r="C314" s="236"/>
      <c r="D314" s="236"/>
      <c r="E314" s="236"/>
      <c r="F314" s="236"/>
      <c r="G314" s="236"/>
      <c r="H314" s="236"/>
      <c r="I314" s="236"/>
    </row>
    <row r="315" spans="1:15" hidden="1">
      <c r="C315" s="236"/>
      <c r="D315" s="236"/>
      <c r="E315" s="236"/>
      <c r="F315" s="236"/>
      <c r="G315" s="236"/>
      <c r="H315" s="236"/>
      <c r="I315" s="236"/>
    </row>
    <row r="316" spans="1:15" hidden="1">
      <c r="C316" s="236"/>
      <c r="D316" s="236"/>
      <c r="E316" s="236"/>
      <c r="F316" s="236"/>
      <c r="G316" s="236"/>
      <c r="H316" s="236"/>
      <c r="I316" s="236"/>
    </row>
    <row r="317" spans="1:15" hidden="1">
      <c r="C317" s="236"/>
      <c r="D317" s="236"/>
      <c r="E317" s="236"/>
      <c r="F317" s="236"/>
      <c r="G317" s="236"/>
      <c r="H317" s="236"/>
      <c r="I317" s="236"/>
    </row>
    <row r="318" spans="1:15" hidden="1">
      <c r="C318" s="236"/>
      <c r="D318" s="236"/>
      <c r="E318" s="236"/>
      <c r="F318" s="236"/>
      <c r="G318" s="236"/>
      <c r="H318" s="236"/>
      <c r="I318" s="236"/>
    </row>
    <row r="319" spans="1:15" hidden="1">
      <c r="C319" s="236"/>
      <c r="D319" s="236"/>
      <c r="E319" s="236"/>
      <c r="F319" s="236"/>
      <c r="G319" s="236"/>
      <c r="H319" s="236"/>
      <c r="I319" s="236"/>
    </row>
    <row r="320" spans="1:15" hidden="1">
      <c r="C320" s="236"/>
      <c r="D320" s="236"/>
      <c r="E320" s="236"/>
      <c r="F320" s="236"/>
      <c r="G320" s="236"/>
      <c r="H320" s="236"/>
      <c r="I320" s="236"/>
    </row>
    <row r="321" spans="3:9" ht="62.25" hidden="1" customHeight="1" thickBot="1">
      <c r="C321" s="237"/>
      <c r="D321" s="237"/>
      <c r="E321" s="237"/>
      <c r="F321" s="237"/>
      <c r="G321" s="237"/>
      <c r="H321" s="237"/>
      <c r="I321" s="237"/>
    </row>
    <row r="324" spans="3:9">
      <c r="F324" s="149"/>
    </row>
    <row r="325" spans="3:9">
      <c r="F325" s="149"/>
    </row>
  </sheetData>
  <mergeCells count="7">
    <mergeCell ref="I310:I321"/>
    <mergeCell ref="C310:C321"/>
    <mergeCell ref="D310:D321"/>
    <mergeCell ref="E310:E321"/>
    <mergeCell ref="F310:F321"/>
    <mergeCell ref="G310:G321"/>
    <mergeCell ref="H310:H321"/>
  </mergeCells>
  <pageMargins left="0.7" right="0.7" top="0.75" bottom="0.75" header="0.3" footer="0.3"/>
  <pageSetup scale="4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215"/>
  <sheetViews>
    <sheetView zoomScale="80" zoomScaleNormal="80" workbookViewId="0">
      <pane xSplit="2" ySplit="7" topLeftCell="C179" activePane="bottomRight" state="frozen"/>
      <selection activeCell="C10" sqref="C10"/>
      <selection pane="topRight" activeCell="C10" sqref="C10"/>
      <selection pane="bottomLeft" activeCell="C10" sqref="C10"/>
      <selection pane="bottomRight" activeCell="G213" sqref="G213"/>
    </sheetView>
  </sheetViews>
  <sheetFormatPr defaultColWidth="9.140625" defaultRowHeight="15"/>
  <cols>
    <col min="1" max="1" width="6.42578125" style="34" bestFit="1" customWidth="1"/>
    <col min="2" max="2" width="31.5703125" style="34" bestFit="1" customWidth="1"/>
    <col min="3" max="3" width="17.28515625" style="34" bestFit="1" customWidth="1"/>
    <col min="4" max="4" width="2.7109375" style="34" customWidth="1"/>
    <col min="5" max="5" width="18" style="34" bestFit="1" customWidth="1"/>
    <col min="6" max="6" width="17.42578125" style="34" customWidth="1"/>
    <col min="7" max="7" width="19.5703125" style="34" customWidth="1"/>
    <col min="8" max="8" width="26.5703125" style="25" bestFit="1" customWidth="1"/>
    <col min="9" max="9" width="3" style="25" customWidth="1"/>
    <col min="10" max="10" width="25.140625" style="19" bestFit="1" customWidth="1"/>
    <col min="11" max="11" width="21" style="19" customWidth="1"/>
    <col min="12" max="12" width="20.140625" style="34" bestFit="1" customWidth="1"/>
    <col min="13" max="13" width="9.140625" style="34" hidden="1" customWidth="1"/>
    <col min="14" max="14" width="13.28515625" style="34" hidden="1" customWidth="1"/>
    <col min="15" max="15" width="14" style="34" hidden="1" customWidth="1"/>
    <col min="16" max="16" width="12.28515625" style="34" hidden="1" customWidth="1"/>
    <col min="17" max="17" width="11.5703125" style="34" hidden="1" customWidth="1"/>
    <col min="18" max="18" width="9.140625" style="34"/>
    <col min="19" max="19" width="16.7109375" style="34" bestFit="1" customWidth="1"/>
    <col min="20" max="20" width="11.85546875" style="34" bestFit="1" customWidth="1"/>
    <col min="21" max="21" width="13.85546875" style="34" customWidth="1"/>
    <col min="22" max="16384" width="9.140625" style="34"/>
  </cols>
  <sheetData>
    <row r="1" spans="1:21">
      <c r="B1" s="34" t="s">
        <v>68</v>
      </c>
    </row>
    <row r="2" spans="1:21">
      <c r="B2" s="34" t="s">
        <v>58</v>
      </c>
      <c r="C2" s="28">
        <f>'Actual Yr 1-8 Amortization'!G2</f>
        <v>7.4999999999999997E-2</v>
      </c>
      <c r="D2" s="28"/>
      <c r="G2" s="29"/>
      <c r="H2" s="30"/>
      <c r="K2" s="19" t="s">
        <v>126</v>
      </c>
      <c r="T2" s="19" t="s">
        <v>150</v>
      </c>
    </row>
    <row r="3" spans="1:21">
      <c r="B3" s="34" t="s">
        <v>63</v>
      </c>
      <c r="C3" s="28">
        <f>C2/12</f>
        <v>6.2499999999999995E-3</v>
      </c>
      <c r="D3" s="28"/>
      <c r="E3" s="18">
        <f>C4*12</f>
        <v>26661171.588326275</v>
      </c>
      <c r="K3" s="46">
        <f>18*12</f>
        <v>216</v>
      </c>
      <c r="L3" s="45">
        <f>-K4/216</f>
        <v>160692.64948893784</v>
      </c>
      <c r="T3" s="45">
        <v>-801591.38</v>
      </c>
      <c r="U3" s="38">
        <f>-T3</f>
        <v>801591.38</v>
      </c>
    </row>
    <row r="4" spans="1:21">
      <c r="B4" s="34" t="s">
        <v>64</v>
      </c>
      <c r="C4" s="226">
        <v>2221764.2990271896</v>
      </c>
      <c r="D4" s="23"/>
      <c r="E4" s="34" t="s">
        <v>2</v>
      </c>
      <c r="K4" s="19">
        <v>-34709612.289610572</v>
      </c>
    </row>
    <row r="5" spans="1:21">
      <c r="B5" s="34" t="s">
        <v>80</v>
      </c>
      <c r="C5" s="31">
        <v>0.98499999999999999</v>
      </c>
      <c r="D5" s="32"/>
      <c r="E5" s="238"/>
      <c r="F5" s="238"/>
      <c r="G5" s="238"/>
      <c r="H5" s="238"/>
      <c r="I5" s="142"/>
      <c r="J5" s="47"/>
      <c r="K5" s="47"/>
      <c r="L5" s="22"/>
    </row>
    <row r="6" spans="1:21" ht="30">
      <c r="A6" s="22" t="s">
        <v>1</v>
      </c>
      <c r="B6" s="22" t="s">
        <v>63</v>
      </c>
      <c r="C6" s="33" t="s">
        <v>116</v>
      </c>
      <c r="D6" s="33"/>
      <c r="E6" s="33" t="s">
        <v>59</v>
      </c>
      <c r="F6" s="33" t="s">
        <v>60</v>
      </c>
      <c r="G6" s="33" t="s">
        <v>117</v>
      </c>
      <c r="H6" s="33" t="s">
        <v>118</v>
      </c>
      <c r="I6" s="33"/>
      <c r="J6" s="48" t="s">
        <v>125</v>
      </c>
      <c r="K6" s="48" t="s">
        <v>129</v>
      </c>
      <c r="L6" s="33" t="s">
        <v>119</v>
      </c>
      <c r="N6" s="239" t="s">
        <v>96</v>
      </c>
      <c r="O6" s="239"/>
      <c r="P6" s="239"/>
      <c r="Q6" s="239"/>
    </row>
    <row r="7" spans="1:21" ht="15.75" thickBot="1">
      <c r="B7" s="24"/>
      <c r="C7" s="36"/>
      <c r="D7" s="36"/>
      <c r="I7" s="21"/>
      <c r="J7" s="19" t="s">
        <v>2</v>
      </c>
      <c r="L7" s="26"/>
      <c r="N7" s="16">
        <v>4073014</v>
      </c>
      <c r="O7" s="16">
        <v>1823517</v>
      </c>
      <c r="P7" s="16">
        <v>5060011</v>
      </c>
      <c r="Q7" s="16">
        <v>1823518</v>
      </c>
    </row>
    <row r="8" spans="1:21">
      <c r="A8" s="34">
        <v>25</v>
      </c>
      <c r="B8" s="17">
        <v>45107</v>
      </c>
      <c r="C8" s="26"/>
      <c r="D8" s="26"/>
      <c r="E8" s="23"/>
      <c r="F8" s="23"/>
      <c r="G8" s="23"/>
      <c r="H8" s="35"/>
      <c r="I8" s="35"/>
      <c r="J8" s="20">
        <f>Components!K16</f>
        <v>-59922727.233314805</v>
      </c>
      <c r="K8" s="49">
        <f>Components!K24</f>
        <v>-5145699.4880088121</v>
      </c>
      <c r="L8" s="26">
        <f>Components!K27</f>
        <v>220277893.43731833</v>
      </c>
      <c r="S8" s="26"/>
    </row>
    <row r="9" spans="1:21">
      <c r="A9" s="34">
        <v>86</v>
      </c>
      <c r="B9" s="17">
        <v>45108</v>
      </c>
      <c r="C9" s="26">
        <f>L8</f>
        <v>220277893.43731833</v>
      </c>
      <c r="D9" s="26"/>
      <c r="E9" s="23">
        <v>0</v>
      </c>
      <c r="F9" s="23">
        <f>C3*L8</f>
        <v>1376736.8339832395</v>
      </c>
      <c r="G9" s="23">
        <f>C4</f>
        <v>2221764.2990271896</v>
      </c>
      <c r="H9" s="35">
        <f t="shared" ref="H9:H26" si="0">E9+F9-G9</f>
        <v>-845027.46504395013</v>
      </c>
      <c r="I9" s="35"/>
      <c r="J9" s="20">
        <f t="shared" ref="J9:J26" si="1">-H9*0.21</f>
        <v>177455.76765922952</v>
      </c>
      <c r="K9" s="37">
        <f t="shared" ref="K9:K14" si="2">$U$3</f>
        <v>801591.38</v>
      </c>
      <c r="L9" s="26">
        <f t="shared" ref="L9:L26" si="3">C9+E9+F9-G9+J9+K9</f>
        <v>220411913.11993358</v>
      </c>
    </row>
    <row r="10" spans="1:21">
      <c r="A10" s="34">
        <v>87</v>
      </c>
      <c r="B10" s="17">
        <v>45139</v>
      </c>
      <c r="C10" s="26">
        <f t="shared" ref="C10:C26" si="4">L9</f>
        <v>220411913.11993358</v>
      </c>
      <c r="D10" s="26"/>
      <c r="E10" s="23">
        <v>0</v>
      </c>
      <c r="F10" s="23">
        <f t="shared" ref="F10:F26" si="5">L9*$C$3</f>
        <v>1377574.4569995848</v>
      </c>
      <c r="G10" s="23">
        <f t="shared" ref="G10:G26" si="6">G9</f>
        <v>2221764.2990271896</v>
      </c>
      <c r="H10" s="35">
        <f t="shared" si="0"/>
        <v>-844189.84202760481</v>
      </c>
      <c r="I10" s="35"/>
      <c r="J10" s="20">
        <f t="shared" si="1"/>
        <v>177279.86682579701</v>
      </c>
      <c r="K10" s="37">
        <f t="shared" si="2"/>
        <v>801591.38</v>
      </c>
      <c r="L10" s="26">
        <f t="shared" si="3"/>
        <v>220546594.52473173</v>
      </c>
    </row>
    <row r="11" spans="1:21">
      <c r="A11" s="34">
        <v>88</v>
      </c>
      <c r="B11" s="17">
        <v>45170</v>
      </c>
      <c r="C11" s="26">
        <f t="shared" si="4"/>
        <v>220546594.52473173</v>
      </c>
      <c r="D11" s="26"/>
      <c r="E11" s="23">
        <v>0</v>
      </c>
      <c r="F11" s="23">
        <f t="shared" si="5"/>
        <v>1378416.2157795732</v>
      </c>
      <c r="G11" s="23">
        <f t="shared" si="6"/>
        <v>2221764.2990271896</v>
      </c>
      <c r="H11" s="35">
        <f t="shared" si="0"/>
        <v>-843348.08324761642</v>
      </c>
      <c r="I11" s="35"/>
      <c r="J11" s="20">
        <f t="shared" si="1"/>
        <v>177103.09748199943</v>
      </c>
      <c r="K11" s="37">
        <f t="shared" si="2"/>
        <v>801591.38</v>
      </c>
      <c r="L11" s="26">
        <f t="shared" si="3"/>
        <v>220681940.91896608</v>
      </c>
    </row>
    <row r="12" spans="1:21">
      <c r="A12" s="34">
        <v>89</v>
      </c>
      <c r="B12" s="17">
        <v>45200</v>
      </c>
      <c r="C12" s="26">
        <f t="shared" si="4"/>
        <v>220681940.91896608</v>
      </c>
      <c r="D12" s="26"/>
      <c r="E12" s="23">
        <v>0</v>
      </c>
      <c r="F12" s="23">
        <f t="shared" si="5"/>
        <v>1379262.130743538</v>
      </c>
      <c r="G12" s="23">
        <f t="shared" si="6"/>
        <v>2221764.2990271896</v>
      </c>
      <c r="H12" s="35">
        <f t="shared" si="0"/>
        <v>-842502.16828365158</v>
      </c>
      <c r="I12" s="35"/>
      <c r="J12" s="20">
        <f t="shared" si="1"/>
        <v>176925.45533956683</v>
      </c>
      <c r="K12" s="37">
        <f t="shared" si="2"/>
        <v>801591.38</v>
      </c>
      <c r="L12" s="26">
        <f t="shared" si="3"/>
        <v>220817955.58602199</v>
      </c>
    </row>
    <row r="13" spans="1:21">
      <c r="A13" s="34">
        <v>90</v>
      </c>
      <c r="B13" s="17">
        <v>45231</v>
      </c>
      <c r="C13" s="26">
        <f t="shared" si="4"/>
        <v>220817955.58602199</v>
      </c>
      <c r="D13" s="26"/>
      <c r="E13" s="23">
        <v>0</v>
      </c>
      <c r="F13" s="23">
        <f t="shared" si="5"/>
        <v>1380112.2224126374</v>
      </c>
      <c r="G13" s="23">
        <f t="shared" si="6"/>
        <v>2221764.2990271896</v>
      </c>
      <c r="H13" s="35">
        <f t="shared" si="0"/>
        <v>-841652.07661455218</v>
      </c>
      <c r="I13" s="35"/>
      <c r="J13" s="20">
        <f t="shared" si="1"/>
        <v>176746.93608905596</v>
      </c>
      <c r="K13" s="37">
        <f t="shared" si="2"/>
        <v>801591.38</v>
      </c>
      <c r="L13" s="26">
        <f t="shared" si="3"/>
        <v>220954641.82549652</v>
      </c>
    </row>
    <row r="14" spans="1:21">
      <c r="A14" s="34">
        <v>91</v>
      </c>
      <c r="B14" s="17">
        <v>45261</v>
      </c>
      <c r="C14" s="26">
        <f t="shared" si="4"/>
        <v>220954641.82549652</v>
      </c>
      <c r="D14" s="26"/>
      <c r="E14" s="23">
        <v>0</v>
      </c>
      <c r="F14" s="23">
        <f t="shared" si="5"/>
        <v>1380966.5114093532</v>
      </c>
      <c r="G14" s="23">
        <f t="shared" si="6"/>
        <v>2221764.2990271896</v>
      </c>
      <c r="H14" s="35">
        <f t="shared" si="0"/>
        <v>-840797.78761783638</v>
      </c>
      <c r="I14" s="35"/>
      <c r="J14" s="20">
        <f t="shared" si="1"/>
        <v>176567.53539974563</v>
      </c>
      <c r="K14" s="37">
        <f t="shared" si="2"/>
        <v>801591.38</v>
      </c>
      <c r="L14" s="26">
        <f t="shared" si="3"/>
        <v>221092002.95327842</v>
      </c>
    </row>
    <row r="15" spans="1:21">
      <c r="A15" s="34">
        <v>92</v>
      </c>
      <c r="B15" s="17">
        <v>45292</v>
      </c>
      <c r="C15" s="26">
        <f t="shared" si="4"/>
        <v>221092002.95327842</v>
      </c>
      <c r="D15" s="26"/>
      <c r="E15" s="23">
        <v>0</v>
      </c>
      <c r="F15" s="23">
        <f t="shared" si="5"/>
        <v>1381825.0184579901</v>
      </c>
      <c r="G15" s="23">
        <f t="shared" si="6"/>
        <v>2221764.2990271896</v>
      </c>
      <c r="H15" s="35">
        <f t="shared" si="0"/>
        <v>-839939.28056919947</v>
      </c>
      <c r="I15" s="35"/>
      <c r="J15" s="20">
        <f t="shared" si="1"/>
        <v>176387.24891953188</v>
      </c>
      <c r="K15" s="37">
        <v>336151.21</v>
      </c>
      <c r="L15" s="26">
        <f t="shared" si="3"/>
        <v>220764602.13162878</v>
      </c>
    </row>
    <row r="16" spans="1:21">
      <c r="A16" s="34">
        <v>93</v>
      </c>
      <c r="B16" s="17">
        <v>45323</v>
      </c>
      <c r="C16" s="26">
        <f t="shared" si="4"/>
        <v>220764602.13162878</v>
      </c>
      <c r="D16" s="26"/>
      <c r="E16" s="23">
        <v>0</v>
      </c>
      <c r="F16" s="23">
        <f t="shared" si="5"/>
        <v>1379778.7633226798</v>
      </c>
      <c r="G16" s="23">
        <f t="shared" si="6"/>
        <v>2221764.2990271896</v>
      </c>
      <c r="H16" s="35">
        <f t="shared" si="0"/>
        <v>-841985.53570450982</v>
      </c>
      <c r="I16" s="35"/>
      <c r="J16" s="20">
        <f t="shared" si="1"/>
        <v>176816.96249794707</v>
      </c>
      <c r="K16" s="37"/>
      <c r="L16" s="26">
        <f t="shared" si="3"/>
        <v>220099433.55842221</v>
      </c>
    </row>
    <row r="17" spans="1:12">
      <c r="A17" s="34">
        <v>94</v>
      </c>
      <c r="B17" s="17">
        <v>45352</v>
      </c>
      <c r="C17" s="26">
        <f t="shared" si="4"/>
        <v>220099433.55842221</v>
      </c>
      <c r="D17" s="26"/>
      <c r="E17" s="23">
        <v>0</v>
      </c>
      <c r="F17" s="23">
        <f t="shared" si="5"/>
        <v>1375621.4597401386</v>
      </c>
      <c r="G17" s="23">
        <f t="shared" si="6"/>
        <v>2221764.2990271896</v>
      </c>
      <c r="H17" s="35">
        <f t="shared" si="0"/>
        <v>-846142.839287051</v>
      </c>
      <c r="I17" s="35"/>
      <c r="J17" s="20">
        <f t="shared" si="1"/>
        <v>177689.9962502807</v>
      </c>
      <c r="K17" s="37"/>
      <c r="L17" s="26">
        <f t="shared" si="3"/>
        <v>219430980.71538544</v>
      </c>
    </row>
    <row r="18" spans="1:12">
      <c r="A18" s="34">
        <v>95</v>
      </c>
      <c r="B18" s="17">
        <v>45383</v>
      </c>
      <c r="C18" s="26">
        <f t="shared" si="4"/>
        <v>219430980.71538544</v>
      </c>
      <c r="D18" s="26"/>
      <c r="E18" s="23">
        <v>0</v>
      </c>
      <c r="F18" s="23">
        <f t="shared" si="5"/>
        <v>1371443.6294711588</v>
      </c>
      <c r="G18" s="23">
        <f t="shared" si="6"/>
        <v>2221764.2990271896</v>
      </c>
      <c r="H18" s="35">
        <f t="shared" si="0"/>
        <v>-850320.66955603077</v>
      </c>
      <c r="I18" s="35"/>
      <c r="J18" s="20">
        <f t="shared" si="1"/>
        <v>178567.34060676646</v>
      </c>
      <c r="K18" s="37"/>
      <c r="L18" s="26">
        <f t="shared" si="3"/>
        <v>218759227.38643619</v>
      </c>
    </row>
    <row r="19" spans="1:12">
      <c r="A19" s="34">
        <v>96</v>
      </c>
      <c r="B19" s="17">
        <v>45413</v>
      </c>
      <c r="C19" s="26">
        <f t="shared" si="4"/>
        <v>218759227.38643619</v>
      </c>
      <c r="D19" s="26"/>
      <c r="E19" s="23">
        <v>0</v>
      </c>
      <c r="F19" s="23">
        <f t="shared" si="5"/>
        <v>1367245.171165226</v>
      </c>
      <c r="G19" s="23">
        <f t="shared" si="6"/>
        <v>2221764.2990271896</v>
      </c>
      <c r="H19" s="35">
        <f t="shared" si="0"/>
        <v>-854519.12786196359</v>
      </c>
      <c r="I19" s="35"/>
      <c r="J19" s="20">
        <f t="shared" si="1"/>
        <v>179449.01685101233</v>
      </c>
      <c r="K19" s="37"/>
      <c r="L19" s="26">
        <f t="shared" si="3"/>
        <v>218084157.27542526</v>
      </c>
    </row>
    <row r="20" spans="1:12">
      <c r="A20" s="34">
        <v>97</v>
      </c>
      <c r="B20" s="17">
        <v>45444</v>
      </c>
      <c r="C20" s="26">
        <f t="shared" si="4"/>
        <v>218084157.27542526</v>
      </c>
      <c r="D20" s="26"/>
      <c r="E20" s="23">
        <v>0</v>
      </c>
      <c r="F20" s="23">
        <f t="shared" si="5"/>
        <v>1363025.9829714077</v>
      </c>
      <c r="G20" s="23">
        <f t="shared" si="6"/>
        <v>2221764.2990271896</v>
      </c>
      <c r="H20" s="35">
        <f t="shared" si="0"/>
        <v>-858738.31605578191</v>
      </c>
      <c r="I20" s="35"/>
      <c r="J20" s="20">
        <f t="shared" si="1"/>
        <v>180335.04637171418</v>
      </c>
      <c r="K20" s="37"/>
      <c r="L20" s="26">
        <f t="shared" si="3"/>
        <v>217405754.00574121</v>
      </c>
    </row>
    <row r="21" spans="1:12">
      <c r="A21" s="34">
        <v>98</v>
      </c>
      <c r="B21" s="17">
        <v>45474</v>
      </c>
      <c r="C21" s="26">
        <f t="shared" si="4"/>
        <v>217405754.00574121</v>
      </c>
      <c r="D21" s="26"/>
      <c r="E21" s="23">
        <f>Additions!J105*$C$5</f>
        <v>0</v>
      </c>
      <c r="F21" s="23">
        <f t="shared" si="5"/>
        <v>1358785.9625358824</v>
      </c>
      <c r="G21" s="23">
        <f t="shared" si="6"/>
        <v>2221764.2990271896</v>
      </c>
      <c r="H21" s="35">
        <f t="shared" si="0"/>
        <v>-862978.33649130724</v>
      </c>
      <c r="I21" s="35"/>
      <c r="J21" s="20">
        <f t="shared" si="1"/>
        <v>181225.4506631745</v>
      </c>
      <c r="K21" s="37"/>
      <c r="L21" s="26">
        <f t="shared" si="3"/>
        <v>216724001.11991307</v>
      </c>
    </row>
    <row r="22" spans="1:12">
      <c r="A22" s="34">
        <v>99</v>
      </c>
      <c r="B22" s="17">
        <v>45505</v>
      </c>
      <c r="C22" s="26">
        <f t="shared" si="4"/>
        <v>216724001.11991307</v>
      </c>
      <c r="D22" s="26"/>
      <c r="E22" s="23">
        <f>Additions!J106*$C$5</f>
        <v>0</v>
      </c>
      <c r="F22" s="23">
        <f t="shared" si="5"/>
        <v>1354525.0069994566</v>
      </c>
      <c r="G22" s="23">
        <f t="shared" si="6"/>
        <v>2221764.2990271896</v>
      </c>
      <c r="H22" s="35">
        <f t="shared" si="0"/>
        <v>-867239.29202773306</v>
      </c>
      <c r="I22" s="35"/>
      <c r="J22" s="20">
        <f t="shared" si="1"/>
        <v>182120.25132582395</v>
      </c>
      <c r="K22" s="37"/>
      <c r="L22" s="26">
        <f t="shared" si="3"/>
        <v>216038882.07921115</v>
      </c>
    </row>
    <row r="23" spans="1:12">
      <c r="A23" s="34">
        <v>100</v>
      </c>
      <c r="B23" s="17">
        <v>45536</v>
      </c>
      <c r="C23" s="26">
        <f t="shared" si="4"/>
        <v>216038882.07921115</v>
      </c>
      <c r="D23" s="26"/>
      <c r="E23" s="23">
        <f>Additions!J107*$C$5</f>
        <v>0</v>
      </c>
      <c r="F23" s="23">
        <f t="shared" si="5"/>
        <v>1350243.0129950696</v>
      </c>
      <c r="G23" s="23">
        <f t="shared" si="6"/>
        <v>2221764.2990271896</v>
      </c>
      <c r="H23" s="35">
        <f t="shared" si="0"/>
        <v>-871521.28603212</v>
      </c>
      <c r="I23" s="35"/>
      <c r="J23" s="20">
        <f t="shared" si="1"/>
        <v>183019.47006674518</v>
      </c>
      <c r="K23" s="37"/>
      <c r="L23" s="26">
        <f t="shared" si="3"/>
        <v>215350380.26324579</v>
      </c>
    </row>
    <row r="24" spans="1:12">
      <c r="A24" s="34">
        <v>101</v>
      </c>
      <c r="B24" s="17">
        <v>45566</v>
      </c>
      <c r="C24" s="26">
        <f t="shared" si="4"/>
        <v>215350380.26324579</v>
      </c>
      <c r="D24" s="26"/>
      <c r="E24" s="23">
        <f>Additions!J108*$C$5</f>
        <v>0</v>
      </c>
      <c r="F24" s="23">
        <f t="shared" si="5"/>
        <v>1345939.8766452861</v>
      </c>
      <c r="G24" s="23">
        <f t="shared" si="6"/>
        <v>2221764.2990271896</v>
      </c>
      <c r="H24" s="35">
        <f t="shared" si="0"/>
        <v>-875824.42238190351</v>
      </c>
      <c r="I24" s="35"/>
      <c r="J24" s="20">
        <f t="shared" si="1"/>
        <v>183923.12870019974</v>
      </c>
      <c r="K24" s="37"/>
      <c r="L24" s="26">
        <f t="shared" si="3"/>
        <v>214658478.96956408</v>
      </c>
    </row>
    <row r="25" spans="1:12">
      <c r="A25" s="34">
        <v>102</v>
      </c>
      <c r="B25" s="17">
        <v>45597</v>
      </c>
      <c r="C25" s="26">
        <f t="shared" si="4"/>
        <v>214658478.96956408</v>
      </c>
      <c r="D25" s="26"/>
      <c r="E25" s="23">
        <f>Additions!J109*$C$5</f>
        <v>0</v>
      </c>
      <c r="F25" s="23">
        <f t="shared" si="5"/>
        <v>1341615.4935597754</v>
      </c>
      <c r="G25" s="23">
        <f t="shared" si="6"/>
        <v>2221764.2990271896</v>
      </c>
      <c r="H25" s="35">
        <f t="shared" si="0"/>
        <v>-880148.8054674142</v>
      </c>
      <c r="I25" s="35"/>
      <c r="J25" s="20">
        <f t="shared" si="1"/>
        <v>184831.24914815699</v>
      </c>
      <c r="K25" s="37"/>
      <c r="L25" s="26">
        <f t="shared" si="3"/>
        <v>213963161.41324481</v>
      </c>
    </row>
    <row r="26" spans="1:12">
      <c r="A26" s="34">
        <v>103</v>
      </c>
      <c r="B26" s="17">
        <v>45627</v>
      </c>
      <c r="C26" s="26">
        <f t="shared" si="4"/>
        <v>213963161.41324481</v>
      </c>
      <c r="D26" s="26"/>
      <c r="E26" s="23">
        <f>Additions!J110*$C$5</f>
        <v>0</v>
      </c>
      <c r="F26" s="23">
        <f t="shared" si="5"/>
        <v>1337269.7588327799</v>
      </c>
      <c r="G26" s="23">
        <f t="shared" si="6"/>
        <v>2221764.2990271896</v>
      </c>
      <c r="H26" s="35">
        <f t="shared" si="0"/>
        <v>-884494.54019440967</v>
      </c>
      <c r="I26" s="35"/>
      <c r="J26" s="20">
        <f t="shared" si="1"/>
        <v>185743.85344082603</v>
      </c>
      <c r="K26" s="37"/>
      <c r="L26" s="26">
        <f t="shared" si="3"/>
        <v>213264410.72649121</v>
      </c>
    </row>
    <row r="27" spans="1:12">
      <c r="A27" s="34">
        <v>104</v>
      </c>
      <c r="B27" s="17">
        <v>45658</v>
      </c>
      <c r="C27" s="26">
        <f t="shared" ref="C27:C90" si="7">L26</f>
        <v>213264410.72649121</v>
      </c>
      <c r="D27" s="26"/>
      <c r="E27" s="23">
        <f>Additions!J111*$C$5</f>
        <v>0</v>
      </c>
      <c r="F27" s="23">
        <f t="shared" ref="F27:F90" si="8">L26*$C$3</f>
        <v>1332902.5670405701</v>
      </c>
      <c r="G27" s="23">
        <f t="shared" ref="G27:G90" si="9">G26</f>
        <v>2221764.2990271896</v>
      </c>
      <c r="H27" s="35">
        <f t="shared" ref="H27:H90" si="10">E27+F27-G27</f>
        <v>-888861.73198661953</v>
      </c>
      <c r="I27" s="35"/>
      <c r="J27" s="20">
        <f t="shared" ref="J27:J90" si="11">-H27*0.21</f>
        <v>186660.96371719008</v>
      </c>
      <c r="K27" s="37"/>
      <c r="L27" s="26">
        <f t="shared" ref="L27:L90" si="12">C27+E27+F27-G27+J27+K27</f>
        <v>212562209.95822176</v>
      </c>
    </row>
    <row r="28" spans="1:12">
      <c r="A28" s="34">
        <v>105</v>
      </c>
      <c r="B28" s="17">
        <v>45689</v>
      </c>
      <c r="C28" s="26">
        <f t="shared" si="7"/>
        <v>212562209.95822176</v>
      </c>
      <c r="D28" s="26"/>
      <c r="E28" s="23">
        <f>Additions!J112*$C$5</f>
        <v>0</v>
      </c>
      <c r="F28" s="23">
        <f t="shared" si="8"/>
        <v>1328513.812238886</v>
      </c>
      <c r="G28" s="23">
        <f t="shared" si="9"/>
        <v>2221764.2990271896</v>
      </c>
      <c r="H28" s="35">
        <f t="shared" si="10"/>
        <v>-893250.48678830359</v>
      </c>
      <c r="I28" s="35"/>
      <c r="J28" s="20">
        <f t="shared" si="11"/>
        <v>187582.60222554376</v>
      </c>
      <c r="K28" s="37"/>
      <c r="L28" s="26">
        <f t="shared" si="12"/>
        <v>211856542.073659</v>
      </c>
    </row>
    <row r="29" spans="1:12">
      <c r="A29" s="34">
        <v>106</v>
      </c>
      <c r="B29" s="17">
        <v>45717</v>
      </c>
      <c r="C29" s="26">
        <f t="shared" si="7"/>
        <v>211856542.073659</v>
      </c>
      <c r="D29" s="26"/>
      <c r="E29" s="23">
        <f>Additions!J113*$C$5</f>
        <v>0</v>
      </c>
      <c r="F29" s="23">
        <f t="shared" si="8"/>
        <v>1324103.3879603688</v>
      </c>
      <c r="G29" s="23">
        <f t="shared" si="9"/>
        <v>2221764.2990271896</v>
      </c>
      <c r="H29" s="35">
        <f t="shared" si="10"/>
        <v>-897660.91106682085</v>
      </c>
      <c r="I29" s="35"/>
      <c r="J29" s="20">
        <f t="shared" si="11"/>
        <v>188508.79132403238</v>
      </c>
      <c r="K29" s="37"/>
      <c r="L29" s="26">
        <f t="shared" si="12"/>
        <v>211147389.95391619</v>
      </c>
    </row>
    <row r="30" spans="1:12">
      <c r="A30" s="34">
        <v>107</v>
      </c>
      <c r="B30" s="17">
        <v>45748</v>
      </c>
      <c r="C30" s="26">
        <f t="shared" si="7"/>
        <v>211147389.95391619</v>
      </c>
      <c r="D30" s="26"/>
      <c r="E30" s="23">
        <f>Additions!J114*$C$5</f>
        <v>0</v>
      </c>
      <c r="F30" s="23">
        <f t="shared" si="8"/>
        <v>1319671.1872119762</v>
      </c>
      <c r="G30" s="23">
        <f t="shared" si="9"/>
        <v>2221764.2990271896</v>
      </c>
      <c r="H30" s="35">
        <f t="shared" si="10"/>
        <v>-902093.11181521346</v>
      </c>
      <c r="I30" s="35"/>
      <c r="J30" s="20">
        <f t="shared" si="11"/>
        <v>189439.55348119483</v>
      </c>
      <c r="K30" s="37"/>
      <c r="L30" s="26">
        <f t="shared" si="12"/>
        <v>210434736.39558217</v>
      </c>
    </row>
    <row r="31" spans="1:12">
      <c r="A31" s="34">
        <v>108</v>
      </c>
      <c r="B31" s="17">
        <v>45778</v>
      </c>
      <c r="C31" s="26">
        <f t="shared" si="7"/>
        <v>210434736.39558217</v>
      </c>
      <c r="D31" s="26"/>
      <c r="E31" s="23">
        <f>Additions!J115*$C$5</f>
        <v>0</v>
      </c>
      <c r="F31" s="23">
        <f t="shared" si="8"/>
        <v>1315217.1024723884</v>
      </c>
      <c r="G31" s="23">
        <f t="shared" si="9"/>
        <v>2221764.2990271896</v>
      </c>
      <c r="H31" s="35">
        <f t="shared" si="10"/>
        <v>-906547.19655480119</v>
      </c>
      <c r="I31" s="35"/>
      <c r="J31" s="20">
        <f t="shared" si="11"/>
        <v>190374.91127650824</v>
      </c>
      <c r="K31" s="37"/>
      <c r="L31" s="26">
        <f t="shared" si="12"/>
        <v>209718564.11030388</v>
      </c>
    </row>
    <row r="32" spans="1:12">
      <c r="A32" s="34">
        <v>109</v>
      </c>
      <c r="B32" s="17">
        <v>45809</v>
      </c>
      <c r="C32" s="26">
        <f t="shared" si="7"/>
        <v>209718564.11030388</v>
      </c>
      <c r="D32" s="26"/>
      <c r="E32" s="23">
        <f>Additions!J116*$C$5</f>
        <v>0</v>
      </c>
      <c r="F32" s="23">
        <f t="shared" si="8"/>
        <v>1310741.0256893991</v>
      </c>
      <c r="G32" s="23">
        <f t="shared" si="9"/>
        <v>2221764.2990271896</v>
      </c>
      <c r="H32" s="35">
        <f t="shared" si="10"/>
        <v>-911023.27333779051</v>
      </c>
      <c r="I32" s="35"/>
      <c r="J32" s="20">
        <f t="shared" si="11"/>
        <v>191314.88740093599</v>
      </c>
      <c r="K32" s="37"/>
      <c r="L32" s="26">
        <f t="shared" si="12"/>
        <v>208998855.72436702</v>
      </c>
    </row>
    <row r="33" spans="1:12">
      <c r="A33" s="34">
        <v>110</v>
      </c>
      <c r="B33" s="17">
        <v>45839</v>
      </c>
      <c r="C33" s="26">
        <f t="shared" si="7"/>
        <v>208998855.72436702</v>
      </c>
      <c r="D33" s="26"/>
      <c r="E33" s="23">
        <f>Additions!J117*$C$5</f>
        <v>0</v>
      </c>
      <c r="F33" s="23">
        <f t="shared" si="8"/>
        <v>1306242.8482772938</v>
      </c>
      <c r="G33" s="23">
        <f t="shared" si="9"/>
        <v>2221764.2990271896</v>
      </c>
      <c r="H33" s="35">
        <f t="shared" si="10"/>
        <v>-915521.45074989577</v>
      </c>
      <c r="I33" s="35"/>
      <c r="J33" s="20">
        <f t="shared" si="11"/>
        <v>192259.5046574781</v>
      </c>
      <c r="K33" s="37"/>
      <c r="L33" s="26">
        <f t="shared" si="12"/>
        <v>208275593.77827463</v>
      </c>
    </row>
    <row r="34" spans="1:12">
      <c r="A34" s="34">
        <v>111</v>
      </c>
      <c r="B34" s="17">
        <v>45870</v>
      </c>
      <c r="C34" s="26">
        <f t="shared" si="7"/>
        <v>208275593.77827463</v>
      </c>
      <c r="D34" s="26"/>
      <c r="E34" s="23">
        <f>Additions!J118*$C$5</f>
        <v>0</v>
      </c>
      <c r="F34" s="23">
        <f t="shared" si="8"/>
        <v>1301722.4611142164</v>
      </c>
      <c r="G34" s="23">
        <f t="shared" si="9"/>
        <v>2221764.2990271896</v>
      </c>
      <c r="H34" s="35">
        <f t="shared" si="10"/>
        <v>-920041.83791297325</v>
      </c>
      <c r="I34" s="35"/>
      <c r="J34" s="20">
        <f t="shared" si="11"/>
        <v>193208.78596172438</v>
      </c>
      <c r="K34" s="37"/>
      <c r="L34" s="26">
        <f t="shared" si="12"/>
        <v>207548760.7263234</v>
      </c>
    </row>
    <row r="35" spans="1:12">
      <c r="A35" s="34">
        <v>112</v>
      </c>
      <c r="B35" s="17">
        <v>45901</v>
      </c>
      <c r="C35" s="26">
        <f t="shared" si="7"/>
        <v>207548760.7263234</v>
      </c>
      <c r="D35" s="26"/>
      <c r="E35" s="23">
        <f>Additions!J119*$C$5</f>
        <v>0</v>
      </c>
      <c r="F35" s="23">
        <f t="shared" si="8"/>
        <v>1297179.7545395212</v>
      </c>
      <c r="G35" s="23">
        <f t="shared" si="9"/>
        <v>2221764.2990271896</v>
      </c>
      <c r="H35" s="35">
        <f t="shared" si="10"/>
        <v>-924584.54448766843</v>
      </c>
      <c r="I35" s="35"/>
      <c r="J35" s="20">
        <f t="shared" si="11"/>
        <v>194162.75434241036</v>
      </c>
      <c r="K35" s="37"/>
      <c r="L35" s="26">
        <f t="shared" si="12"/>
        <v>206818338.93617812</v>
      </c>
    </row>
    <row r="36" spans="1:12">
      <c r="A36" s="34">
        <v>113</v>
      </c>
      <c r="B36" s="17">
        <v>45931</v>
      </c>
      <c r="C36" s="26">
        <f t="shared" si="7"/>
        <v>206818338.93617812</v>
      </c>
      <c r="D36" s="26"/>
      <c r="E36" s="23">
        <f>Additions!J120*$C$5</f>
        <v>0</v>
      </c>
      <c r="F36" s="23">
        <f t="shared" si="8"/>
        <v>1292614.6183511131</v>
      </c>
      <c r="G36" s="23">
        <f t="shared" si="9"/>
        <v>2221764.2990271896</v>
      </c>
      <c r="H36" s="35">
        <f t="shared" si="10"/>
        <v>-929149.68067607656</v>
      </c>
      <c r="I36" s="35"/>
      <c r="J36" s="20">
        <f t="shared" si="11"/>
        <v>195121.43294197606</v>
      </c>
      <c r="K36" s="37"/>
      <c r="L36" s="26">
        <f t="shared" si="12"/>
        <v>206084310.68844402</v>
      </c>
    </row>
    <row r="37" spans="1:12">
      <c r="A37" s="34">
        <v>114</v>
      </c>
      <c r="B37" s="17">
        <v>45962</v>
      </c>
      <c r="C37" s="26">
        <f t="shared" si="7"/>
        <v>206084310.68844402</v>
      </c>
      <c r="D37" s="26"/>
      <c r="E37" s="23">
        <f>Additions!J121*$C$5</f>
        <v>0</v>
      </c>
      <c r="F37" s="23">
        <f t="shared" si="8"/>
        <v>1288026.941802775</v>
      </c>
      <c r="G37" s="23">
        <f t="shared" si="9"/>
        <v>2221764.2990271896</v>
      </c>
      <c r="H37" s="35">
        <f t="shared" si="10"/>
        <v>-933737.35722441459</v>
      </c>
      <c r="I37" s="35"/>
      <c r="J37" s="20">
        <f t="shared" si="11"/>
        <v>196084.84501712705</v>
      </c>
      <c r="K37" s="37"/>
      <c r="L37" s="26">
        <f t="shared" si="12"/>
        <v>205346658.17623675</v>
      </c>
    </row>
    <row r="38" spans="1:12">
      <c r="A38" s="34">
        <v>115</v>
      </c>
      <c r="B38" s="17">
        <v>45992</v>
      </c>
      <c r="C38" s="26">
        <f t="shared" si="7"/>
        <v>205346658.17623675</v>
      </c>
      <c r="D38" s="26"/>
      <c r="E38" s="23">
        <f>Additions!J122*$C$5</f>
        <v>0</v>
      </c>
      <c r="F38" s="23">
        <f t="shared" si="8"/>
        <v>1283416.6136014797</v>
      </c>
      <c r="G38" s="23">
        <f t="shared" si="9"/>
        <v>2221764.2990271896</v>
      </c>
      <c r="H38" s="35">
        <f t="shared" si="10"/>
        <v>-938347.68542570993</v>
      </c>
      <c r="I38" s="35"/>
      <c r="J38" s="20">
        <f t="shared" si="11"/>
        <v>197053.01393939907</v>
      </c>
      <c r="K38" s="37"/>
      <c r="L38" s="26">
        <f t="shared" si="12"/>
        <v>204605363.50475046</v>
      </c>
    </row>
    <row r="39" spans="1:12">
      <c r="A39" s="34">
        <v>116</v>
      </c>
      <c r="B39" s="17">
        <v>46023</v>
      </c>
      <c r="C39" s="26">
        <f t="shared" si="7"/>
        <v>204605363.50475046</v>
      </c>
      <c r="D39" s="26"/>
      <c r="E39" s="23">
        <f>Additions!J123*$C$5</f>
        <v>0</v>
      </c>
      <c r="F39" s="23">
        <f t="shared" si="8"/>
        <v>1278783.5219046902</v>
      </c>
      <c r="G39" s="23">
        <f t="shared" si="9"/>
        <v>2221764.2990271896</v>
      </c>
      <c r="H39" s="35">
        <f t="shared" si="10"/>
        <v>-942980.77712249942</v>
      </c>
      <c r="I39" s="35"/>
      <c r="J39" s="20">
        <f t="shared" si="11"/>
        <v>198025.96319572488</v>
      </c>
      <c r="K39" s="37"/>
      <c r="L39" s="26">
        <f t="shared" si="12"/>
        <v>203860408.69082364</v>
      </c>
    </row>
    <row r="40" spans="1:12">
      <c r="A40" s="34">
        <v>117</v>
      </c>
      <c r="B40" s="17">
        <v>46054</v>
      </c>
      <c r="C40" s="26">
        <f t="shared" si="7"/>
        <v>203860408.69082364</v>
      </c>
      <c r="D40" s="26"/>
      <c r="E40" s="23">
        <f>Additions!J124*$C$5</f>
        <v>0</v>
      </c>
      <c r="F40" s="23">
        <f t="shared" si="8"/>
        <v>1274127.5543176476</v>
      </c>
      <c r="G40" s="23">
        <f t="shared" si="9"/>
        <v>2221764.2990271896</v>
      </c>
      <c r="H40" s="35">
        <f t="shared" si="10"/>
        <v>-947636.74470954202</v>
      </c>
      <c r="I40" s="35"/>
      <c r="J40" s="20">
        <f t="shared" si="11"/>
        <v>199003.71638900382</v>
      </c>
      <c r="K40" s="37"/>
      <c r="L40" s="26">
        <f t="shared" si="12"/>
        <v>203111775.66250312</v>
      </c>
    </row>
    <row r="41" spans="1:12">
      <c r="A41" s="34">
        <v>118</v>
      </c>
      <c r="B41" s="17">
        <v>46082</v>
      </c>
      <c r="C41" s="26">
        <f t="shared" si="7"/>
        <v>203111775.66250312</v>
      </c>
      <c r="D41" s="26"/>
      <c r="E41" s="23">
        <f>Additions!J125*$C$5</f>
        <v>0</v>
      </c>
      <c r="F41" s="23">
        <f t="shared" si="8"/>
        <v>1269448.5978906443</v>
      </c>
      <c r="G41" s="23">
        <f t="shared" si="9"/>
        <v>2221764.2990271896</v>
      </c>
      <c r="H41" s="35">
        <f t="shared" si="10"/>
        <v>-952315.70113654528</v>
      </c>
      <c r="I41" s="35"/>
      <c r="J41" s="20">
        <f t="shared" si="11"/>
        <v>199986.29723867451</v>
      </c>
      <c r="K41" s="37"/>
      <c r="L41" s="26">
        <f t="shared" si="12"/>
        <v>202359446.25860527</v>
      </c>
    </row>
    <row r="42" spans="1:12">
      <c r="A42" s="34">
        <v>119</v>
      </c>
      <c r="B42" s="17">
        <v>46113</v>
      </c>
      <c r="C42" s="26">
        <f t="shared" si="7"/>
        <v>202359446.25860527</v>
      </c>
      <c r="D42" s="26"/>
      <c r="E42" s="23">
        <f>Additions!J126*$C$5</f>
        <v>0</v>
      </c>
      <c r="F42" s="23">
        <f t="shared" si="8"/>
        <v>1264746.5391162829</v>
      </c>
      <c r="G42" s="23">
        <f t="shared" si="9"/>
        <v>2221764.2990271896</v>
      </c>
      <c r="H42" s="35">
        <f t="shared" si="10"/>
        <v>-957017.75991090667</v>
      </c>
      <c r="I42" s="35"/>
      <c r="J42" s="20">
        <f t="shared" si="11"/>
        <v>200973.72958129039</v>
      </c>
      <c r="K42" s="37"/>
      <c r="L42" s="26">
        <f t="shared" si="12"/>
        <v>201603402.22827566</v>
      </c>
    </row>
    <row r="43" spans="1:12">
      <c r="A43" s="34">
        <v>120</v>
      </c>
      <c r="B43" s="17">
        <v>46143</v>
      </c>
      <c r="C43" s="26">
        <f t="shared" si="7"/>
        <v>201603402.22827566</v>
      </c>
      <c r="D43" s="26"/>
      <c r="E43" s="23">
        <f>Additions!J127*$C$5</f>
        <v>0</v>
      </c>
      <c r="F43" s="23">
        <f t="shared" si="8"/>
        <v>1260021.2639267228</v>
      </c>
      <c r="G43" s="23">
        <f t="shared" si="9"/>
        <v>2221764.2990271896</v>
      </c>
      <c r="H43" s="35">
        <f t="shared" si="10"/>
        <v>-961743.0351004668</v>
      </c>
      <c r="I43" s="35"/>
      <c r="J43" s="20">
        <f t="shared" si="11"/>
        <v>201966.03737109803</v>
      </c>
      <c r="K43" s="37"/>
      <c r="L43" s="26">
        <f t="shared" si="12"/>
        <v>200843625.2305463</v>
      </c>
    </row>
    <row r="44" spans="1:12">
      <c r="A44" s="34">
        <v>121</v>
      </c>
      <c r="B44" s="17">
        <v>46174</v>
      </c>
      <c r="C44" s="26">
        <f t="shared" si="7"/>
        <v>200843625.2305463</v>
      </c>
      <c r="D44" s="26"/>
      <c r="E44" s="23">
        <f>Additions!J128*$C$5</f>
        <v>0</v>
      </c>
      <c r="F44" s="23">
        <f t="shared" si="8"/>
        <v>1255272.6576909143</v>
      </c>
      <c r="G44" s="23">
        <f t="shared" si="9"/>
        <v>2221764.2990271896</v>
      </c>
      <c r="H44" s="35">
        <f t="shared" si="10"/>
        <v>-966491.64133627526</v>
      </c>
      <c r="I44" s="35"/>
      <c r="J44" s="20">
        <f t="shared" si="11"/>
        <v>202963.24468061779</v>
      </c>
      <c r="K44" s="37"/>
      <c r="L44" s="26">
        <f t="shared" si="12"/>
        <v>200080096.83389065</v>
      </c>
    </row>
    <row r="45" spans="1:12">
      <c r="A45" s="34">
        <v>122</v>
      </c>
      <c r="B45" s="17">
        <v>46204</v>
      </c>
      <c r="C45" s="26">
        <f t="shared" si="7"/>
        <v>200080096.83389065</v>
      </c>
      <c r="D45" s="26"/>
      <c r="E45" s="23">
        <f>Additions!J129*$C$5</f>
        <v>0</v>
      </c>
      <c r="F45" s="23">
        <f t="shared" si="8"/>
        <v>1250500.6052118165</v>
      </c>
      <c r="G45" s="23">
        <f t="shared" si="9"/>
        <v>2221764.2990271896</v>
      </c>
      <c r="H45" s="35">
        <f t="shared" si="10"/>
        <v>-971263.69381537312</v>
      </c>
      <c r="I45" s="35"/>
      <c r="J45" s="20">
        <f t="shared" si="11"/>
        <v>203965.37570122836</v>
      </c>
      <c r="K45" s="37"/>
      <c r="L45" s="26">
        <f t="shared" si="12"/>
        <v>199312798.51577649</v>
      </c>
    </row>
    <row r="46" spans="1:12">
      <c r="A46" s="34">
        <v>123</v>
      </c>
      <c r="B46" s="17">
        <v>46235</v>
      </c>
      <c r="C46" s="26">
        <f t="shared" si="7"/>
        <v>199312798.51577649</v>
      </c>
      <c r="D46" s="26"/>
      <c r="E46" s="23">
        <f>Additions!J130*$C$5</f>
        <v>0</v>
      </c>
      <c r="F46" s="23">
        <f t="shared" si="8"/>
        <v>1245704.9907236029</v>
      </c>
      <c r="G46" s="23">
        <f t="shared" si="9"/>
        <v>2221764.2990271896</v>
      </c>
      <c r="H46" s="35">
        <f t="shared" si="10"/>
        <v>-976059.30830358667</v>
      </c>
      <c r="I46" s="35"/>
      <c r="J46" s="20">
        <f t="shared" si="11"/>
        <v>204972.45474375319</v>
      </c>
      <c r="K46" s="37"/>
      <c r="L46" s="26">
        <f t="shared" si="12"/>
        <v>198541711.66221666</v>
      </c>
    </row>
    <row r="47" spans="1:12">
      <c r="A47" s="34">
        <v>124</v>
      </c>
      <c r="B47" s="17">
        <v>46266</v>
      </c>
      <c r="C47" s="26">
        <f t="shared" si="7"/>
        <v>198541711.66221666</v>
      </c>
      <c r="D47" s="26"/>
      <c r="E47" s="23">
        <f>Additions!J131*$C$5</f>
        <v>0</v>
      </c>
      <c r="F47" s="23">
        <f t="shared" si="8"/>
        <v>1240885.697888854</v>
      </c>
      <c r="G47" s="23">
        <f t="shared" si="9"/>
        <v>2221764.2990271896</v>
      </c>
      <c r="H47" s="35">
        <f t="shared" si="10"/>
        <v>-980878.60113833565</v>
      </c>
      <c r="I47" s="35"/>
      <c r="J47" s="20">
        <f t="shared" si="11"/>
        <v>205984.50623905048</v>
      </c>
      <c r="K47" s="37"/>
      <c r="L47" s="26">
        <f t="shared" si="12"/>
        <v>197766817.56731737</v>
      </c>
    </row>
    <row r="48" spans="1:12">
      <c r="A48" s="34">
        <v>125</v>
      </c>
      <c r="B48" s="17">
        <v>46296</v>
      </c>
      <c r="C48" s="26">
        <f t="shared" si="7"/>
        <v>197766817.56731737</v>
      </c>
      <c r="D48" s="26"/>
      <c r="E48" s="23">
        <f>Additions!J132*$C$5</f>
        <v>0</v>
      </c>
      <c r="F48" s="23">
        <f t="shared" si="8"/>
        <v>1236042.6097957334</v>
      </c>
      <c r="G48" s="23">
        <f t="shared" si="9"/>
        <v>2221764.2990271896</v>
      </c>
      <c r="H48" s="35">
        <f t="shared" si="10"/>
        <v>-985721.68923145626</v>
      </c>
      <c r="I48" s="35"/>
      <c r="J48" s="20">
        <f t="shared" si="11"/>
        <v>207001.5547386058</v>
      </c>
      <c r="K48" s="37"/>
      <c r="L48" s="26">
        <f t="shared" si="12"/>
        <v>196988097.43282452</v>
      </c>
    </row>
    <row r="49" spans="1:12">
      <c r="A49" s="34">
        <v>126</v>
      </c>
      <c r="B49" s="17">
        <v>46327</v>
      </c>
      <c r="C49" s="26">
        <f t="shared" si="7"/>
        <v>196988097.43282452</v>
      </c>
      <c r="D49" s="26"/>
      <c r="E49" s="23">
        <f>Additions!J133*$C$5</f>
        <v>0</v>
      </c>
      <c r="F49" s="23">
        <f t="shared" si="8"/>
        <v>1231175.6089551533</v>
      </c>
      <c r="G49" s="23">
        <f t="shared" si="9"/>
        <v>2221764.2990271896</v>
      </c>
      <c r="H49" s="35">
        <f t="shared" si="10"/>
        <v>-990588.69007203635</v>
      </c>
      <c r="I49" s="35"/>
      <c r="J49" s="20">
        <f t="shared" si="11"/>
        <v>208023.62491512761</v>
      </c>
      <c r="K49" s="37"/>
      <c r="L49" s="26">
        <f t="shared" si="12"/>
        <v>196205532.36766762</v>
      </c>
    </row>
    <row r="50" spans="1:12">
      <c r="A50" s="34">
        <v>127</v>
      </c>
      <c r="B50" s="17">
        <v>46357</v>
      </c>
      <c r="C50" s="26">
        <f t="shared" si="7"/>
        <v>196205532.36766762</v>
      </c>
      <c r="D50" s="26"/>
      <c r="E50" s="23">
        <f>Additions!J134*$C$5</f>
        <v>0</v>
      </c>
      <c r="F50" s="23">
        <f t="shared" si="8"/>
        <v>1226284.5772979225</v>
      </c>
      <c r="G50" s="23">
        <f t="shared" si="9"/>
        <v>2221764.2990271896</v>
      </c>
      <c r="H50" s="35">
        <f t="shared" si="10"/>
        <v>-995479.72172926716</v>
      </c>
      <c r="I50" s="35"/>
      <c r="J50" s="20">
        <f t="shared" si="11"/>
        <v>209050.74156314609</v>
      </c>
      <c r="K50" s="37"/>
      <c r="L50" s="26">
        <f t="shared" si="12"/>
        <v>195419103.38750148</v>
      </c>
    </row>
    <row r="51" spans="1:12">
      <c r="A51" s="34">
        <v>128</v>
      </c>
      <c r="B51" s="17">
        <v>46388</v>
      </c>
      <c r="C51" s="26">
        <f t="shared" si="7"/>
        <v>195419103.38750148</v>
      </c>
      <c r="D51" s="26"/>
      <c r="E51" s="23">
        <f>Additions!J135*$C$5</f>
        <v>0</v>
      </c>
      <c r="F51" s="23">
        <f t="shared" si="8"/>
        <v>1221369.3961718841</v>
      </c>
      <c r="G51" s="23">
        <f t="shared" si="9"/>
        <v>2221764.2990271896</v>
      </c>
      <c r="H51" s="35">
        <f t="shared" si="10"/>
        <v>-1000394.9028553055</v>
      </c>
      <c r="I51" s="35"/>
      <c r="J51" s="20">
        <f t="shared" si="11"/>
        <v>210082.92959961414</v>
      </c>
      <c r="K51" s="37"/>
      <c r="L51" s="26">
        <f t="shared" si="12"/>
        <v>194628791.41424581</v>
      </c>
    </row>
    <row r="52" spans="1:12">
      <c r="A52" s="34">
        <v>129</v>
      </c>
      <c r="B52" s="17">
        <v>46419</v>
      </c>
      <c r="C52" s="26">
        <f t="shared" si="7"/>
        <v>194628791.41424581</v>
      </c>
      <c r="D52" s="26"/>
      <c r="E52" s="23">
        <f>Additions!J136*$C$5</f>
        <v>0</v>
      </c>
      <c r="F52" s="23">
        <f t="shared" si="8"/>
        <v>1216429.9463390363</v>
      </c>
      <c r="G52" s="23">
        <f t="shared" si="9"/>
        <v>2221764.2990271896</v>
      </c>
      <c r="H52" s="35">
        <f t="shared" si="10"/>
        <v>-1005334.3526881533</v>
      </c>
      <c r="I52" s="35"/>
      <c r="J52" s="20">
        <f t="shared" si="11"/>
        <v>211120.21406451217</v>
      </c>
      <c r="K52" s="37"/>
      <c r="L52" s="26">
        <f t="shared" si="12"/>
        <v>193834577.27562216</v>
      </c>
    </row>
    <row r="53" spans="1:12">
      <c r="A53" s="34">
        <v>130</v>
      </c>
      <c r="B53" s="17">
        <v>46447</v>
      </c>
      <c r="C53" s="26">
        <f t="shared" si="7"/>
        <v>193834577.27562216</v>
      </c>
      <c r="D53" s="26"/>
      <c r="E53" s="23">
        <f>Additions!J137*$C$5</f>
        <v>0</v>
      </c>
      <c r="F53" s="23">
        <f t="shared" si="8"/>
        <v>1211466.1079726384</v>
      </c>
      <c r="G53" s="23">
        <f t="shared" si="9"/>
        <v>2221764.2990271896</v>
      </c>
      <c r="H53" s="35">
        <f t="shared" si="10"/>
        <v>-1010298.1910545512</v>
      </c>
      <c r="I53" s="35"/>
      <c r="J53" s="20">
        <f t="shared" si="11"/>
        <v>212162.62012145572</v>
      </c>
      <c r="K53" s="37"/>
      <c r="L53" s="26">
        <f t="shared" si="12"/>
        <v>193036441.70468906</v>
      </c>
    </row>
    <row r="54" spans="1:12">
      <c r="A54" s="34">
        <v>131</v>
      </c>
      <c r="B54" s="17">
        <v>46478</v>
      </c>
      <c r="C54" s="26">
        <f t="shared" si="7"/>
        <v>193036441.70468906</v>
      </c>
      <c r="D54" s="26"/>
      <c r="E54" s="23">
        <f>Additions!J138*$C$5</f>
        <v>0</v>
      </c>
      <c r="F54" s="23">
        <f t="shared" si="8"/>
        <v>1206477.7606543065</v>
      </c>
      <c r="G54" s="23">
        <f t="shared" si="9"/>
        <v>2221764.2990271896</v>
      </c>
      <c r="H54" s="35">
        <f t="shared" si="10"/>
        <v>-1015286.5383728831</v>
      </c>
      <c r="I54" s="35"/>
      <c r="J54" s="20">
        <f t="shared" si="11"/>
        <v>213210.17305830543</v>
      </c>
      <c r="K54" s="37"/>
      <c r="L54" s="26">
        <f t="shared" si="12"/>
        <v>192234365.33937445</v>
      </c>
    </row>
    <row r="55" spans="1:12">
      <c r="A55" s="34">
        <v>132</v>
      </c>
      <c r="B55" s="17">
        <v>46508</v>
      </c>
      <c r="C55" s="26">
        <f t="shared" si="7"/>
        <v>192234365.33937445</v>
      </c>
      <c r="D55" s="26"/>
      <c r="E55" s="23">
        <f>Additions!J139*$C$5</f>
        <v>0</v>
      </c>
      <c r="F55" s="23">
        <f t="shared" si="8"/>
        <v>1201464.7833710902</v>
      </c>
      <c r="G55" s="23">
        <f t="shared" si="9"/>
        <v>2221764.2990271896</v>
      </c>
      <c r="H55" s="35">
        <f t="shared" si="10"/>
        <v>-1020299.5156560994</v>
      </c>
      <c r="I55" s="35"/>
      <c r="J55" s="20">
        <f t="shared" si="11"/>
        <v>214262.89828778087</v>
      </c>
      <c r="K55" s="37"/>
      <c r="L55" s="26">
        <f t="shared" si="12"/>
        <v>191428328.72200614</v>
      </c>
    </row>
    <row r="56" spans="1:12">
      <c r="A56" s="34">
        <v>133</v>
      </c>
      <c r="B56" s="17">
        <v>46539</v>
      </c>
      <c r="C56" s="26">
        <f t="shared" si="7"/>
        <v>191428328.72200614</v>
      </c>
      <c r="D56" s="26"/>
      <c r="E56" s="23">
        <f>Additions!J140*$C$5</f>
        <v>0</v>
      </c>
      <c r="F56" s="23">
        <f t="shared" si="8"/>
        <v>1196427.0545125382</v>
      </c>
      <c r="G56" s="23">
        <f t="shared" si="9"/>
        <v>2221764.2990271896</v>
      </c>
      <c r="H56" s="35">
        <f t="shared" si="10"/>
        <v>-1025337.2445146514</v>
      </c>
      <c r="I56" s="35"/>
      <c r="J56" s="20">
        <f t="shared" si="11"/>
        <v>215320.82134807677</v>
      </c>
      <c r="K56" s="37"/>
      <c r="L56" s="26">
        <f t="shared" si="12"/>
        <v>190618312.29883957</v>
      </c>
    </row>
    <row r="57" spans="1:12">
      <c r="A57" s="34">
        <v>134</v>
      </c>
      <c r="B57" s="17">
        <v>46569</v>
      </c>
      <c r="C57" s="26">
        <f t="shared" si="7"/>
        <v>190618312.29883957</v>
      </c>
      <c r="D57" s="26"/>
      <c r="E57" s="23">
        <f>Additions!J141*$C$5</f>
        <v>0</v>
      </c>
      <c r="F57" s="23">
        <f t="shared" si="8"/>
        <v>1191364.4518677471</v>
      </c>
      <c r="G57" s="23">
        <f t="shared" si="9"/>
        <v>2221764.2990271896</v>
      </c>
      <c r="H57" s="35">
        <f t="shared" si="10"/>
        <v>-1030399.8471594425</v>
      </c>
      <c r="I57" s="35"/>
      <c r="J57" s="20">
        <f t="shared" si="11"/>
        <v>216383.9679034829</v>
      </c>
      <c r="K57" s="37"/>
      <c r="L57" s="26">
        <f t="shared" si="12"/>
        <v>189804296.41958362</v>
      </c>
    </row>
    <row r="58" spans="1:12">
      <c r="A58" s="34">
        <v>135</v>
      </c>
      <c r="B58" s="17">
        <v>46600</v>
      </c>
      <c r="C58" s="26">
        <f t="shared" si="7"/>
        <v>189804296.41958362</v>
      </c>
      <c r="D58" s="26"/>
      <c r="E58" s="23">
        <f>Additions!J142*$C$5</f>
        <v>0</v>
      </c>
      <c r="F58" s="23">
        <f t="shared" si="8"/>
        <v>1186276.8526223975</v>
      </c>
      <c r="G58" s="23">
        <f t="shared" si="9"/>
        <v>2221764.2990271896</v>
      </c>
      <c r="H58" s="35">
        <f t="shared" si="10"/>
        <v>-1035487.4464047921</v>
      </c>
      <c r="I58" s="35"/>
      <c r="J58" s="20">
        <f t="shared" si="11"/>
        <v>217452.36374500635</v>
      </c>
      <c r="K58" s="37"/>
      <c r="L58" s="26">
        <f t="shared" si="12"/>
        <v>188986261.33692381</v>
      </c>
    </row>
    <row r="59" spans="1:12">
      <c r="A59" s="34">
        <v>136</v>
      </c>
      <c r="B59" s="17">
        <v>46631</v>
      </c>
      <c r="C59" s="26">
        <f t="shared" si="7"/>
        <v>188986261.33692381</v>
      </c>
      <c r="D59" s="26"/>
      <c r="E59" s="23">
        <f>Additions!J143*$C$5</f>
        <v>0</v>
      </c>
      <c r="F59" s="23">
        <f t="shared" si="8"/>
        <v>1181164.1333557738</v>
      </c>
      <c r="G59" s="23">
        <f t="shared" si="9"/>
        <v>2221764.2990271896</v>
      </c>
      <c r="H59" s="35">
        <f t="shared" si="10"/>
        <v>-1040600.1656714159</v>
      </c>
      <c r="I59" s="35"/>
      <c r="J59" s="20">
        <f t="shared" si="11"/>
        <v>218526.03479099734</v>
      </c>
      <c r="K59" s="37"/>
      <c r="L59" s="26">
        <f t="shared" si="12"/>
        <v>188164187.20604336</v>
      </c>
    </row>
    <row r="60" spans="1:12">
      <c r="A60" s="34">
        <v>137</v>
      </c>
      <c r="B60" s="17">
        <v>46661</v>
      </c>
      <c r="C60" s="26">
        <f t="shared" si="7"/>
        <v>188164187.20604336</v>
      </c>
      <c r="D60" s="26"/>
      <c r="E60" s="23">
        <f>Additions!J144*$C$5</f>
        <v>0</v>
      </c>
      <c r="F60" s="23">
        <f t="shared" si="8"/>
        <v>1176026.1700377709</v>
      </c>
      <c r="G60" s="23">
        <f t="shared" si="9"/>
        <v>2221764.2990271896</v>
      </c>
      <c r="H60" s="35">
        <f t="shared" si="10"/>
        <v>-1045738.1289894187</v>
      </c>
      <c r="I60" s="35"/>
      <c r="J60" s="20">
        <f t="shared" si="11"/>
        <v>219605.00708777792</v>
      </c>
      <c r="K60" s="37"/>
      <c r="L60" s="26">
        <f t="shared" si="12"/>
        <v>187338054.08414173</v>
      </c>
    </row>
    <row r="61" spans="1:12">
      <c r="A61" s="34">
        <v>138</v>
      </c>
      <c r="B61" s="17">
        <v>46692</v>
      </c>
      <c r="C61" s="26">
        <f t="shared" si="7"/>
        <v>187338054.08414173</v>
      </c>
      <c r="D61" s="26"/>
      <c r="E61" s="23">
        <f>Additions!J145*$C$5</f>
        <v>0</v>
      </c>
      <c r="F61" s="23">
        <f t="shared" si="8"/>
        <v>1170862.8380258856</v>
      </c>
      <c r="G61" s="23">
        <f t="shared" si="9"/>
        <v>2221764.2990271896</v>
      </c>
      <c r="H61" s="35">
        <f t="shared" si="10"/>
        <v>-1050901.461001304</v>
      </c>
      <c r="I61" s="35"/>
      <c r="J61" s="20">
        <f t="shared" si="11"/>
        <v>220689.30681027382</v>
      </c>
      <c r="K61" s="37"/>
      <c r="L61" s="26">
        <f t="shared" si="12"/>
        <v>186507841.92995071</v>
      </c>
    </row>
    <row r="62" spans="1:12">
      <c r="A62" s="34">
        <v>139</v>
      </c>
      <c r="B62" s="17">
        <v>46722</v>
      </c>
      <c r="C62" s="26">
        <f t="shared" si="7"/>
        <v>186507841.92995071</v>
      </c>
      <c r="D62" s="26"/>
      <c r="E62" s="23">
        <f>Additions!J146*$C$5</f>
        <v>0</v>
      </c>
      <c r="F62" s="23">
        <f t="shared" si="8"/>
        <v>1165674.012062192</v>
      </c>
      <c r="G62" s="23">
        <f t="shared" si="9"/>
        <v>2221764.2990271896</v>
      </c>
      <c r="H62" s="35">
        <f t="shared" si="10"/>
        <v>-1056090.2869649976</v>
      </c>
      <c r="I62" s="35"/>
      <c r="J62" s="20">
        <f t="shared" si="11"/>
        <v>221778.96026264949</v>
      </c>
      <c r="K62" s="37"/>
      <c r="L62" s="26">
        <f t="shared" si="12"/>
        <v>185673530.60324836</v>
      </c>
    </row>
    <row r="63" spans="1:12">
      <c r="A63" s="34">
        <v>140</v>
      </c>
      <c r="B63" s="17">
        <v>46753</v>
      </c>
      <c r="C63" s="26">
        <f t="shared" si="7"/>
        <v>185673530.60324836</v>
      </c>
      <c r="D63" s="26"/>
      <c r="E63" s="23">
        <f>Additions!J147*$C$5</f>
        <v>0</v>
      </c>
      <c r="F63" s="23">
        <f t="shared" si="8"/>
        <v>1160459.566270302</v>
      </c>
      <c r="G63" s="23">
        <f t="shared" si="9"/>
        <v>2221764.2990271896</v>
      </c>
      <c r="H63" s="35">
        <f t="shared" si="10"/>
        <v>-1061304.7327568876</v>
      </c>
      <c r="I63" s="35"/>
      <c r="J63" s="20">
        <f t="shared" si="11"/>
        <v>222873.99387894638</v>
      </c>
      <c r="K63" s="37"/>
      <c r="L63" s="26">
        <f t="shared" si="12"/>
        <v>184835099.86437041</v>
      </c>
    </row>
    <row r="64" spans="1:12">
      <c r="A64" s="34">
        <v>141</v>
      </c>
      <c r="B64" s="17">
        <v>46784</v>
      </c>
      <c r="C64" s="26">
        <f t="shared" si="7"/>
        <v>184835099.86437041</v>
      </c>
      <c r="D64" s="26"/>
      <c r="E64" s="23">
        <f>Additions!J148*$C$5</f>
        <v>0</v>
      </c>
      <c r="F64" s="23">
        <f t="shared" si="8"/>
        <v>1155219.3741523148</v>
      </c>
      <c r="G64" s="23">
        <f t="shared" si="9"/>
        <v>2221764.2990271896</v>
      </c>
      <c r="H64" s="35">
        <f t="shared" si="10"/>
        <v>-1066544.9248748748</v>
      </c>
      <c r="I64" s="35"/>
      <c r="J64" s="20">
        <f t="shared" si="11"/>
        <v>223974.43422372369</v>
      </c>
      <c r="K64" s="37"/>
      <c r="L64" s="26">
        <f t="shared" si="12"/>
        <v>183992529.37371922</v>
      </c>
    </row>
    <row r="65" spans="1:12">
      <c r="A65" s="34">
        <v>142</v>
      </c>
      <c r="B65" s="17">
        <v>46813</v>
      </c>
      <c r="C65" s="26">
        <f t="shared" si="7"/>
        <v>183992529.37371922</v>
      </c>
      <c r="D65" s="26"/>
      <c r="E65" s="23">
        <f>Additions!J149*$C$5</f>
        <v>0</v>
      </c>
      <c r="F65" s="23">
        <f t="shared" si="8"/>
        <v>1149953.308585745</v>
      </c>
      <c r="G65" s="23">
        <f t="shared" si="9"/>
        <v>2221764.2990271896</v>
      </c>
      <c r="H65" s="35">
        <f t="shared" si="10"/>
        <v>-1071810.9904414446</v>
      </c>
      <c r="I65" s="35"/>
      <c r="J65" s="20">
        <f t="shared" si="11"/>
        <v>225080.30799270334</v>
      </c>
      <c r="K65" s="37"/>
      <c r="L65" s="26">
        <f t="shared" si="12"/>
        <v>183145798.69127047</v>
      </c>
    </row>
    <row r="66" spans="1:12">
      <c r="A66" s="34">
        <v>143</v>
      </c>
      <c r="B66" s="17">
        <v>46844</v>
      </c>
      <c r="C66" s="26">
        <f t="shared" si="7"/>
        <v>183145798.69127047</v>
      </c>
      <c r="D66" s="26"/>
      <c r="E66" s="23">
        <f>Additions!J150*$C$5</f>
        <v>0</v>
      </c>
      <c r="F66" s="23">
        <f t="shared" si="8"/>
        <v>1144661.2418204404</v>
      </c>
      <c r="G66" s="23">
        <f t="shared" si="9"/>
        <v>2221764.2990271896</v>
      </c>
      <c r="H66" s="35">
        <f t="shared" si="10"/>
        <v>-1077103.0572067492</v>
      </c>
      <c r="I66" s="35"/>
      <c r="J66" s="20">
        <f t="shared" si="11"/>
        <v>226191.64201341732</v>
      </c>
      <c r="K66" s="37"/>
      <c r="L66" s="26">
        <f t="shared" si="12"/>
        <v>182294887.27607715</v>
      </c>
    </row>
    <row r="67" spans="1:12">
      <c r="A67" s="34">
        <v>144</v>
      </c>
      <c r="B67" s="17">
        <v>46874</v>
      </c>
      <c r="C67" s="26">
        <f t="shared" si="7"/>
        <v>182294887.27607715</v>
      </c>
      <c r="D67" s="26"/>
      <c r="E67" s="23">
        <f>Additions!J151*$C$5</f>
        <v>0</v>
      </c>
      <c r="F67" s="23">
        <f t="shared" si="8"/>
        <v>1139343.045475482</v>
      </c>
      <c r="G67" s="23">
        <f t="shared" si="9"/>
        <v>2221764.2990271896</v>
      </c>
      <c r="H67" s="35">
        <f t="shared" si="10"/>
        <v>-1082421.2535517076</v>
      </c>
      <c r="I67" s="35"/>
      <c r="J67" s="20">
        <f t="shared" si="11"/>
        <v>227308.46324585858</v>
      </c>
      <c r="K67" s="37"/>
      <c r="L67" s="26">
        <f t="shared" si="12"/>
        <v>181439774.4857713</v>
      </c>
    </row>
    <row r="68" spans="1:12">
      <c r="A68" s="34">
        <v>145</v>
      </c>
      <c r="B68" s="17">
        <v>46905</v>
      </c>
      <c r="C68" s="26">
        <f t="shared" si="7"/>
        <v>181439774.4857713</v>
      </c>
      <c r="D68" s="26"/>
      <c r="E68" s="23">
        <f>Additions!J152*$C$5</f>
        <v>0</v>
      </c>
      <c r="F68" s="23">
        <f t="shared" si="8"/>
        <v>1133998.5905360705</v>
      </c>
      <c r="G68" s="23">
        <f t="shared" si="9"/>
        <v>2221764.2990271896</v>
      </c>
      <c r="H68" s="35">
        <f t="shared" si="10"/>
        <v>-1087765.7084911191</v>
      </c>
      <c r="I68" s="35"/>
      <c r="J68" s="20">
        <f t="shared" si="11"/>
        <v>228430.79878313499</v>
      </c>
      <c r="K68" s="37"/>
      <c r="L68" s="26">
        <f t="shared" si="12"/>
        <v>180580439.57606328</v>
      </c>
    </row>
    <row r="69" spans="1:12">
      <c r="A69" s="34">
        <v>146</v>
      </c>
      <c r="B69" s="17">
        <v>46935</v>
      </c>
      <c r="C69" s="26">
        <f t="shared" si="7"/>
        <v>180580439.57606328</v>
      </c>
      <c r="D69" s="26"/>
      <c r="E69" s="23">
        <f>Additions!J153*$C$5</f>
        <v>0</v>
      </c>
      <c r="F69" s="23">
        <f t="shared" si="8"/>
        <v>1128627.7473503954</v>
      </c>
      <c r="G69" s="23">
        <f t="shared" si="9"/>
        <v>2221764.2990271896</v>
      </c>
      <c r="H69" s="35">
        <f t="shared" si="10"/>
        <v>-1093136.5516767942</v>
      </c>
      <c r="I69" s="35"/>
      <c r="J69" s="20">
        <f t="shared" si="11"/>
        <v>229558.67585212676</v>
      </c>
      <c r="K69" s="37"/>
      <c r="L69" s="26">
        <f t="shared" si="12"/>
        <v>179716861.70023859</v>
      </c>
    </row>
    <row r="70" spans="1:12">
      <c r="A70" s="34">
        <v>147</v>
      </c>
      <c r="B70" s="17">
        <v>46966</v>
      </c>
      <c r="C70" s="26">
        <f t="shared" si="7"/>
        <v>179716861.70023859</v>
      </c>
      <c r="D70" s="26"/>
      <c r="E70" s="23">
        <f>Additions!J154*$C$5</f>
        <v>0</v>
      </c>
      <c r="F70" s="23">
        <f t="shared" si="8"/>
        <v>1123230.3856264912</v>
      </c>
      <c r="G70" s="23">
        <f t="shared" si="9"/>
        <v>2221764.2990271896</v>
      </c>
      <c r="H70" s="35">
        <f t="shared" si="10"/>
        <v>-1098533.9134006985</v>
      </c>
      <c r="I70" s="35"/>
      <c r="J70" s="20">
        <f t="shared" si="11"/>
        <v>230692.12181414667</v>
      </c>
      <c r="K70" s="37"/>
      <c r="L70" s="26">
        <f t="shared" si="12"/>
        <v>178849019.90865204</v>
      </c>
    </row>
    <row r="71" spans="1:12">
      <c r="A71" s="34">
        <v>148</v>
      </c>
      <c r="B71" s="17">
        <v>46997</v>
      </c>
      <c r="C71" s="26">
        <f t="shared" si="7"/>
        <v>178849019.90865204</v>
      </c>
      <c r="D71" s="26"/>
      <c r="E71" s="23">
        <f>Additions!J155*$C$5</f>
        <v>0</v>
      </c>
      <c r="F71" s="23">
        <f t="shared" si="8"/>
        <v>1117806.374429075</v>
      </c>
      <c r="G71" s="23">
        <f t="shared" si="9"/>
        <v>2221764.2990271896</v>
      </c>
      <c r="H71" s="35">
        <f t="shared" si="10"/>
        <v>-1103957.9245981146</v>
      </c>
      <c r="I71" s="35"/>
      <c r="J71" s="20">
        <f t="shared" si="11"/>
        <v>231831.16416560404</v>
      </c>
      <c r="K71" s="37"/>
      <c r="L71" s="26">
        <f t="shared" si="12"/>
        <v>177976893.14821953</v>
      </c>
    </row>
    <row r="72" spans="1:12">
      <c r="A72" s="34">
        <v>149</v>
      </c>
      <c r="B72" s="17">
        <v>47027</v>
      </c>
      <c r="C72" s="26">
        <f t="shared" si="7"/>
        <v>177976893.14821953</v>
      </c>
      <c r="D72" s="26"/>
      <c r="E72" s="23">
        <f>Additions!J156*$C$5</f>
        <v>0</v>
      </c>
      <c r="F72" s="23">
        <f t="shared" si="8"/>
        <v>1112355.5821763719</v>
      </c>
      <c r="G72" s="23">
        <f t="shared" si="9"/>
        <v>2221764.2990271896</v>
      </c>
      <c r="H72" s="35">
        <f t="shared" si="10"/>
        <v>-1109408.7168508177</v>
      </c>
      <c r="I72" s="35"/>
      <c r="J72" s="20">
        <f t="shared" si="11"/>
        <v>232975.8305386717</v>
      </c>
      <c r="K72" s="37"/>
      <c r="L72" s="26">
        <f t="shared" si="12"/>
        <v>177100460.26190737</v>
      </c>
    </row>
    <row r="73" spans="1:12">
      <c r="A73" s="34">
        <v>150</v>
      </c>
      <c r="B73" s="17">
        <v>47058</v>
      </c>
      <c r="C73" s="26">
        <f t="shared" si="7"/>
        <v>177100460.26190737</v>
      </c>
      <c r="D73" s="26"/>
      <c r="E73" s="23">
        <f>Additions!J157*$C$5</f>
        <v>0</v>
      </c>
      <c r="F73" s="23">
        <f t="shared" si="8"/>
        <v>1106877.876636921</v>
      </c>
      <c r="G73" s="23">
        <f t="shared" si="9"/>
        <v>2221764.2990271896</v>
      </c>
      <c r="H73" s="35">
        <f t="shared" si="10"/>
        <v>-1114886.4223902686</v>
      </c>
      <c r="I73" s="35"/>
      <c r="J73" s="20">
        <f t="shared" si="11"/>
        <v>234126.14870195641</v>
      </c>
      <c r="K73" s="37"/>
      <c r="L73" s="26">
        <f t="shared" si="12"/>
        <v>176219699.98821908</v>
      </c>
    </row>
    <row r="74" spans="1:12">
      <c r="A74" s="34">
        <v>151</v>
      </c>
      <c r="B74" s="17">
        <v>47088</v>
      </c>
      <c r="C74" s="26">
        <f t="shared" si="7"/>
        <v>176219699.98821908</v>
      </c>
      <c r="D74" s="26"/>
      <c r="E74" s="23">
        <f>Additions!J158*$C$5</f>
        <v>0</v>
      </c>
      <c r="F74" s="23">
        <f t="shared" si="8"/>
        <v>1101373.1249263692</v>
      </c>
      <c r="G74" s="23">
        <f t="shared" si="9"/>
        <v>2221764.2990271896</v>
      </c>
      <c r="H74" s="35">
        <f t="shared" si="10"/>
        <v>-1120391.1741008204</v>
      </c>
      <c r="I74" s="35"/>
      <c r="J74" s="20">
        <f t="shared" si="11"/>
        <v>235282.1465611723</v>
      </c>
      <c r="K74" s="37"/>
      <c r="L74" s="26">
        <f t="shared" si="12"/>
        <v>175334590.96067944</v>
      </c>
    </row>
    <row r="75" spans="1:12">
      <c r="A75" s="34">
        <v>152</v>
      </c>
      <c r="B75" s="17">
        <v>47119</v>
      </c>
      <c r="C75" s="26">
        <f t="shared" si="7"/>
        <v>175334590.96067944</v>
      </c>
      <c r="D75" s="26"/>
      <c r="E75" s="23">
        <f>Additions!J159*$C$5</f>
        <v>0</v>
      </c>
      <c r="F75" s="23">
        <f t="shared" si="8"/>
        <v>1095841.1935042464</v>
      </c>
      <c r="G75" s="23">
        <f t="shared" si="9"/>
        <v>2221764.2990271896</v>
      </c>
      <c r="H75" s="35">
        <f t="shared" si="10"/>
        <v>-1125923.1055229432</v>
      </c>
      <c r="I75" s="35"/>
      <c r="J75" s="20">
        <f t="shared" si="11"/>
        <v>236443.85215981805</v>
      </c>
      <c r="K75" s="37"/>
      <c r="L75" s="26">
        <f t="shared" si="12"/>
        <v>174445111.70731631</v>
      </c>
    </row>
    <row r="76" spans="1:12">
      <c r="A76" s="34">
        <v>153</v>
      </c>
      <c r="B76" s="17">
        <v>47150</v>
      </c>
      <c r="C76" s="26">
        <f t="shared" si="7"/>
        <v>174445111.70731631</v>
      </c>
      <c r="D76" s="26"/>
      <c r="E76" s="23">
        <f>Additions!J160*$C$5</f>
        <v>0</v>
      </c>
      <c r="F76" s="23">
        <f t="shared" si="8"/>
        <v>1090281.9481707269</v>
      </c>
      <c r="G76" s="23">
        <f t="shared" si="9"/>
        <v>2221764.2990271896</v>
      </c>
      <c r="H76" s="35">
        <f t="shared" si="10"/>
        <v>-1131482.3508564627</v>
      </c>
      <c r="I76" s="35"/>
      <c r="J76" s="20">
        <f t="shared" si="11"/>
        <v>237611.29367985716</v>
      </c>
      <c r="K76" s="37"/>
      <c r="L76" s="26">
        <f t="shared" si="12"/>
        <v>173551240.65013972</v>
      </c>
    </row>
    <row r="77" spans="1:12">
      <c r="A77" s="34">
        <v>154</v>
      </c>
      <c r="B77" s="17">
        <v>47178</v>
      </c>
      <c r="C77" s="26">
        <f t="shared" si="7"/>
        <v>173551240.65013972</v>
      </c>
      <c r="D77" s="26"/>
      <c r="E77" s="23">
        <f>Additions!J161*$C$5</f>
        <v>0</v>
      </c>
      <c r="F77" s="23">
        <f t="shared" si="8"/>
        <v>1084695.2540633732</v>
      </c>
      <c r="G77" s="23">
        <f t="shared" si="9"/>
        <v>2221764.2990271896</v>
      </c>
      <c r="H77" s="35">
        <f t="shared" si="10"/>
        <v>-1137069.0449638164</v>
      </c>
      <c r="I77" s="35"/>
      <c r="J77" s="20">
        <f t="shared" si="11"/>
        <v>238784.49944240143</v>
      </c>
      <c r="K77" s="37"/>
      <c r="L77" s="26">
        <f t="shared" si="12"/>
        <v>172652956.10461831</v>
      </c>
    </row>
    <row r="78" spans="1:12">
      <c r="A78" s="34">
        <v>155</v>
      </c>
      <c r="B78" s="17">
        <v>47209</v>
      </c>
      <c r="C78" s="26">
        <f t="shared" si="7"/>
        <v>172652956.10461831</v>
      </c>
      <c r="D78" s="26"/>
      <c r="E78" s="23">
        <f>Additions!J162*$C$5</f>
        <v>0</v>
      </c>
      <c r="F78" s="23">
        <f t="shared" si="8"/>
        <v>1079080.9756538644</v>
      </c>
      <c r="G78" s="23">
        <f t="shared" si="9"/>
        <v>2221764.2990271896</v>
      </c>
      <c r="H78" s="35">
        <f t="shared" si="10"/>
        <v>-1142683.3233733252</v>
      </c>
      <c r="I78" s="35"/>
      <c r="J78" s="20">
        <f t="shared" si="11"/>
        <v>239963.49790839828</v>
      </c>
      <c r="K78" s="37"/>
      <c r="L78" s="26">
        <f t="shared" si="12"/>
        <v>171750236.27915338</v>
      </c>
    </row>
    <row r="79" spans="1:12">
      <c r="A79" s="34">
        <v>156</v>
      </c>
      <c r="B79" s="17">
        <v>47239</v>
      </c>
      <c r="C79" s="26">
        <f t="shared" si="7"/>
        <v>171750236.27915338</v>
      </c>
      <c r="D79" s="26"/>
      <c r="E79" s="23">
        <f>Additions!J163*$C$5</f>
        <v>0</v>
      </c>
      <c r="F79" s="23">
        <f t="shared" si="8"/>
        <v>1073438.9767447086</v>
      </c>
      <c r="G79" s="23">
        <f t="shared" si="9"/>
        <v>2221764.2990271896</v>
      </c>
      <c r="H79" s="35">
        <f t="shared" si="10"/>
        <v>-1148325.322282481</v>
      </c>
      <c r="I79" s="35"/>
      <c r="J79" s="20">
        <f t="shared" si="11"/>
        <v>241148.31767932102</v>
      </c>
      <c r="K79" s="37"/>
      <c r="L79" s="26">
        <f t="shared" si="12"/>
        <v>170843059.27455023</v>
      </c>
    </row>
    <row r="80" spans="1:12">
      <c r="A80" s="34">
        <v>157</v>
      </c>
      <c r="B80" s="17">
        <v>47270</v>
      </c>
      <c r="C80" s="26">
        <f t="shared" si="7"/>
        <v>170843059.27455023</v>
      </c>
      <c r="D80" s="26"/>
      <c r="E80" s="23">
        <f>Additions!J164*$C$5</f>
        <v>0</v>
      </c>
      <c r="F80" s="23">
        <f t="shared" si="8"/>
        <v>1067769.1204659389</v>
      </c>
      <c r="G80" s="23">
        <f t="shared" si="9"/>
        <v>2221764.2990271896</v>
      </c>
      <c r="H80" s="35">
        <f t="shared" si="10"/>
        <v>-1153995.1785612507</v>
      </c>
      <c r="I80" s="35"/>
      <c r="J80" s="20">
        <f t="shared" si="11"/>
        <v>242338.98749786263</v>
      </c>
      <c r="K80" s="37"/>
      <c r="L80" s="26">
        <f t="shared" si="12"/>
        <v>169931403.08348686</v>
      </c>
    </row>
    <row r="81" spans="1:12">
      <c r="A81" s="34">
        <v>158</v>
      </c>
      <c r="B81" s="17">
        <v>47300</v>
      </c>
      <c r="C81" s="26">
        <f t="shared" si="7"/>
        <v>169931403.08348686</v>
      </c>
      <c r="D81" s="26"/>
      <c r="E81" s="23">
        <f>Additions!J165*$C$5</f>
        <v>0</v>
      </c>
      <c r="F81" s="23">
        <f t="shared" si="8"/>
        <v>1062071.2692717928</v>
      </c>
      <c r="G81" s="23">
        <f t="shared" si="9"/>
        <v>2221764.2990271896</v>
      </c>
      <c r="H81" s="35">
        <f t="shared" si="10"/>
        <v>-1159693.0297553968</v>
      </c>
      <c r="I81" s="35"/>
      <c r="J81" s="20">
        <f t="shared" si="11"/>
        <v>243535.53624863332</v>
      </c>
      <c r="K81" s="37"/>
      <c r="L81" s="26">
        <f t="shared" si="12"/>
        <v>169015245.58998007</v>
      </c>
    </row>
    <row r="82" spans="1:12">
      <c r="A82" s="34">
        <v>159</v>
      </c>
      <c r="B82" s="17">
        <v>47331</v>
      </c>
      <c r="C82" s="26">
        <f t="shared" si="7"/>
        <v>169015245.58998007</v>
      </c>
      <c r="D82" s="26"/>
      <c r="E82" s="23">
        <f>Additions!J166*$C$5</f>
        <v>0</v>
      </c>
      <c r="F82" s="23">
        <f t="shared" si="8"/>
        <v>1056345.2849373752</v>
      </c>
      <c r="G82" s="23">
        <f t="shared" si="9"/>
        <v>2221764.2990271896</v>
      </c>
      <c r="H82" s="35">
        <f t="shared" si="10"/>
        <v>-1165419.0140898144</v>
      </c>
      <c r="I82" s="35"/>
      <c r="J82" s="20">
        <f t="shared" si="11"/>
        <v>244737.99295886102</v>
      </c>
      <c r="K82" s="37"/>
      <c r="L82" s="26">
        <f t="shared" si="12"/>
        <v>168094564.56884912</v>
      </c>
    </row>
    <row r="83" spans="1:12">
      <c r="A83" s="34">
        <v>160</v>
      </c>
      <c r="B83" s="17">
        <v>47362</v>
      </c>
      <c r="C83" s="26">
        <f t="shared" si="7"/>
        <v>168094564.56884912</v>
      </c>
      <c r="D83" s="26"/>
      <c r="E83" s="23">
        <f>Additions!J167*$C$5</f>
        <v>0</v>
      </c>
      <c r="F83" s="23">
        <f t="shared" si="8"/>
        <v>1050591.0285553068</v>
      </c>
      <c r="G83" s="23">
        <f t="shared" si="9"/>
        <v>2221764.2990271896</v>
      </c>
      <c r="H83" s="35">
        <f t="shared" si="10"/>
        <v>-1171173.2704718828</v>
      </c>
      <c r="I83" s="35"/>
      <c r="J83" s="20">
        <f t="shared" si="11"/>
        <v>245946.38679909537</v>
      </c>
      <c r="K83" s="37"/>
      <c r="L83" s="26">
        <f t="shared" si="12"/>
        <v>167169337.68517631</v>
      </c>
    </row>
    <row r="84" spans="1:12">
      <c r="A84" s="34">
        <v>161</v>
      </c>
      <c r="B84" s="17">
        <v>47392</v>
      </c>
      <c r="C84" s="26">
        <f t="shared" si="7"/>
        <v>167169337.68517631</v>
      </c>
      <c r="D84" s="26"/>
      <c r="E84" s="23">
        <f>Additions!J168*$C$5</f>
        <v>0</v>
      </c>
      <c r="F84" s="23">
        <f t="shared" si="8"/>
        <v>1044808.3605323519</v>
      </c>
      <c r="G84" s="23">
        <f t="shared" si="9"/>
        <v>2221764.2990271896</v>
      </c>
      <c r="H84" s="35">
        <f t="shared" si="10"/>
        <v>-1176955.9384948378</v>
      </c>
      <c r="I84" s="35"/>
      <c r="J84" s="20">
        <f t="shared" si="11"/>
        <v>247160.74708391595</v>
      </c>
      <c r="K84" s="37"/>
      <c r="L84" s="26">
        <f t="shared" si="12"/>
        <v>166239542.49376535</v>
      </c>
    </row>
    <row r="85" spans="1:12">
      <c r="A85" s="34">
        <v>162</v>
      </c>
      <c r="B85" s="17">
        <v>47423</v>
      </c>
      <c r="C85" s="26">
        <f t="shared" si="7"/>
        <v>166239542.49376535</v>
      </c>
      <c r="D85" s="26"/>
      <c r="E85" s="23">
        <f>Additions!J169*$C$5</f>
        <v>0</v>
      </c>
      <c r="F85" s="23">
        <f t="shared" si="8"/>
        <v>1038997.1405860333</v>
      </c>
      <c r="G85" s="23">
        <f t="shared" si="9"/>
        <v>2221764.2990271896</v>
      </c>
      <c r="H85" s="35">
        <f t="shared" si="10"/>
        <v>-1182767.1584411561</v>
      </c>
      <c r="I85" s="35"/>
      <c r="J85" s="20">
        <f t="shared" si="11"/>
        <v>248381.10327264279</v>
      </c>
      <c r="K85" s="37"/>
      <c r="L85" s="26">
        <f t="shared" si="12"/>
        <v>165305156.43859681</v>
      </c>
    </row>
    <row r="86" spans="1:12">
      <c r="A86" s="34">
        <v>163</v>
      </c>
      <c r="B86" s="17">
        <v>47453</v>
      </c>
      <c r="C86" s="26">
        <f t="shared" si="7"/>
        <v>165305156.43859681</v>
      </c>
      <c r="D86" s="26"/>
      <c r="E86" s="23">
        <f>Additions!J170*$C$5</f>
        <v>0</v>
      </c>
      <c r="F86" s="23">
        <f t="shared" si="8"/>
        <v>1033157.22774123</v>
      </c>
      <c r="G86" s="23">
        <f t="shared" si="9"/>
        <v>2221764.2990271896</v>
      </c>
      <c r="H86" s="35">
        <f t="shared" si="10"/>
        <v>-1188607.0712859596</v>
      </c>
      <c r="I86" s="35"/>
      <c r="J86" s="20">
        <f t="shared" si="11"/>
        <v>249607.4849700515</v>
      </c>
      <c r="K86" s="37"/>
      <c r="L86" s="26">
        <f t="shared" si="12"/>
        <v>164366156.85228094</v>
      </c>
    </row>
    <row r="87" spans="1:12">
      <c r="A87" s="34">
        <v>164</v>
      </c>
      <c r="B87" s="17">
        <v>47484</v>
      </c>
      <c r="C87" s="26">
        <f t="shared" si="7"/>
        <v>164366156.85228094</v>
      </c>
      <c r="D87" s="26"/>
      <c r="E87" s="23">
        <f>Additions!J171*$C$5</f>
        <v>0</v>
      </c>
      <c r="F87" s="23">
        <f t="shared" si="8"/>
        <v>1027288.4803267558</v>
      </c>
      <c r="G87" s="23">
        <f t="shared" si="9"/>
        <v>2221764.2990271896</v>
      </c>
      <c r="H87" s="35">
        <f t="shared" si="10"/>
        <v>-1194475.8187004337</v>
      </c>
      <c r="I87" s="35"/>
      <c r="J87" s="20">
        <f t="shared" si="11"/>
        <v>250839.92192709108</v>
      </c>
      <c r="K87" s="37"/>
      <c r="L87" s="26">
        <f t="shared" si="12"/>
        <v>163422520.95550758</v>
      </c>
    </row>
    <row r="88" spans="1:12">
      <c r="A88" s="34">
        <v>165</v>
      </c>
      <c r="B88" s="17">
        <v>47515</v>
      </c>
      <c r="C88" s="26">
        <f t="shared" si="7"/>
        <v>163422520.95550758</v>
      </c>
      <c r="D88" s="26"/>
      <c r="E88" s="23">
        <f>Additions!J172*$C$5</f>
        <v>0</v>
      </c>
      <c r="F88" s="23">
        <f t="shared" si="8"/>
        <v>1021390.7559719223</v>
      </c>
      <c r="G88" s="23">
        <f t="shared" si="9"/>
        <v>2221764.2990271896</v>
      </c>
      <c r="H88" s="35">
        <f t="shared" si="10"/>
        <v>-1200373.5430552673</v>
      </c>
      <c r="I88" s="35"/>
      <c r="J88" s="20">
        <f t="shared" si="11"/>
        <v>252078.44404160613</v>
      </c>
      <c r="K88" s="37"/>
      <c r="L88" s="26">
        <f t="shared" si="12"/>
        <v>162474225.85649389</v>
      </c>
    </row>
    <row r="89" spans="1:12">
      <c r="A89" s="34">
        <v>166</v>
      </c>
      <c r="B89" s="17">
        <v>47543</v>
      </c>
      <c r="C89" s="26">
        <f t="shared" si="7"/>
        <v>162474225.85649389</v>
      </c>
      <c r="D89" s="26"/>
      <c r="E89" s="23">
        <f>Additions!J173*$C$5</f>
        <v>0</v>
      </c>
      <c r="F89" s="23">
        <f t="shared" si="8"/>
        <v>1015463.9116030867</v>
      </c>
      <c r="G89" s="23">
        <f t="shared" si="9"/>
        <v>2221764.2990271896</v>
      </c>
      <c r="H89" s="35">
        <f t="shared" si="10"/>
        <v>-1206300.387424103</v>
      </c>
      <c r="I89" s="35"/>
      <c r="J89" s="20">
        <f t="shared" si="11"/>
        <v>253323.08135906162</v>
      </c>
      <c r="K89" s="37"/>
      <c r="L89" s="26">
        <f t="shared" si="12"/>
        <v>161521248.55042884</v>
      </c>
    </row>
    <row r="90" spans="1:12">
      <c r="A90" s="34">
        <v>167</v>
      </c>
      <c r="B90" s="17">
        <v>47574</v>
      </c>
      <c r="C90" s="26">
        <f t="shared" si="7"/>
        <v>161521248.55042884</v>
      </c>
      <c r="D90" s="26"/>
      <c r="E90" s="23">
        <f>Additions!J174*$C$5</f>
        <v>0</v>
      </c>
      <c r="F90" s="23">
        <f t="shared" si="8"/>
        <v>1009507.8034401801</v>
      </c>
      <c r="G90" s="23">
        <f t="shared" si="9"/>
        <v>2221764.2990271896</v>
      </c>
      <c r="H90" s="35">
        <f t="shared" si="10"/>
        <v>-1212256.4955870095</v>
      </c>
      <c r="I90" s="35"/>
      <c r="J90" s="20">
        <f t="shared" si="11"/>
        <v>254573.86407327198</v>
      </c>
      <c r="K90" s="37"/>
      <c r="L90" s="26">
        <f t="shared" si="12"/>
        <v>160563565.91891509</v>
      </c>
    </row>
    <row r="91" spans="1:12">
      <c r="A91" s="34">
        <v>168</v>
      </c>
      <c r="B91" s="17">
        <v>47604</v>
      </c>
      <c r="C91" s="26">
        <f t="shared" ref="C91:C154" si="13">L90</f>
        <v>160563565.91891509</v>
      </c>
      <c r="D91" s="26"/>
      <c r="E91" s="23">
        <f>Additions!J175*$C$5</f>
        <v>0</v>
      </c>
      <c r="F91" s="23">
        <f t="shared" ref="F91:F154" si="14">L90*$C$3</f>
        <v>1003522.2869932193</v>
      </c>
      <c r="G91" s="23">
        <f t="shared" ref="G91:G154" si="15">G90</f>
        <v>2221764.2990271896</v>
      </c>
      <c r="H91" s="35">
        <f t="shared" ref="H91:H154" si="16">E91+F91-G91</f>
        <v>-1218242.0120339703</v>
      </c>
      <c r="I91" s="35"/>
      <c r="J91" s="20">
        <f t="shared" ref="J91:J154" si="17">-H91*0.21</f>
        <v>255830.82252713377</v>
      </c>
      <c r="K91" s="37"/>
      <c r="L91" s="26">
        <f t="shared" ref="L91:L154" si="18">C91+E91+F91-G91+J91+K91</f>
        <v>159601154.72940823</v>
      </c>
    </row>
    <row r="92" spans="1:12">
      <c r="A92" s="34">
        <v>169</v>
      </c>
      <c r="B92" s="17">
        <v>47635</v>
      </c>
      <c r="C92" s="26">
        <f t="shared" si="13"/>
        <v>159601154.72940823</v>
      </c>
      <c r="D92" s="26"/>
      <c r="E92" s="23">
        <f>Additions!J176*$C$5</f>
        <v>0</v>
      </c>
      <c r="F92" s="23">
        <f t="shared" si="14"/>
        <v>997507.21705880133</v>
      </c>
      <c r="G92" s="23">
        <f t="shared" si="15"/>
        <v>2221764.2990271896</v>
      </c>
      <c r="H92" s="35">
        <f t="shared" si="16"/>
        <v>-1224257.0819683883</v>
      </c>
      <c r="I92" s="35"/>
      <c r="J92" s="20">
        <f t="shared" si="17"/>
        <v>257093.98721336154</v>
      </c>
      <c r="K92" s="37"/>
      <c r="L92" s="26">
        <f t="shared" si="18"/>
        <v>158633991.63465321</v>
      </c>
    </row>
    <row r="93" spans="1:12">
      <c r="A93" s="34">
        <v>170</v>
      </c>
      <c r="B93" s="17">
        <v>47665</v>
      </c>
      <c r="C93" s="26">
        <f t="shared" si="13"/>
        <v>158633991.63465321</v>
      </c>
      <c r="D93" s="26"/>
      <c r="E93" s="23">
        <f>Additions!J177*$C$5</f>
        <v>0</v>
      </c>
      <c r="F93" s="23">
        <f t="shared" si="14"/>
        <v>991462.44771658245</v>
      </c>
      <c r="G93" s="23">
        <f t="shared" si="15"/>
        <v>2221764.2990271896</v>
      </c>
      <c r="H93" s="35">
        <f t="shared" si="16"/>
        <v>-1230301.851310607</v>
      </c>
      <c r="I93" s="35"/>
      <c r="J93" s="20">
        <f t="shared" si="17"/>
        <v>258363.38877522747</v>
      </c>
      <c r="K93" s="37"/>
      <c r="L93" s="26">
        <f t="shared" si="18"/>
        <v>157662053.17211783</v>
      </c>
    </row>
    <row r="94" spans="1:12">
      <c r="A94" s="34">
        <v>171</v>
      </c>
      <c r="B94" s="17">
        <v>47696</v>
      </c>
      <c r="C94" s="26">
        <f t="shared" si="13"/>
        <v>157662053.17211783</v>
      </c>
      <c r="D94" s="26"/>
      <c r="E94" s="23">
        <f>Additions!J178*$C$5</f>
        <v>0</v>
      </c>
      <c r="F94" s="23">
        <f t="shared" si="14"/>
        <v>985387.83232573629</v>
      </c>
      <c r="G94" s="23">
        <f t="shared" si="15"/>
        <v>2221764.2990271896</v>
      </c>
      <c r="H94" s="35">
        <f t="shared" si="16"/>
        <v>-1236376.4667014533</v>
      </c>
      <c r="I94" s="35"/>
      <c r="J94" s="20">
        <f t="shared" si="17"/>
        <v>259639.0580073052</v>
      </c>
      <c r="K94" s="37"/>
      <c r="L94" s="26">
        <f t="shared" si="18"/>
        <v>156685315.76342368</v>
      </c>
    </row>
    <row r="95" spans="1:12">
      <c r="A95" s="34">
        <v>172</v>
      </c>
      <c r="B95" s="17">
        <v>47727</v>
      </c>
      <c r="C95" s="26">
        <f t="shared" si="13"/>
        <v>156685315.76342368</v>
      </c>
      <c r="D95" s="26"/>
      <c r="E95" s="23">
        <f>Additions!J179*$C$5</f>
        <v>0</v>
      </c>
      <c r="F95" s="23">
        <f t="shared" si="14"/>
        <v>979283.22352139791</v>
      </c>
      <c r="G95" s="23">
        <f t="shared" si="15"/>
        <v>2221764.2990271896</v>
      </c>
      <c r="H95" s="35">
        <f t="shared" si="16"/>
        <v>-1242481.0755057917</v>
      </c>
      <c r="I95" s="35"/>
      <c r="J95" s="20">
        <f t="shared" si="17"/>
        <v>260921.02585621623</v>
      </c>
      <c r="K95" s="37"/>
      <c r="L95" s="26">
        <f t="shared" si="18"/>
        <v>155703755.71377411</v>
      </c>
    </row>
    <row r="96" spans="1:12">
      <c r="A96" s="34">
        <v>173</v>
      </c>
      <c r="B96" s="17">
        <v>47757</v>
      </c>
      <c r="C96" s="26">
        <f t="shared" si="13"/>
        <v>155703755.71377411</v>
      </c>
      <c r="D96" s="26"/>
      <c r="E96" s="23">
        <f>Additions!J180*$C$5</f>
        <v>0</v>
      </c>
      <c r="F96" s="23">
        <f t="shared" si="14"/>
        <v>973148.4732110881</v>
      </c>
      <c r="G96" s="23">
        <f t="shared" si="15"/>
        <v>2221764.2990271896</v>
      </c>
      <c r="H96" s="35">
        <f t="shared" si="16"/>
        <v>-1248615.8258161014</v>
      </c>
      <c r="I96" s="35"/>
      <c r="J96" s="20">
        <f t="shared" si="17"/>
        <v>262209.3234213813</v>
      </c>
      <c r="K96" s="37"/>
      <c r="L96" s="26">
        <f t="shared" si="18"/>
        <v>154717349.21137938</v>
      </c>
    </row>
    <row r="97" spans="1:12">
      <c r="A97" s="34">
        <v>174</v>
      </c>
      <c r="B97" s="17">
        <v>47788</v>
      </c>
      <c r="C97" s="26">
        <f t="shared" si="13"/>
        <v>154717349.21137938</v>
      </c>
      <c r="D97" s="26"/>
      <c r="E97" s="23">
        <f>Additions!J181*$C$5</f>
        <v>0</v>
      </c>
      <c r="F97" s="23">
        <f t="shared" si="14"/>
        <v>966983.43257112103</v>
      </c>
      <c r="G97" s="23">
        <f t="shared" si="15"/>
        <v>2221764.2990271896</v>
      </c>
      <c r="H97" s="35">
        <f t="shared" si="16"/>
        <v>-1254780.8664560686</v>
      </c>
      <c r="I97" s="35"/>
      <c r="J97" s="20">
        <f t="shared" si="17"/>
        <v>263503.98195577442</v>
      </c>
      <c r="K97" s="37"/>
      <c r="L97" s="26">
        <f t="shared" si="18"/>
        <v>153726072.32687908</v>
      </c>
    </row>
    <row r="98" spans="1:12">
      <c r="A98" s="34">
        <v>175</v>
      </c>
      <c r="B98" s="17">
        <v>47818</v>
      </c>
      <c r="C98" s="26">
        <f t="shared" si="13"/>
        <v>153726072.32687908</v>
      </c>
      <c r="D98" s="26"/>
      <c r="E98" s="23">
        <f>Additions!J182*$C$5</f>
        <v>0</v>
      </c>
      <c r="F98" s="23">
        <f t="shared" si="14"/>
        <v>960787.95204299421</v>
      </c>
      <c r="G98" s="23">
        <f t="shared" si="15"/>
        <v>2221764.2990271896</v>
      </c>
      <c r="H98" s="35">
        <f t="shared" si="16"/>
        <v>-1260976.3469841955</v>
      </c>
      <c r="I98" s="35"/>
      <c r="J98" s="20">
        <f t="shared" si="17"/>
        <v>264805.03286668105</v>
      </c>
      <c r="K98" s="37"/>
      <c r="L98" s="26">
        <f t="shared" si="18"/>
        <v>152729901.01276156</v>
      </c>
    </row>
    <row r="99" spans="1:12">
      <c r="A99" s="34">
        <v>176</v>
      </c>
      <c r="B99" s="17">
        <v>47849</v>
      </c>
      <c r="C99" s="26">
        <f t="shared" si="13"/>
        <v>152729901.01276156</v>
      </c>
      <c r="D99" s="26"/>
      <c r="E99" s="23">
        <f>Additions!J183*$C$5</f>
        <v>0</v>
      </c>
      <c r="F99" s="23">
        <f t="shared" si="14"/>
        <v>954561.88132975972</v>
      </c>
      <c r="G99" s="23">
        <f t="shared" si="15"/>
        <v>2221764.2990271896</v>
      </c>
      <c r="H99" s="35">
        <f t="shared" si="16"/>
        <v>-1267202.4176974299</v>
      </c>
      <c r="I99" s="35"/>
      <c r="J99" s="20">
        <f t="shared" si="17"/>
        <v>266112.50771646027</v>
      </c>
      <c r="K99" s="37"/>
      <c r="L99" s="26">
        <f t="shared" si="18"/>
        <v>151728811.10278055</v>
      </c>
    </row>
    <row r="100" spans="1:12">
      <c r="A100" s="34">
        <v>177</v>
      </c>
      <c r="B100" s="17">
        <v>47880</v>
      </c>
      <c r="C100" s="26">
        <f t="shared" si="13"/>
        <v>151728811.10278055</v>
      </c>
      <c r="D100" s="26"/>
      <c r="E100" s="23">
        <f>Additions!J184*$C$5</f>
        <v>0</v>
      </c>
      <c r="F100" s="23">
        <f t="shared" si="14"/>
        <v>948305.06939237833</v>
      </c>
      <c r="G100" s="23">
        <f t="shared" si="15"/>
        <v>2221764.2990271896</v>
      </c>
      <c r="H100" s="35">
        <f t="shared" si="16"/>
        <v>-1273459.2296348112</v>
      </c>
      <c r="I100" s="35"/>
      <c r="J100" s="20">
        <f t="shared" si="17"/>
        <v>267426.43822331034</v>
      </c>
      <c r="K100" s="37"/>
      <c r="L100" s="26">
        <f t="shared" si="18"/>
        <v>150722778.31136906</v>
      </c>
    </row>
    <row r="101" spans="1:12">
      <c r="A101" s="34">
        <v>178</v>
      </c>
      <c r="B101" s="17">
        <v>47908</v>
      </c>
      <c r="C101" s="26">
        <f t="shared" si="13"/>
        <v>150722778.31136906</v>
      </c>
      <c r="D101" s="26"/>
      <c r="E101" s="23">
        <f>Additions!J185*$C$5</f>
        <v>0</v>
      </c>
      <c r="F101" s="23">
        <f t="shared" si="14"/>
        <v>942017.36444605654</v>
      </c>
      <c r="G101" s="23">
        <f t="shared" si="15"/>
        <v>2221764.2990271896</v>
      </c>
      <c r="H101" s="35">
        <f t="shared" si="16"/>
        <v>-1279746.9345811331</v>
      </c>
      <c r="I101" s="35"/>
      <c r="J101" s="20">
        <f t="shared" si="17"/>
        <v>268746.85626203794</v>
      </c>
      <c r="K101" s="37"/>
      <c r="L101" s="26">
        <f t="shared" si="18"/>
        <v>149711778.23304993</v>
      </c>
    </row>
    <row r="102" spans="1:12">
      <c r="A102" s="34">
        <v>179</v>
      </c>
      <c r="B102" s="17">
        <v>47939</v>
      </c>
      <c r="C102" s="26">
        <f t="shared" si="13"/>
        <v>149711778.23304993</v>
      </c>
      <c r="D102" s="26"/>
      <c r="E102" s="23">
        <f>Additions!J186*$C$5</f>
        <v>0</v>
      </c>
      <c r="F102" s="23">
        <f t="shared" si="14"/>
        <v>935698.61395656201</v>
      </c>
      <c r="G102" s="23">
        <f t="shared" si="15"/>
        <v>2221764.2990271896</v>
      </c>
      <c r="H102" s="35">
        <f t="shared" si="16"/>
        <v>-1286065.6850706276</v>
      </c>
      <c r="I102" s="35"/>
      <c r="J102" s="20">
        <f t="shared" si="17"/>
        <v>270073.79386483179</v>
      </c>
      <c r="K102" s="37"/>
      <c r="L102" s="26">
        <f t="shared" si="18"/>
        <v>148695786.34184414</v>
      </c>
    </row>
    <row r="103" spans="1:12">
      <c r="A103" s="34">
        <v>180</v>
      </c>
      <c r="B103" s="17">
        <v>47969</v>
      </c>
      <c r="C103" s="26">
        <f t="shared" si="13"/>
        <v>148695786.34184414</v>
      </c>
      <c r="D103" s="26"/>
      <c r="E103" s="23">
        <f>Additions!J187*$C$5</f>
        <v>0</v>
      </c>
      <c r="F103" s="23">
        <f t="shared" si="14"/>
        <v>929348.66463652579</v>
      </c>
      <c r="G103" s="23">
        <f t="shared" si="15"/>
        <v>2221764.2990271896</v>
      </c>
      <c r="H103" s="35">
        <f t="shared" si="16"/>
        <v>-1292415.6343906638</v>
      </c>
      <c r="I103" s="35"/>
      <c r="J103" s="20">
        <f t="shared" si="17"/>
        <v>271407.2832220394</v>
      </c>
      <c r="K103" s="37"/>
      <c r="L103" s="26">
        <f t="shared" si="18"/>
        <v>147674777.99067554</v>
      </c>
    </row>
    <row r="104" spans="1:12">
      <c r="A104" s="34">
        <v>181</v>
      </c>
      <c r="B104" s="17">
        <v>48000</v>
      </c>
      <c r="C104" s="26">
        <f t="shared" si="13"/>
        <v>147674777.99067554</v>
      </c>
      <c r="D104" s="26"/>
      <c r="E104" s="23">
        <f>Additions!J188*$C$5</f>
        <v>0</v>
      </c>
      <c r="F104" s="23">
        <f t="shared" si="14"/>
        <v>922967.36244172207</v>
      </c>
      <c r="G104" s="23">
        <f t="shared" si="15"/>
        <v>2221764.2990271896</v>
      </c>
      <c r="H104" s="35">
        <f t="shared" si="16"/>
        <v>-1298796.9365854675</v>
      </c>
      <c r="I104" s="35"/>
      <c r="J104" s="20">
        <f t="shared" si="17"/>
        <v>272747.35668294819</v>
      </c>
      <c r="K104" s="37"/>
      <c r="L104" s="26">
        <f t="shared" si="18"/>
        <v>146648728.41077304</v>
      </c>
    </row>
    <row r="105" spans="1:12">
      <c r="A105" s="34">
        <v>182</v>
      </c>
      <c r="B105" s="17">
        <v>48030</v>
      </c>
      <c r="C105" s="26">
        <f t="shared" si="13"/>
        <v>146648728.41077304</v>
      </c>
      <c r="D105" s="26"/>
      <c r="E105" s="23">
        <f>Additions!J189*$C$5</f>
        <v>0</v>
      </c>
      <c r="F105" s="23">
        <f t="shared" si="14"/>
        <v>916554.55256733147</v>
      </c>
      <c r="G105" s="23">
        <f t="shared" si="15"/>
        <v>2221764.2990271896</v>
      </c>
      <c r="H105" s="35">
        <f t="shared" si="16"/>
        <v>-1305209.746459858</v>
      </c>
      <c r="I105" s="35"/>
      <c r="J105" s="20">
        <f t="shared" si="17"/>
        <v>274094.04675657017</v>
      </c>
      <c r="K105" s="37"/>
      <c r="L105" s="26">
        <f t="shared" si="18"/>
        <v>145617612.71106976</v>
      </c>
    </row>
    <row r="106" spans="1:12">
      <c r="A106" s="34">
        <v>183</v>
      </c>
      <c r="B106" s="17">
        <v>48061</v>
      </c>
      <c r="C106" s="26">
        <f t="shared" si="13"/>
        <v>145617612.71106976</v>
      </c>
      <c r="D106" s="26"/>
      <c r="E106" s="23">
        <f>Additions!J190*$C$5</f>
        <v>0</v>
      </c>
      <c r="F106" s="23">
        <f t="shared" si="14"/>
        <v>910110.07944418595</v>
      </c>
      <c r="G106" s="23">
        <f t="shared" si="15"/>
        <v>2221764.2990271896</v>
      </c>
      <c r="H106" s="35">
        <f t="shared" si="16"/>
        <v>-1311654.2195830038</v>
      </c>
      <c r="I106" s="35"/>
      <c r="J106" s="20">
        <f t="shared" si="17"/>
        <v>275447.38611243077</v>
      </c>
      <c r="K106" s="37"/>
      <c r="L106" s="26">
        <f t="shared" si="18"/>
        <v>144581405.87759921</v>
      </c>
    </row>
    <row r="107" spans="1:12">
      <c r="A107" s="34">
        <v>184</v>
      </c>
      <c r="B107" s="17">
        <v>48092</v>
      </c>
      <c r="C107" s="26">
        <f t="shared" si="13"/>
        <v>144581405.87759921</v>
      </c>
      <c r="D107" s="26"/>
      <c r="E107" s="23">
        <f>Additions!J191*$C$5</f>
        <v>0</v>
      </c>
      <c r="F107" s="23">
        <f t="shared" si="14"/>
        <v>903633.78673499497</v>
      </c>
      <c r="G107" s="23">
        <f t="shared" si="15"/>
        <v>2221764.2990271896</v>
      </c>
      <c r="H107" s="35">
        <f t="shared" si="16"/>
        <v>-1318130.5122921946</v>
      </c>
      <c r="I107" s="35"/>
      <c r="J107" s="20">
        <f t="shared" si="17"/>
        <v>276807.40758136089</v>
      </c>
      <c r="K107" s="37"/>
      <c r="L107" s="26">
        <f t="shared" si="18"/>
        <v>143540082.77288839</v>
      </c>
    </row>
    <row r="108" spans="1:12">
      <c r="A108" s="34">
        <v>185</v>
      </c>
      <c r="B108" s="17">
        <v>48122</v>
      </c>
      <c r="C108" s="26">
        <f t="shared" si="13"/>
        <v>143540082.77288839</v>
      </c>
      <c r="D108" s="26"/>
      <c r="E108" s="23">
        <f>Additions!J192*$C$5</f>
        <v>0</v>
      </c>
      <c r="F108" s="23">
        <f t="shared" si="14"/>
        <v>897125.51733055233</v>
      </c>
      <c r="G108" s="23">
        <f t="shared" si="15"/>
        <v>2221764.2990271896</v>
      </c>
      <c r="H108" s="35">
        <f t="shared" si="16"/>
        <v>-1324638.7816966372</v>
      </c>
      <c r="I108" s="35"/>
      <c r="J108" s="20">
        <f t="shared" si="17"/>
        <v>278174.14415629377</v>
      </c>
      <c r="K108" s="37"/>
      <c r="L108" s="26">
        <f t="shared" si="18"/>
        <v>142493618.13534805</v>
      </c>
    </row>
    <row r="109" spans="1:12">
      <c r="A109" s="34">
        <v>186</v>
      </c>
      <c r="B109" s="17">
        <v>48153</v>
      </c>
      <c r="C109" s="26">
        <f t="shared" si="13"/>
        <v>142493618.13534805</v>
      </c>
      <c r="D109" s="26"/>
      <c r="E109" s="23">
        <f>Additions!J193*$C$5</f>
        <v>0</v>
      </c>
      <c r="F109" s="23">
        <f t="shared" si="14"/>
        <v>890585.11334592523</v>
      </c>
      <c r="G109" s="23">
        <f t="shared" si="15"/>
        <v>2221764.2990271896</v>
      </c>
      <c r="H109" s="35">
        <f t="shared" si="16"/>
        <v>-1331179.1856812644</v>
      </c>
      <c r="I109" s="35"/>
      <c r="J109" s="20">
        <f t="shared" si="17"/>
        <v>279547.6289930655</v>
      </c>
      <c r="K109" s="37"/>
      <c r="L109" s="26">
        <f t="shared" si="18"/>
        <v>141441986.57865986</v>
      </c>
    </row>
    <row r="110" spans="1:12">
      <c r="A110" s="34">
        <v>187</v>
      </c>
      <c r="B110" s="17">
        <v>48183</v>
      </c>
      <c r="C110" s="26">
        <f t="shared" si="13"/>
        <v>141441986.57865986</v>
      </c>
      <c r="D110" s="26"/>
      <c r="E110" s="23">
        <f>Additions!J194*$C$5</f>
        <v>0</v>
      </c>
      <c r="F110" s="23">
        <f t="shared" si="14"/>
        <v>884012.41611662402</v>
      </c>
      <c r="G110" s="23">
        <f t="shared" si="15"/>
        <v>2221764.2990271896</v>
      </c>
      <c r="H110" s="35">
        <f t="shared" si="16"/>
        <v>-1337751.8829105655</v>
      </c>
      <c r="I110" s="35"/>
      <c r="J110" s="20">
        <f t="shared" si="17"/>
        <v>280927.89541121875</v>
      </c>
      <c r="K110" s="37"/>
      <c r="L110" s="26">
        <f t="shared" si="18"/>
        <v>140385162.59116051</v>
      </c>
    </row>
    <row r="111" spans="1:12">
      <c r="A111" s="34">
        <v>188</v>
      </c>
      <c r="B111" s="17">
        <v>48214</v>
      </c>
      <c r="C111" s="26">
        <f t="shared" si="13"/>
        <v>140385162.59116051</v>
      </c>
      <c r="D111" s="26"/>
      <c r="E111" s="23">
        <f>Additions!J195*$C$5</f>
        <v>0</v>
      </c>
      <c r="F111" s="23">
        <f t="shared" si="14"/>
        <v>877407.26619475312</v>
      </c>
      <c r="G111" s="23">
        <f t="shared" si="15"/>
        <v>2221764.2990271896</v>
      </c>
      <c r="H111" s="35">
        <f t="shared" si="16"/>
        <v>-1344357.0328324365</v>
      </c>
      <c r="I111" s="35"/>
      <c r="J111" s="20">
        <f t="shared" si="17"/>
        <v>282314.97689481167</v>
      </c>
      <c r="K111" s="37"/>
      <c r="L111" s="26">
        <f t="shared" si="18"/>
        <v>139323120.53522292</v>
      </c>
    </row>
    <row r="112" spans="1:12">
      <c r="A112" s="34">
        <v>189</v>
      </c>
      <c r="B112" s="17">
        <v>48245</v>
      </c>
      <c r="C112" s="26">
        <f t="shared" si="13"/>
        <v>139323120.53522292</v>
      </c>
      <c r="D112" s="26"/>
      <c r="E112" s="23">
        <f>Additions!J196*$C$5</f>
        <v>0</v>
      </c>
      <c r="F112" s="23">
        <f t="shared" si="14"/>
        <v>870769.50334514317</v>
      </c>
      <c r="G112" s="23">
        <f t="shared" si="15"/>
        <v>2221764.2990271896</v>
      </c>
      <c r="H112" s="35">
        <f t="shared" si="16"/>
        <v>-1350994.7956820466</v>
      </c>
      <c r="I112" s="35"/>
      <c r="J112" s="20">
        <f t="shared" si="17"/>
        <v>283708.90709322976</v>
      </c>
      <c r="K112" s="37"/>
      <c r="L112" s="26">
        <f t="shared" si="18"/>
        <v>138255834.6466341</v>
      </c>
    </row>
    <row r="113" spans="1:12">
      <c r="A113" s="34">
        <v>190</v>
      </c>
      <c r="B113" s="17">
        <v>48274</v>
      </c>
      <c r="C113" s="26">
        <f t="shared" si="13"/>
        <v>138255834.6466341</v>
      </c>
      <c r="D113" s="26"/>
      <c r="E113" s="23">
        <f>Additions!J197*$C$5</f>
        <v>0</v>
      </c>
      <c r="F113" s="23">
        <f t="shared" si="14"/>
        <v>864098.96654146304</v>
      </c>
      <c r="G113" s="23">
        <f t="shared" si="15"/>
        <v>2221764.2990271896</v>
      </c>
      <c r="H113" s="35">
        <f t="shared" si="16"/>
        <v>-1357665.3324857266</v>
      </c>
      <c r="I113" s="35"/>
      <c r="J113" s="20">
        <f t="shared" si="17"/>
        <v>285109.71982200257</v>
      </c>
      <c r="K113" s="37"/>
      <c r="L113" s="26">
        <f t="shared" si="18"/>
        <v>137183279.03397036</v>
      </c>
    </row>
    <row r="114" spans="1:12">
      <c r="A114" s="34">
        <v>191</v>
      </c>
      <c r="B114" s="17">
        <v>48305</v>
      </c>
      <c r="C114" s="26">
        <f t="shared" si="13"/>
        <v>137183279.03397036</v>
      </c>
      <c r="D114" s="26"/>
      <c r="E114" s="23">
        <f>Additions!J198*$C$5</f>
        <v>0</v>
      </c>
      <c r="F114" s="23">
        <f t="shared" si="14"/>
        <v>857395.49396231468</v>
      </c>
      <c r="G114" s="23">
        <f t="shared" si="15"/>
        <v>2221764.2990271896</v>
      </c>
      <c r="H114" s="35">
        <f t="shared" si="16"/>
        <v>-1364368.8050648749</v>
      </c>
      <c r="I114" s="35"/>
      <c r="J114" s="20">
        <f t="shared" si="17"/>
        <v>286517.44906362373</v>
      </c>
      <c r="K114" s="37"/>
      <c r="L114" s="26">
        <f t="shared" si="18"/>
        <v>136105427.67796913</v>
      </c>
    </row>
    <row r="115" spans="1:12">
      <c r="A115" s="34">
        <v>192</v>
      </c>
      <c r="B115" s="17">
        <v>48335</v>
      </c>
      <c r="C115" s="26">
        <f t="shared" si="13"/>
        <v>136105427.67796913</v>
      </c>
      <c r="D115" s="26"/>
      <c r="E115" s="23">
        <f>Additions!J199*$C$5</f>
        <v>0</v>
      </c>
      <c r="F115" s="23">
        <f t="shared" si="14"/>
        <v>850658.92298730696</v>
      </c>
      <c r="G115" s="23">
        <f t="shared" si="15"/>
        <v>2221764.2990271896</v>
      </c>
      <c r="H115" s="35">
        <f t="shared" si="16"/>
        <v>-1371105.3760398827</v>
      </c>
      <c r="I115" s="35"/>
      <c r="J115" s="20">
        <f t="shared" si="17"/>
        <v>287932.12896837533</v>
      </c>
      <c r="K115" s="37"/>
      <c r="L115" s="26">
        <f t="shared" si="18"/>
        <v>135022254.43089762</v>
      </c>
    </row>
    <row r="116" spans="1:12">
      <c r="A116" s="34">
        <v>193</v>
      </c>
      <c r="B116" s="17">
        <v>48366</v>
      </c>
      <c r="C116" s="26">
        <f t="shared" si="13"/>
        <v>135022254.43089762</v>
      </c>
      <c r="D116" s="26"/>
      <c r="E116" s="23">
        <f>Additions!J200*$C$5</f>
        <v>0</v>
      </c>
      <c r="F116" s="23">
        <f t="shared" si="14"/>
        <v>843889.09019311005</v>
      </c>
      <c r="G116" s="23">
        <f t="shared" si="15"/>
        <v>2221764.2990271896</v>
      </c>
      <c r="H116" s="35">
        <f t="shared" si="16"/>
        <v>-1377875.2088340796</v>
      </c>
      <c r="I116" s="35"/>
      <c r="J116" s="20">
        <f t="shared" si="17"/>
        <v>289353.79385515669</v>
      </c>
      <c r="K116" s="37"/>
      <c r="L116" s="26">
        <f t="shared" si="18"/>
        <v>133933733.01591872</v>
      </c>
    </row>
    <row r="117" spans="1:12">
      <c r="A117" s="34">
        <v>194</v>
      </c>
      <c r="B117" s="17">
        <v>48396</v>
      </c>
      <c r="C117" s="26">
        <f t="shared" si="13"/>
        <v>133933733.01591872</v>
      </c>
      <c r="D117" s="26"/>
      <c r="E117" s="23">
        <f>Additions!J201*$C$5</f>
        <v>0</v>
      </c>
      <c r="F117" s="23">
        <f t="shared" si="14"/>
        <v>837085.83134949196</v>
      </c>
      <c r="G117" s="23">
        <f t="shared" si="15"/>
        <v>2221764.2990271896</v>
      </c>
      <c r="H117" s="35">
        <f t="shared" si="16"/>
        <v>-1384678.4676776975</v>
      </c>
      <c r="I117" s="35"/>
      <c r="J117" s="20">
        <f t="shared" si="17"/>
        <v>290782.47821231646</v>
      </c>
      <c r="K117" s="37"/>
      <c r="L117" s="26">
        <f t="shared" si="18"/>
        <v>132839837.02645332</v>
      </c>
    </row>
    <row r="118" spans="1:12">
      <c r="A118" s="34">
        <v>195</v>
      </c>
      <c r="B118" s="17">
        <v>48427</v>
      </c>
      <c r="C118" s="26">
        <f t="shared" si="13"/>
        <v>132839837.02645332</v>
      </c>
      <c r="D118" s="26"/>
      <c r="E118" s="23">
        <f>Additions!J202*$C$5</f>
        <v>0</v>
      </c>
      <c r="F118" s="23">
        <f t="shared" si="14"/>
        <v>830248.98141533311</v>
      </c>
      <c r="G118" s="23">
        <f t="shared" si="15"/>
        <v>2221764.2990271896</v>
      </c>
      <c r="H118" s="35">
        <f t="shared" si="16"/>
        <v>-1391515.3176118564</v>
      </c>
      <c r="I118" s="35"/>
      <c r="J118" s="20">
        <f t="shared" si="17"/>
        <v>292218.21669848985</v>
      </c>
      <c r="K118" s="37"/>
      <c r="L118" s="26">
        <f t="shared" si="18"/>
        <v>131740539.92553994</v>
      </c>
    </row>
    <row r="119" spans="1:12">
      <c r="A119" s="34">
        <v>196</v>
      </c>
      <c r="B119" s="17">
        <v>48458</v>
      </c>
      <c r="C119" s="26">
        <f t="shared" si="13"/>
        <v>131740539.92553994</v>
      </c>
      <c r="D119" s="26"/>
      <c r="E119" s="23">
        <f>Additions!J203*$C$5</f>
        <v>0</v>
      </c>
      <c r="F119" s="23">
        <f t="shared" si="14"/>
        <v>823378.37453462451</v>
      </c>
      <c r="G119" s="23">
        <f t="shared" si="15"/>
        <v>2221764.2990271896</v>
      </c>
      <c r="H119" s="35">
        <f t="shared" si="16"/>
        <v>-1398385.924492565</v>
      </c>
      <c r="I119" s="35"/>
      <c r="J119" s="20">
        <f t="shared" si="17"/>
        <v>293661.04414343863</v>
      </c>
      <c r="K119" s="37"/>
      <c r="L119" s="26">
        <f t="shared" si="18"/>
        <v>130635815.04519081</v>
      </c>
    </row>
    <row r="120" spans="1:12">
      <c r="A120" s="34">
        <v>197</v>
      </c>
      <c r="B120" s="17">
        <v>48488</v>
      </c>
      <c r="C120" s="26">
        <f t="shared" si="13"/>
        <v>130635815.04519081</v>
      </c>
      <c r="D120" s="26"/>
      <c r="E120" s="23">
        <f>Additions!J204*$C$5</f>
        <v>0</v>
      </c>
      <c r="F120" s="23">
        <f t="shared" si="14"/>
        <v>816473.84403244255</v>
      </c>
      <c r="G120" s="23">
        <f t="shared" si="15"/>
        <v>2221764.2990271896</v>
      </c>
      <c r="H120" s="35">
        <f t="shared" si="16"/>
        <v>-1405290.4549947469</v>
      </c>
      <c r="I120" s="35"/>
      <c r="J120" s="20">
        <f t="shared" si="17"/>
        <v>295110.99554889684</v>
      </c>
      <c r="K120" s="37"/>
      <c r="L120" s="26">
        <f t="shared" si="18"/>
        <v>129525635.58574496</v>
      </c>
    </row>
    <row r="121" spans="1:12">
      <c r="A121" s="34">
        <v>198</v>
      </c>
      <c r="B121" s="17">
        <v>48519</v>
      </c>
      <c r="C121" s="26">
        <f t="shared" si="13"/>
        <v>129525635.58574496</v>
      </c>
      <c r="D121" s="26"/>
      <c r="E121" s="23">
        <f>Additions!J205*$C$5</f>
        <v>0</v>
      </c>
      <c r="F121" s="23">
        <f t="shared" si="14"/>
        <v>809535.22241090599</v>
      </c>
      <c r="G121" s="23">
        <f t="shared" si="15"/>
        <v>2221764.2990271896</v>
      </c>
      <c r="H121" s="35">
        <f t="shared" si="16"/>
        <v>-1412229.0766162835</v>
      </c>
      <c r="I121" s="35"/>
      <c r="J121" s="20">
        <f t="shared" si="17"/>
        <v>296568.10608941951</v>
      </c>
      <c r="K121" s="37"/>
      <c r="L121" s="26">
        <f t="shared" si="18"/>
        <v>128409974.61521809</v>
      </c>
    </row>
    <row r="122" spans="1:12">
      <c r="A122" s="34">
        <v>199</v>
      </c>
      <c r="B122" s="17">
        <v>48549</v>
      </c>
      <c r="C122" s="26">
        <f t="shared" si="13"/>
        <v>128409974.61521809</v>
      </c>
      <c r="D122" s="26"/>
      <c r="E122" s="23">
        <f>Additions!J206*$C$5</f>
        <v>0</v>
      </c>
      <c r="F122" s="23">
        <f t="shared" si="14"/>
        <v>802562.341345113</v>
      </c>
      <c r="G122" s="23">
        <f t="shared" si="15"/>
        <v>2221764.2990271896</v>
      </c>
      <c r="H122" s="35">
        <f t="shared" si="16"/>
        <v>-1419201.9576820766</v>
      </c>
      <c r="I122" s="35"/>
      <c r="J122" s="20">
        <f t="shared" si="17"/>
        <v>298032.4111132361</v>
      </c>
      <c r="K122" s="37"/>
      <c r="L122" s="26">
        <f t="shared" si="18"/>
        <v>127288805.06864925</v>
      </c>
    </row>
    <row r="123" spans="1:12">
      <c r="A123" s="34">
        <v>200</v>
      </c>
      <c r="B123" s="17">
        <v>48580</v>
      </c>
      <c r="C123" s="26">
        <f t="shared" si="13"/>
        <v>127288805.06864925</v>
      </c>
      <c r="D123" s="26"/>
      <c r="E123" s="23">
        <f>Additions!J207*$C$5</f>
        <v>0</v>
      </c>
      <c r="F123" s="23">
        <f t="shared" si="14"/>
        <v>795555.03167905775</v>
      </c>
      <c r="G123" s="23">
        <f t="shared" si="15"/>
        <v>2221764.2990271896</v>
      </c>
      <c r="H123" s="35">
        <f t="shared" si="16"/>
        <v>-1426209.2673481319</v>
      </c>
      <c r="I123" s="35"/>
      <c r="J123" s="20">
        <f t="shared" si="17"/>
        <v>299503.94614310766</v>
      </c>
      <c r="K123" s="37"/>
      <c r="L123" s="26">
        <f t="shared" si="18"/>
        <v>126162099.74744423</v>
      </c>
    </row>
    <row r="124" spans="1:12">
      <c r="A124" s="34">
        <v>201</v>
      </c>
      <c r="B124" s="17">
        <v>48611</v>
      </c>
      <c r="C124" s="26">
        <f t="shared" si="13"/>
        <v>126162099.74744423</v>
      </c>
      <c r="D124" s="26"/>
      <c r="E124" s="23">
        <f>Additions!J208*$C$5</f>
        <v>0</v>
      </c>
      <c r="F124" s="23">
        <f t="shared" si="14"/>
        <v>788513.1234215264</v>
      </c>
      <c r="G124" s="23">
        <f t="shared" si="15"/>
        <v>2221764.2990271896</v>
      </c>
      <c r="H124" s="35">
        <f t="shared" si="16"/>
        <v>-1433251.1756056631</v>
      </c>
      <c r="I124" s="35"/>
      <c r="J124" s="20">
        <f t="shared" si="17"/>
        <v>300982.74687718926</v>
      </c>
      <c r="K124" s="37"/>
      <c r="L124" s="26">
        <f t="shared" si="18"/>
        <v>125029831.31871575</v>
      </c>
    </row>
    <row r="125" spans="1:12">
      <c r="A125" s="34">
        <v>202</v>
      </c>
      <c r="B125" s="17">
        <v>48639</v>
      </c>
      <c r="C125" s="26">
        <f t="shared" si="13"/>
        <v>125029831.31871575</v>
      </c>
      <c r="D125" s="26"/>
      <c r="E125" s="23">
        <f>Additions!J209*$C$5</f>
        <v>0</v>
      </c>
      <c r="F125" s="23">
        <f t="shared" si="14"/>
        <v>781436.44574197335</v>
      </c>
      <c r="G125" s="23">
        <f t="shared" si="15"/>
        <v>2221764.2990271896</v>
      </c>
      <c r="H125" s="35">
        <f t="shared" si="16"/>
        <v>-1440327.8532852163</v>
      </c>
      <c r="I125" s="35"/>
      <c r="J125" s="20">
        <f t="shared" si="17"/>
        <v>302468.84918989538</v>
      </c>
      <c r="K125" s="37"/>
      <c r="L125" s="26">
        <f t="shared" si="18"/>
        <v>123891972.31462042</v>
      </c>
    </row>
    <row r="126" spans="1:12">
      <c r="A126" s="34">
        <v>203</v>
      </c>
      <c r="B126" s="17">
        <v>48670</v>
      </c>
      <c r="C126" s="26">
        <f t="shared" si="13"/>
        <v>123891972.31462042</v>
      </c>
      <c r="D126" s="26"/>
      <c r="E126" s="23">
        <f>Additions!J210*$C$5</f>
        <v>0</v>
      </c>
      <c r="F126" s="23">
        <f t="shared" si="14"/>
        <v>774324.82696637756</v>
      </c>
      <c r="G126" s="23">
        <f t="shared" si="15"/>
        <v>2221764.2990271896</v>
      </c>
      <c r="H126" s="35">
        <f t="shared" si="16"/>
        <v>-1447439.4720608122</v>
      </c>
      <c r="I126" s="35"/>
      <c r="J126" s="20">
        <f t="shared" si="17"/>
        <v>303962.28913277056</v>
      </c>
      <c r="K126" s="37"/>
      <c r="L126" s="26">
        <f t="shared" si="18"/>
        <v>122748495.13169238</v>
      </c>
    </row>
    <row r="127" spans="1:12">
      <c r="A127" s="34">
        <v>204</v>
      </c>
      <c r="B127" s="17">
        <v>48700</v>
      </c>
      <c r="C127" s="26">
        <f t="shared" si="13"/>
        <v>122748495.13169238</v>
      </c>
      <c r="D127" s="26"/>
      <c r="E127" s="23">
        <f>Additions!J211*$C$5</f>
        <v>0</v>
      </c>
      <c r="F127" s="23">
        <f t="shared" si="14"/>
        <v>767178.09457307728</v>
      </c>
      <c r="G127" s="23">
        <f t="shared" si="15"/>
        <v>2221764.2990271896</v>
      </c>
      <c r="H127" s="35">
        <f t="shared" si="16"/>
        <v>-1454586.2044541123</v>
      </c>
      <c r="I127" s="35"/>
      <c r="J127" s="20">
        <f t="shared" si="17"/>
        <v>305463.1029353636</v>
      </c>
      <c r="K127" s="37"/>
      <c r="L127" s="26">
        <f t="shared" si="18"/>
        <v>121599372.03017363</v>
      </c>
    </row>
    <row r="128" spans="1:12">
      <c r="A128" s="34">
        <v>205</v>
      </c>
      <c r="B128" s="17">
        <v>48731</v>
      </c>
      <c r="C128" s="26">
        <f t="shared" si="13"/>
        <v>121599372.03017363</v>
      </c>
      <c r="D128" s="26"/>
      <c r="E128" s="23">
        <f>Additions!J212*$C$5</f>
        <v>0</v>
      </c>
      <c r="F128" s="23">
        <f t="shared" si="14"/>
        <v>759996.07518858509</v>
      </c>
      <c r="G128" s="23">
        <f t="shared" si="15"/>
        <v>2221764.2990271896</v>
      </c>
      <c r="H128" s="35">
        <f t="shared" si="16"/>
        <v>-1461768.2238386045</v>
      </c>
      <c r="I128" s="35"/>
      <c r="J128" s="20">
        <f t="shared" si="17"/>
        <v>306971.32700610696</v>
      </c>
      <c r="K128" s="37"/>
      <c r="L128" s="26">
        <f t="shared" si="18"/>
        <v>120444575.13334113</v>
      </c>
    </row>
    <row r="129" spans="1:12">
      <c r="A129" s="34">
        <v>206</v>
      </c>
      <c r="B129" s="17">
        <v>48761</v>
      </c>
      <c r="C129" s="26">
        <f t="shared" si="13"/>
        <v>120444575.13334113</v>
      </c>
      <c r="D129" s="26"/>
      <c r="E129" s="23">
        <f>Additions!J213*$C$5</f>
        <v>0</v>
      </c>
      <c r="F129" s="23">
        <f t="shared" si="14"/>
        <v>752778.59458338202</v>
      </c>
      <c r="G129" s="23">
        <f t="shared" si="15"/>
        <v>2221764.2990271896</v>
      </c>
      <c r="H129" s="35">
        <f t="shared" si="16"/>
        <v>-1468985.7044438077</v>
      </c>
      <c r="I129" s="35"/>
      <c r="J129" s="20">
        <f t="shared" si="17"/>
        <v>308486.99793319963</v>
      </c>
      <c r="K129" s="37"/>
      <c r="L129" s="26">
        <f t="shared" si="18"/>
        <v>119284076.42683052</v>
      </c>
    </row>
    <row r="130" spans="1:12">
      <c r="A130" s="34">
        <v>207</v>
      </c>
      <c r="B130" s="17">
        <v>48792</v>
      </c>
      <c r="C130" s="26">
        <f t="shared" si="13"/>
        <v>119284076.42683052</v>
      </c>
      <c r="D130" s="26"/>
      <c r="E130" s="23">
        <f>Additions!J214*$C$5</f>
        <v>0</v>
      </c>
      <c r="F130" s="23">
        <f t="shared" si="14"/>
        <v>745525.4776676906</v>
      </c>
      <c r="G130" s="23">
        <f t="shared" si="15"/>
        <v>2221764.2990271896</v>
      </c>
      <c r="H130" s="35">
        <f t="shared" si="16"/>
        <v>-1476238.8213594989</v>
      </c>
      <c r="I130" s="35"/>
      <c r="J130" s="20">
        <f t="shared" si="17"/>
        <v>310010.15248549473</v>
      </c>
      <c r="K130" s="37"/>
      <c r="L130" s="26">
        <f t="shared" si="18"/>
        <v>118117847.7579565</v>
      </c>
    </row>
    <row r="131" spans="1:12">
      <c r="A131" s="34">
        <v>208</v>
      </c>
      <c r="B131" s="17">
        <v>48823</v>
      </c>
      <c r="C131" s="26">
        <f t="shared" si="13"/>
        <v>118117847.7579565</v>
      </c>
      <c r="D131" s="26"/>
      <c r="E131" s="23">
        <f>Additions!J215*$C$5</f>
        <v>0</v>
      </c>
      <c r="F131" s="23">
        <f t="shared" si="14"/>
        <v>738236.54848722811</v>
      </c>
      <c r="G131" s="23">
        <f t="shared" si="15"/>
        <v>2221764.2990271896</v>
      </c>
      <c r="H131" s="35">
        <f t="shared" si="16"/>
        <v>-1483527.7505399615</v>
      </c>
      <c r="I131" s="35"/>
      <c r="J131" s="20">
        <f t="shared" si="17"/>
        <v>311540.82761339191</v>
      </c>
      <c r="K131" s="37"/>
      <c r="L131" s="26">
        <f t="shared" si="18"/>
        <v>116945860.83502994</v>
      </c>
    </row>
    <row r="132" spans="1:12">
      <c r="A132" s="34">
        <v>209</v>
      </c>
      <c r="B132" s="17">
        <v>48853</v>
      </c>
      <c r="C132" s="26">
        <f t="shared" si="13"/>
        <v>116945860.83502994</v>
      </c>
      <c r="D132" s="26"/>
      <c r="E132" s="23">
        <f>Additions!J216*$C$5</f>
        <v>0</v>
      </c>
      <c r="F132" s="23">
        <f t="shared" si="14"/>
        <v>730911.63021893706</v>
      </c>
      <c r="G132" s="23">
        <f t="shared" si="15"/>
        <v>2221764.2990271896</v>
      </c>
      <c r="H132" s="35">
        <f t="shared" si="16"/>
        <v>-1490852.6688082526</v>
      </c>
      <c r="I132" s="35"/>
      <c r="J132" s="20">
        <f t="shared" si="17"/>
        <v>313079.06044973305</v>
      </c>
      <c r="K132" s="37"/>
      <c r="L132" s="26">
        <f t="shared" si="18"/>
        <v>115768087.22667143</v>
      </c>
    </row>
    <row r="133" spans="1:12">
      <c r="A133" s="34">
        <v>210</v>
      </c>
      <c r="B133" s="17">
        <v>48884</v>
      </c>
      <c r="C133" s="26">
        <f t="shared" si="13"/>
        <v>115768087.22667143</v>
      </c>
      <c r="D133" s="26"/>
      <c r="E133" s="23">
        <f>Additions!J217*$C$5</f>
        <v>0</v>
      </c>
      <c r="F133" s="23">
        <f t="shared" si="14"/>
        <v>723550.54516669631</v>
      </c>
      <c r="G133" s="23">
        <f t="shared" si="15"/>
        <v>2221764.2990271896</v>
      </c>
      <c r="H133" s="35">
        <f t="shared" si="16"/>
        <v>-1498213.7538604932</v>
      </c>
      <c r="I133" s="35"/>
      <c r="J133" s="20">
        <f t="shared" si="17"/>
        <v>314624.88831070357</v>
      </c>
      <c r="K133" s="37"/>
      <c r="L133" s="26">
        <f t="shared" si="18"/>
        <v>114584498.36112164</v>
      </c>
    </row>
    <row r="134" spans="1:12">
      <c r="A134" s="34">
        <v>211</v>
      </c>
      <c r="B134" s="17">
        <v>48914</v>
      </c>
      <c r="C134" s="26">
        <f t="shared" si="13"/>
        <v>114584498.36112164</v>
      </c>
      <c r="D134" s="26"/>
      <c r="E134" s="23">
        <f>Additions!J218*$C$5</f>
        <v>0</v>
      </c>
      <c r="F134" s="23">
        <f t="shared" si="14"/>
        <v>716153.11475701013</v>
      </c>
      <c r="G134" s="23">
        <f t="shared" si="15"/>
        <v>2221764.2990271896</v>
      </c>
      <c r="H134" s="35">
        <f t="shared" si="16"/>
        <v>-1505611.1842701794</v>
      </c>
      <c r="I134" s="35"/>
      <c r="J134" s="20">
        <f t="shared" si="17"/>
        <v>316178.34869673767</v>
      </c>
      <c r="K134" s="37"/>
      <c r="L134" s="26">
        <f t="shared" si="18"/>
        <v>113395065.5255482</v>
      </c>
    </row>
    <row r="135" spans="1:12">
      <c r="A135" s="34">
        <v>212</v>
      </c>
      <c r="B135" s="17">
        <v>48945</v>
      </c>
      <c r="C135" s="26">
        <f t="shared" si="13"/>
        <v>113395065.5255482</v>
      </c>
      <c r="D135" s="26"/>
      <c r="E135" s="23">
        <f>Additions!J219*$C$5</f>
        <v>0</v>
      </c>
      <c r="F135" s="23">
        <f t="shared" si="14"/>
        <v>708719.15953467623</v>
      </c>
      <c r="G135" s="23">
        <f t="shared" si="15"/>
        <v>2221764.2990271896</v>
      </c>
      <c r="H135" s="35">
        <f t="shared" si="16"/>
        <v>-1513045.1394925134</v>
      </c>
      <c r="I135" s="35"/>
      <c r="J135" s="20">
        <f t="shared" si="17"/>
        <v>317739.47929342778</v>
      </c>
      <c r="K135" s="37"/>
      <c r="L135" s="26">
        <f t="shared" si="18"/>
        <v>112199759.86534911</v>
      </c>
    </row>
    <row r="136" spans="1:12">
      <c r="A136" s="34">
        <v>213</v>
      </c>
      <c r="B136" s="17">
        <v>48976</v>
      </c>
      <c r="C136" s="26">
        <f t="shared" si="13"/>
        <v>112199759.86534911</v>
      </c>
      <c r="D136" s="26"/>
      <c r="E136" s="23">
        <f>Additions!J220*$C$5</f>
        <v>0</v>
      </c>
      <c r="F136" s="23">
        <f t="shared" si="14"/>
        <v>701248.49915843189</v>
      </c>
      <c r="G136" s="23">
        <f t="shared" si="15"/>
        <v>2221764.2990271896</v>
      </c>
      <c r="H136" s="35">
        <f t="shared" si="16"/>
        <v>-1520515.7998687578</v>
      </c>
      <c r="I136" s="35"/>
      <c r="J136" s="20">
        <f t="shared" si="17"/>
        <v>319308.31797243911</v>
      </c>
      <c r="K136" s="37"/>
      <c r="L136" s="26">
        <f t="shared" si="18"/>
        <v>110998552.38345279</v>
      </c>
    </row>
    <row r="137" spans="1:12">
      <c r="A137" s="34">
        <v>214</v>
      </c>
      <c r="B137" s="17">
        <v>49004</v>
      </c>
      <c r="C137" s="26">
        <f t="shared" si="13"/>
        <v>110998552.38345279</v>
      </c>
      <c r="D137" s="26"/>
      <c r="E137" s="23">
        <f>Additions!J221*$C$5</f>
        <v>0</v>
      </c>
      <c r="F137" s="23">
        <f t="shared" si="14"/>
        <v>693740.9523965799</v>
      </c>
      <c r="G137" s="23">
        <f t="shared" si="15"/>
        <v>2221764.2990271896</v>
      </c>
      <c r="H137" s="35">
        <f t="shared" si="16"/>
        <v>-1528023.3466306096</v>
      </c>
      <c r="I137" s="35"/>
      <c r="J137" s="20">
        <f t="shared" si="17"/>
        <v>320884.90279242798</v>
      </c>
      <c r="K137" s="37"/>
      <c r="L137" s="26">
        <f t="shared" si="18"/>
        <v>109791413.93961461</v>
      </c>
    </row>
    <row r="138" spans="1:12">
      <c r="A138" s="34">
        <v>215</v>
      </c>
      <c r="B138" s="17">
        <v>49035</v>
      </c>
      <c r="C138" s="26">
        <f t="shared" si="13"/>
        <v>109791413.93961461</v>
      </c>
      <c r="D138" s="26"/>
      <c r="E138" s="23">
        <f>Additions!J222*$C$5</f>
        <v>0</v>
      </c>
      <c r="F138" s="23">
        <f t="shared" si="14"/>
        <v>686196.33712259121</v>
      </c>
      <c r="G138" s="23">
        <f t="shared" si="15"/>
        <v>2221764.2990271896</v>
      </c>
      <c r="H138" s="35">
        <f t="shared" si="16"/>
        <v>-1535567.9619045984</v>
      </c>
      <c r="I138" s="35"/>
      <c r="J138" s="20">
        <f t="shared" si="17"/>
        <v>322469.27199996565</v>
      </c>
      <c r="K138" s="37"/>
      <c r="L138" s="26">
        <f t="shared" si="18"/>
        <v>108578315.24970998</v>
      </c>
    </row>
    <row r="139" spans="1:12">
      <c r="A139" s="34">
        <v>216</v>
      </c>
      <c r="B139" s="17">
        <v>49065</v>
      </c>
      <c r="C139" s="26">
        <f t="shared" si="13"/>
        <v>108578315.24970998</v>
      </c>
      <c r="D139" s="26"/>
      <c r="E139" s="23">
        <f>Additions!J223*$C$5</f>
        <v>0</v>
      </c>
      <c r="F139" s="23">
        <f t="shared" si="14"/>
        <v>678614.47031068732</v>
      </c>
      <c r="G139" s="23">
        <f t="shared" si="15"/>
        <v>2221764.2990271896</v>
      </c>
      <c r="H139" s="35">
        <f t="shared" si="16"/>
        <v>-1543149.8287165023</v>
      </c>
      <c r="I139" s="35"/>
      <c r="J139" s="20">
        <f t="shared" si="17"/>
        <v>324061.46403046546</v>
      </c>
      <c r="K139" s="37"/>
      <c r="L139" s="26">
        <f t="shared" si="18"/>
        <v>107359226.88502394</v>
      </c>
    </row>
    <row r="140" spans="1:12">
      <c r="A140" s="34">
        <v>217</v>
      </c>
      <c r="B140" s="17">
        <v>49096</v>
      </c>
      <c r="C140" s="26">
        <f t="shared" si="13"/>
        <v>107359226.88502394</v>
      </c>
      <c r="D140" s="26"/>
      <c r="E140" s="23">
        <f>Additions!J224*$C$5</f>
        <v>0</v>
      </c>
      <c r="F140" s="23">
        <f t="shared" si="14"/>
        <v>670995.1680313996</v>
      </c>
      <c r="G140" s="23">
        <f t="shared" si="15"/>
        <v>2221764.2990271896</v>
      </c>
      <c r="H140" s="35">
        <f t="shared" si="16"/>
        <v>-1550769.13099579</v>
      </c>
      <c r="I140" s="35"/>
      <c r="J140" s="20">
        <f t="shared" si="17"/>
        <v>325661.51750911592</v>
      </c>
      <c r="K140" s="37"/>
      <c r="L140" s="26">
        <f t="shared" si="18"/>
        <v>106134119.27153726</v>
      </c>
    </row>
    <row r="141" spans="1:12">
      <c r="A141" s="34">
        <v>218</v>
      </c>
      <c r="B141" s="17">
        <v>49126</v>
      </c>
      <c r="C141" s="26">
        <f t="shared" si="13"/>
        <v>106134119.27153726</v>
      </c>
      <c r="D141" s="26"/>
      <c r="E141" s="23">
        <f>Additions!J225*$C$5</f>
        <v>0</v>
      </c>
      <c r="F141" s="23">
        <f t="shared" si="14"/>
        <v>663338.24544710782</v>
      </c>
      <c r="G141" s="23">
        <f t="shared" si="15"/>
        <v>2221764.2990271896</v>
      </c>
      <c r="H141" s="35">
        <f t="shared" si="16"/>
        <v>-1558426.0535800818</v>
      </c>
      <c r="I141" s="35"/>
      <c r="J141" s="20">
        <f t="shared" si="17"/>
        <v>327269.47125181719</v>
      </c>
      <c r="K141" s="37"/>
      <c r="L141" s="26">
        <f t="shared" si="18"/>
        <v>104902962.689209</v>
      </c>
    </row>
    <row r="142" spans="1:12">
      <c r="A142" s="34">
        <v>219</v>
      </c>
      <c r="B142" s="17">
        <v>49157</v>
      </c>
      <c r="C142" s="26">
        <f t="shared" si="13"/>
        <v>104902962.689209</v>
      </c>
      <c r="D142" s="26"/>
      <c r="E142" s="23">
        <f>Additions!J226*$C$5</f>
        <v>0</v>
      </c>
      <c r="F142" s="23">
        <f t="shared" si="14"/>
        <v>655643.51680755615</v>
      </c>
      <c r="G142" s="23">
        <f t="shared" si="15"/>
        <v>2221764.2990271896</v>
      </c>
      <c r="H142" s="35">
        <f t="shared" si="16"/>
        <v>-1566120.7822196335</v>
      </c>
      <c r="I142" s="35"/>
      <c r="J142" s="20">
        <f t="shared" si="17"/>
        <v>328885.36426612304</v>
      </c>
      <c r="K142" s="37"/>
      <c r="L142" s="26">
        <f t="shared" si="18"/>
        <v>103665727.27125549</v>
      </c>
    </row>
    <row r="143" spans="1:12">
      <c r="A143" s="34">
        <v>220</v>
      </c>
      <c r="B143" s="17">
        <v>49188</v>
      </c>
      <c r="C143" s="26">
        <f t="shared" si="13"/>
        <v>103665727.27125549</v>
      </c>
      <c r="D143" s="26"/>
      <c r="E143" s="23">
        <f>Additions!J227*$C$5</f>
        <v>0</v>
      </c>
      <c r="F143" s="23">
        <f t="shared" si="14"/>
        <v>647910.79544534674</v>
      </c>
      <c r="G143" s="23">
        <f t="shared" si="15"/>
        <v>2221764.2990271896</v>
      </c>
      <c r="H143" s="35">
        <f t="shared" si="16"/>
        <v>-1573853.5035818429</v>
      </c>
      <c r="I143" s="35"/>
      <c r="J143" s="20">
        <f t="shared" si="17"/>
        <v>330509.23575218697</v>
      </c>
      <c r="K143" s="37"/>
      <c r="L143" s="26">
        <f t="shared" si="18"/>
        <v>102422383.00342584</v>
      </c>
    </row>
    <row r="144" spans="1:12">
      <c r="A144" s="34">
        <v>221</v>
      </c>
      <c r="B144" s="17">
        <v>49218</v>
      </c>
      <c r="C144" s="26">
        <f t="shared" si="13"/>
        <v>102422383.00342584</v>
      </c>
      <c r="D144" s="26"/>
      <c r="E144" s="23">
        <f>Additions!J228*$C$5</f>
        <v>0</v>
      </c>
      <c r="F144" s="23">
        <f t="shared" si="14"/>
        <v>640139.89377141139</v>
      </c>
      <c r="G144" s="23">
        <f t="shared" si="15"/>
        <v>2221764.2990271896</v>
      </c>
      <c r="H144" s="35">
        <f t="shared" si="16"/>
        <v>-1581624.4052557782</v>
      </c>
      <c r="I144" s="35"/>
      <c r="J144" s="20">
        <f t="shared" si="17"/>
        <v>332141.12510371342</v>
      </c>
      <c r="K144" s="37"/>
      <c r="L144" s="26">
        <f t="shared" si="18"/>
        <v>101172899.72327377</v>
      </c>
    </row>
    <row r="145" spans="1:12">
      <c r="A145" s="34">
        <v>222</v>
      </c>
      <c r="B145" s="17">
        <v>49249</v>
      </c>
      <c r="C145" s="26">
        <f t="shared" si="13"/>
        <v>101172899.72327377</v>
      </c>
      <c r="D145" s="26"/>
      <c r="E145" s="23">
        <f>Additions!J229*$C$5</f>
        <v>0</v>
      </c>
      <c r="F145" s="23">
        <f t="shared" si="14"/>
        <v>632330.62327046099</v>
      </c>
      <c r="G145" s="23">
        <f t="shared" si="15"/>
        <v>2221764.2990271896</v>
      </c>
      <c r="H145" s="35">
        <f t="shared" si="16"/>
        <v>-1589433.6757567287</v>
      </c>
      <c r="I145" s="35"/>
      <c r="J145" s="20">
        <f t="shared" si="17"/>
        <v>333781.07190891303</v>
      </c>
      <c r="K145" s="37"/>
      <c r="L145" s="26">
        <f t="shared" si="18"/>
        <v>99917247.119425952</v>
      </c>
    </row>
    <row r="146" spans="1:12">
      <c r="A146" s="34">
        <v>223</v>
      </c>
      <c r="B146" s="17">
        <v>49279</v>
      </c>
      <c r="C146" s="26">
        <f t="shared" si="13"/>
        <v>99917247.119425952</v>
      </c>
      <c r="D146" s="26"/>
      <c r="E146" s="23">
        <f>Additions!J230*$C$5</f>
        <v>0</v>
      </c>
      <c r="F146" s="23">
        <f t="shared" si="14"/>
        <v>624482.79449641216</v>
      </c>
      <c r="G146" s="23">
        <f t="shared" si="15"/>
        <v>2221764.2990271896</v>
      </c>
      <c r="H146" s="35">
        <f t="shared" si="16"/>
        <v>-1597281.5045307775</v>
      </c>
      <c r="I146" s="35"/>
      <c r="J146" s="20">
        <f t="shared" si="17"/>
        <v>335429.11595146323</v>
      </c>
      <c r="K146" s="37"/>
      <c r="L146" s="26">
        <f t="shared" si="18"/>
        <v>98655394.730846643</v>
      </c>
    </row>
    <row r="147" spans="1:12">
      <c r="A147" s="34">
        <v>224</v>
      </c>
      <c r="B147" s="17">
        <v>49310</v>
      </c>
      <c r="C147" s="26">
        <f t="shared" si="13"/>
        <v>98655394.730846643</v>
      </c>
      <c r="D147" s="26"/>
      <c r="E147" s="23">
        <f>Additions!J231*$C$5</f>
        <v>0</v>
      </c>
      <c r="F147" s="23">
        <f t="shared" si="14"/>
        <v>616596.2170677915</v>
      </c>
      <c r="G147" s="23">
        <f t="shared" si="15"/>
        <v>2221764.2990271896</v>
      </c>
      <c r="H147" s="35">
        <f t="shared" si="16"/>
        <v>-1605168.081959398</v>
      </c>
      <c r="I147" s="35"/>
      <c r="J147" s="20">
        <f t="shared" si="17"/>
        <v>337085.29721147357</v>
      </c>
      <c r="K147" s="37"/>
      <c r="L147" s="26">
        <f t="shared" si="18"/>
        <v>97387311.946098715</v>
      </c>
    </row>
    <row r="148" spans="1:12">
      <c r="A148" s="34">
        <v>225</v>
      </c>
      <c r="B148" s="17">
        <v>49341</v>
      </c>
      <c r="C148" s="26">
        <f t="shared" si="13"/>
        <v>97387311.946098715</v>
      </c>
      <c r="D148" s="26"/>
      <c r="E148" s="23">
        <f>Additions!J232*$C$5</f>
        <v>0</v>
      </c>
      <c r="F148" s="23">
        <f t="shared" si="14"/>
        <v>608670.69966311695</v>
      </c>
      <c r="G148" s="23">
        <f t="shared" si="15"/>
        <v>2221764.2990271896</v>
      </c>
      <c r="H148" s="35">
        <f t="shared" si="16"/>
        <v>-1613093.5993640726</v>
      </c>
      <c r="I148" s="35"/>
      <c r="J148" s="20">
        <f t="shared" si="17"/>
        <v>338749.65586645523</v>
      </c>
      <c r="K148" s="37"/>
      <c r="L148" s="26">
        <f t="shared" si="18"/>
        <v>96112968.002601102</v>
      </c>
    </row>
    <row r="149" spans="1:12">
      <c r="A149" s="34">
        <v>226</v>
      </c>
      <c r="B149" s="17">
        <v>49369</v>
      </c>
      <c r="C149" s="26">
        <f t="shared" si="13"/>
        <v>96112968.002601102</v>
      </c>
      <c r="D149" s="26"/>
      <c r="E149" s="23">
        <f>Additions!J233*$C$5</f>
        <v>0</v>
      </c>
      <c r="F149" s="23">
        <f t="shared" si="14"/>
        <v>600706.05001625686</v>
      </c>
      <c r="G149" s="23">
        <f t="shared" si="15"/>
        <v>2221764.2990271896</v>
      </c>
      <c r="H149" s="35">
        <f t="shared" si="16"/>
        <v>-1621058.2490109326</v>
      </c>
      <c r="I149" s="35"/>
      <c r="J149" s="20">
        <f t="shared" si="17"/>
        <v>340422.23229229584</v>
      </c>
      <c r="K149" s="37"/>
      <c r="L149" s="26">
        <f t="shared" si="18"/>
        <v>94832331.985882461</v>
      </c>
    </row>
    <row r="150" spans="1:12">
      <c r="A150" s="34">
        <v>227</v>
      </c>
      <c r="B150" s="17">
        <v>49400</v>
      </c>
      <c r="C150" s="26">
        <f t="shared" si="13"/>
        <v>94832331.985882461</v>
      </c>
      <c r="D150" s="26"/>
      <c r="E150" s="23">
        <f>Additions!J234*$C$5</f>
        <v>0</v>
      </c>
      <c r="F150" s="23">
        <f t="shared" si="14"/>
        <v>592702.07491176529</v>
      </c>
      <c r="G150" s="23">
        <f t="shared" si="15"/>
        <v>2221764.2990271896</v>
      </c>
      <c r="H150" s="35">
        <f t="shared" si="16"/>
        <v>-1629062.2241154243</v>
      </c>
      <c r="I150" s="35"/>
      <c r="J150" s="20">
        <f t="shared" si="17"/>
        <v>342103.06706423912</v>
      </c>
      <c r="K150" s="37"/>
      <c r="L150" s="26">
        <f t="shared" si="18"/>
        <v>93545372.82883127</v>
      </c>
    </row>
    <row r="151" spans="1:12">
      <c r="A151" s="34">
        <v>228</v>
      </c>
      <c r="B151" s="17">
        <v>49430</v>
      </c>
      <c r="C151" s="26">
        <f t="shared" si="13"/>
        <v>93545372.82883127</v>
      </c>
      <c r="D151" s="26"/>
      <c r="E151" s="23">
        <f>Additions!J235*$C$5</f>
        <v>0</v>
      </c>
      <c r="F151" s="23">
        <f t="shared" si="14"/>
        <v>584658.58018019539</v>
      </c>
      <c r="G151" s="23">
        <f t="shared" si="15"/>
        <v>2221764.2990271896</v>
      </c>
      <c r="H151" s="35">
        <f t="shared" si="16"/>
        <v>-1637105.7188469942</v>
      </c>
      <c r="I151" s="35"/>
      <c r="J151" s="20">
        <f t="shared" si="17"/>
        <v>343792.20095786877</v>
      </c>
      <c r="K151" s="37"/>
      <c r="L151" s="26">
        <f t="shared" si="18"/>
        <v>92252059.310942143</v>
      </c>
    </row>
    <row r="152" spans="1:12">
      <c r="A152" s="34">
        <v>229</v>
      </c>
      <c r="B152" s="17">
        <v>49461</v>
      </c>
      <c r="C152" s="26">
        <f t="shared" si="13"/>
        <v>92252059.310942143</v>
      </c>
      <c r="D152" s="26"/>
      <c r="E152" s="23">
        <f>Additions!J236*$C$5</f>
        <v>0</v>
      </c>
      <c r="F152" s="23">
        <f t="shared" si="14"/>
        <v>576575.3706933884</v>
      </c>
      <c r="G152" s="23">
        <f t="shared" si="15"/>
        <v>2221764.2990271896</v>
      </c>
      <c r="H152" s="35">
        <f t="shared" si="16"/>
        <v>-1645188.9283338012</v>
      </c>
      <c r="I152" s="35"/>
      <c r="J152" s="20">
        <f t="shared" si="17"/>
        <v>345489.67495009827</v>
      </c>
      <c r="K152" s="37"/>
      <c r="L152" s="26">
        <f t="shared" si="18"/>
        <v>90952360.057558432</v>
      </c>
    </row>
    <row r="153" spans="1:12">
      <c r="A153" s="34">
        <v>230</v>
      </c>
      <c r="B153" s="17">
        <v>49491</v>
      </c>
      <c r="C153" s="26">
        <f t="shared" si="13"/>
        <v>90952360.057558432</v>
      </c>
      <c r="D153" s="26"/>
      <c r="E153" s="23">
        <f>Additions!J237*$C$5</f>
        <v>0</v>
      </c>
      <c r="F153" s="23">
        <f t="shared" si="14"/>
        <v>568452.25035974011</v>
      </c>
      <c r="G153" s="23">
        <f t="shared" si="15"/>
        <v>2221764.2990271896</v>
      </c>
      <c r="H153" s="35">
        <f t="shared" si="16"/>
        <v>-1653312.0486674495</v>
      </c>
      <c r="I153" s="35"/>
      <c r="J153" s="20">
        <f t="shared" si="17"/>
        <v>347195.53022016439</v>
      </c>
      <c r="K153" s="37"/>
      <c r="L153" s="26">
        <f t="shared" si="18"/>
        <v>89646243.539111152</v>
      </c>
    </row>
    <row r="154" spans="1:12">
      <c r="A154" s="34">
        <v>231</v>
      </c>
      <c r="B154" s="17">
        <v>49522</v>
      </c>
      <c r="C154" s="26">
        <f t="shared" si="13"/>
        <v>89646243.539111152</v>
      </c>
      <c r="D154" s="26"/>
      <c r="E154" s="23">
        <f>Additions!J238*$C$5</f>
        <v>0</v>
      </c>
      <c r="F154" s="23">
        <f t="shared" si="14"/>
        <v>560289.02211944468</v>
      </c>
      <c r="G154" s="23">
        <f t="shared" si="15"/>
        <v>2221764.2990271896</v>
      </c>
      <c r="H154" s="35">
        <f t="shared" si="16"/>
        <v>-1661475.2769077448</v>
      </c>
      <c r="I154" s="35"/>
      <c r="J154" s="20">
        <f t="shared" si="17"/>
        <v>348909.80815062637</v>
      </c>
      <c r="K154" s="37"/>
      <c r="L154" s="26">
        <f t="shared" si="18"/>
        <v>88333678.07035403</v>
      </c>
    </row>
    <row r="155" spans="1:12">
      <c r="A155" s="34">
        <v>232</v>
      </c>
      <c r="B155" s="17">
        <v>49553</v>
      </c>
      <c r="C155" s="26">
        <f t="shared" ref="C155:C212" si="19">L154</f>
        <v>88333678.07035403</v>
      </c>
      <c r="D155" s="26"/>
      <c r="E155" s="23">
        <f>Additions!J239*$C$5</f>
        <v>0</v>
      </c>
      <c r="F155" s="23">
        <f t="shared" ref="F155:F212" si="20">L154*$C$3</f>
        <v>552085.48793971259</v>
      </c>
      <c r="G155" s="23">
        <f t="shared" ref="G155:G212" si="21">G154</f>
        <v>2221764.2990271896</v>
      </c>
      <c r="H155" s="35">
        <f t="shared" ref="H155:H212" si="22">E155+F155-G155</f>
        <v>-1669678.811087477</v>
      </c>
      <c r="I155" s="35"/>
      <c r="J155" s="20">
        <f t="shared" ref="J155:J212" si="23">-H155*0.21</f>
        <v>350632.55032837018</v>
      </c>
      <c r="K155" s="37"/>
      <c r="L155" s="26">
        <f t="shared" ref="L155:L212" si="24">C155+E155+F155-G155+J155+K155</f>
        <v>87014631.809594929</v>
      </c>
    </row>
    <row r="156" spans="1:12">
      <c r="A156" s="34">
        <v>233</v>
      </c>
      <c r="B156" s="17">
        <v>49583</v>
      </c>
      <c r="C156" s="26">
        <f t="shared" si="19"/>
        <v>87014631.809594929</v>
      </c>
      <c r="D156" s="26"/>
      <c r="E156" s="23">
        <f>Additions!J240*$C$5</f>
        <v>0</v>
      </c>
      <c r="F156" s="23">
        <f t="shared" si="20"/>
        <v>543841.44880996831</v>
      </c>
      <c r="G156" s="23">
        <f t="shared" si="21"/>
        <v>2221764.2990271896</v>
      </c>
      <c r="H156" s="35">
        <f t="shared" si="22"/>
        <v>-1677922.8502172213</v>
      </c>
      <c r="I156" s="35"/>
      <c r="J156" s="20">
        <f t="shared" si="23"/>
        <v>352363.79854561645</v>
      </c>
      <c r="K156" s="37"/>
      <c r="L156" s="26">
        <f t="shared" si="24"/>
        <v>85689072.75792332</v>
      </c>
    </row>
    <row r="157" spans="1:12">
      <c r="A157" s="34">
        <v>234</v>
      </c>
      <c r="B157" s="17">
        <v>49614</v>
      </c>
      <c r="C157" s="26">
        <f t="shared" si="19"/>
        <v>85689072.75792332</v>
      </c>
      <c r="D157" s="26"/>
      <c r="E157" s="23">
        <f>Additions!J241*$C$5</f>
        <v>0</v>
      </c>
      <c r="F157" s="23">
        <f t="shared" si="20"/>
        <v>535556.70473702066</v>
      </c>
      <c r="G157" s="23">
        <f t="shared" si="21"/>
        <v>2221764.2990271896</v>
      </c>
      <c r="H157" s="35">
        <f t="shared" si="22"/>
        <v>-1686207.594290169</v>
      </c>
      <c r="I157" s="35"/>
      <c r="J157" s="20">
        <f t="shared" si="23"/>
        <v>354103.59480093548</v>
      </c>
      <c r="K157" s="37"/>
      <c r="L157" s="26">
        <f t="shared" si="24"/>
        <v>84356968.758434087</v>
      </c>
    </row>
    <row r="158" spans="1:12">
      <c r="A158" s="34">
        <v>235</v>
      </c>
      <c r="B158" s="17">
        <v>49644</v>
      </c>
      <c r="C158" s="26">
        <f t="shared" si="19"/>
        <v>84356968.758434087</v>
      </c>
      <c r="D158" s="26"/>
      <c r="E158" s="23">
        <f>Additions!J242*$C$5</f>
        <v>0</v>
      </c>
      <c r="F158" s="23">
        <f t="shared" si="20"/>
        <v>527231.05474021297</v>
      </c>
      <c r="G158" s="23">
        <f t="shared" si="21"/>
        <v>2221764.2990271896</v>
      </c>
      <c r="H158" s="35">
        <f t="shared" si="22"/>
        <v>-1694533.2442869768</v>
      </c>
      <c r="I158" s="35"/>
      <c r="J158" s="20">
        <f t="shared" si="23"/>
        <v>355851.98130026512</v>
      </c>
      <c r="K158" s="37"/>
      <c r="L158" s="26">
        <f t="shared" si="24"/>
        <v>83018287.495447382</v>
      </c>
    </row>
    <row r="159" spans="1:12">
      <c r="A159" s="34">
        <v>236</v>
      </c>
      <c r="B159" s="17">
        <v>49675</v>
      </c>
      <c r="C159" s="26">
        <f t="shared" si="19"/>
        <v>83018287.495447382</v>
      </c>
      <c r="D159" s="26"/>
      <c r="E159" s="23">
        <f>Additions!J243*$C$5</f>
        <v>0</v>
      </c>
      <c r="F159" s="23">
        <f t="shared" si="20"/>
        <v>518864.29684654612</v>
      </c>
      <c r="G159" s="23">
        <f t="shared" si="21"/>
        <v>2221764.2990271896</v>
      </c>
      <c r="H159" s="35">
        <f t="shared" si="22"/>
        <v>-1702900.0021806434</v>
      </c>
      <c r="I159" s="35"/>
      <c r="J159" s="20">
        <f t="shared" si="23"/>
        <v>357609.00045793509</v>
      </c>
      <c r="K159" s="20"/>
      <c r="L159" s="26">
        <f t="shared" si="24"/>
        <v>81672996.493724674</v>
      </c>
    </row>
    <row r="160" spans="1:12">
      <c r="A160" s="34">
        <v>237</v>
      </c>
      <c r="B160" s="17">
        <v>49706</v>
      </c>
      <c r="C160" s="26">
        <f t="shared" si="19"/>
        <v>81672996.493724674</v>
      </c>
      <c r="D160" s="26"/>
      <c r="E160" s="23">
        <f>Additions!J244*$C$5</f>
        <v>0</v>
      </c>
      <c r="F160" s="23">
        <f t="shared" si="20"/>
        <v>510456.22808577918</v>
      </c>
      <c r="G160" s="23">
        <f t="shared" si="21"/>
        <v>2221764.2990271896</v>
      </c>
      <c r="H160" s="35">
        <f t="shared" si="22"/>
        <v>-1711308.0709414105</v>
      </c>
      <c r="I160" s="35"/>
      <c r="J160" s="20">
        <f t="shared" si="23"/>
        <v>359374.6948976962</v>
      </c>
      <c r="K160" s="20"/>
      <c r="L160" s="26">
        <f t="shared" si="24"/>
        <v>80321063.117680967</v>
      </c>
    </row>
    <row r="161" spans="1:12">
      <c r="A161" s="34">
        <v>238</v>
      </c>
      <c r="B161" s="17">
        <v>49735</v>
      </c>
      <c r="C161" s="26">
        <f t="shared" si="19"/>
        <v>80321063.117680967</v>
      </c>
      <c r="D161" s="26"/>
      <c r="E161" s="23">
        <f>Additions!J245*$C$5</f>
        <v>0</v>
      </c>
      <c r="F161" s="23">
        <f t="shared" si="20"/>
        <v>502006.644485506</v>
      </c>
      <c r="G161" s="23">
        <f t="shared" si="21"/>
        <v>2221764.2990271896</v>
      </c>
      <c r="H161" s="35">
        <f t="shared" si="22"/>
        <v>-1719757.6545416836</v>
      </c>
      <c r="I161" s="35"/>
      <c r="J161" s="20">
        <f t="shared" si="23"/>
        <v>361149.10745375353</v>
      </c>
      <c r="K161" s="20"/>
      <c r="L161" s="26">
        <f t="shared" si="24"/>
        <v>78962454.570593029</v>
      </c>
    </row>
    <row r="162" spans="1:12">
      <c r="A162" s="34">
        <v>239</v>
      </c>
      <c r="B162" s="17">
        <v>49766</v>
      </c>
      <c r="C162" s="26">
        <f t="shared" si="19"/>
        <v>78962454.570593029</v>
      </c>
      <c r="D162" s="26"/>
      <c r="E162" s="23">
        <f>Additions!J246*$C$5</f>
        <v>0</v>
      </c>
      <c r="F162" s="23">
        <f t="shared" si="20"/>
        <v>493515.3410662064</v>
      </c>
      <c r="G162" s="23">
        <f t="shared" si="21"/>
        <v>2221764.2990271896</v>
      </c>
      <c r="H162" s="35">
        <f t="shared" si="22"/>
        <v>-1728248.9579609833</v>
      </c>
      <c r="I162" s="35"/>
      <c r="J162" s="20">
        <f t="shared" si="23"/>
        <v>362932.28117180645</v>
      </c>
      <c r="K162" s="20"/>
      <c r="L162" s="26">
        <f t="shared" si="24"/>
        <v>77597137.893803865</v>
      </c>
    </row>
    <row r="163" spans="1:12">
      <c r="A163" s="34">
        <v>240</v>
      </c>
      <c r="B163" s="17">
        <v>49796</v>
      </c>
      <c r="C163" s="26">
        <f t="shared" si="19"/>
        <v>77597137.893803865</v>
      </c>
      <c r="D163" s="26"/>
      <c r="E163" s="23">
        <f>Additions!J247*$C$5</f>
        <v>0</v>
      </c>
      <c r="F163" s="23">
        <f t="shared" si="20"/>
        <v>484982.1118362741</v>
      </c>
      <c r="G163" s="23">
        <f t="shared" si="21"/>
        <v>2221764.2990271896</v>
      </c>
      <c r="H163" s="35">
        <f t="shared" si="22"/>
        <v>-1736782.1871909155</v>
      </c>
      <c r="I163" s="35"/>
      <c r="J163" s="20">
        <f t="shared" si="23"/>
        <v>364724.25931009225</v>
      </c>
      <c r="K163" s="20"/>
      <c r="L163" s="26">
        <f t="shared" si="24"/>
        <v>76225079.965923041</v>
      </c>
    </row>
    <row r="164" spans="1:12">
      <c r="A164" s="34">
        <v>241</v>
      </c>
      <c r="B164" s="17">
        <v>49827</v>
      </c>
      <c r="C164" s="26">
        <f t="shared" si="19"/>
        <v>76225079.965923041</v>
      </c>
      <c r="D164" s="26"/>
      <c r="E164" s="23">
        <f>Additions!J248*$C$5</f>
        <v>0</v>
      </c>
      <c r="F164" s="23">
        <f t="shared" si="20"/>
        <v>476406.74978701898</v>
      </c>
      <c r="G164" s="23">
        <f t="shared" si="21"/>
        <v>2221764.2990271896</v>
      </c>
      <c r="H164" s="35">
        <f t="shared" si="22"/>
        <v>-1745357.5492401705</v>
      </c>
      <c r="I164" s="35"/>
      <c r="J164" s="20">
        <f t="shared" si="23"/>
        <v>366525.08534043579</v>
      </c>
      <c r="K164" s="20"/>
      <c r="L164" s="26">
        <f t="shared" si="24"/>
        <v>74846247.502023309</v>
      </c>
    </row>
    <row r="165" spans="1:12">
      <c r="A165" s="34">
        <v>242</v>
      </c>
      <c r="B165" s="17">
        <v>49857</v>
      </c>
      <c r="C165" s="26">
        <f t="shared" si="19"/>
        <v>74846247.502023309</v>
      </c>
      <c r="D165" s="26"/>
      <c r="E165" s="23">
        <f>Additions!J249*$C$5</f>
        <v>0</v>
      </c>
      <c r="F165" s="23">
        <f t="shared" si="20"/>
        <v>467789.04688764567</v>
      </c>
      <c r="G165" s="23">
        <f t="shared" si="21"/>
        <v>2221764.2990271896</v>
      </c>
      <c r="H165" s="35">
        <f t="shared" si="22"/>
        <v>-1753975.2521395439</v>
      </c>
      <c r="I165" s="35"/>
      <c r="J165" s="20">
        <f t="shared" si="23"/>
        <v>368334.80294930423</v>
      </c>
      <c r="K165" s="20"/>
      <c r="L165" s="26">
        <f t="shared" si="24"/>
        <v>73460607.05283308</v>
      </c>
    </row>
    <row r="166" spans="1:12">
      <c r="A166" s="34">
        <v>243</v>
      </c>
      <c r="B166" s="17">
        <v>49888</v>
      </c>
      <c r="C166" s="26">
        <f t="shared" si="19"/>
        <v>73460607.05283308</v>
      </c>
      <c r="D166" s="26"/>
      <c r="E166" s="23">
        <f>Additions!J250*$C$5</f>
        <v>0</v>
      </c>
      <c r="F166" s="23">
        <f t="shared" si="20"/>
        <v>459128.79408020672</v>
      </c>
      <c r="G166" s="23">
        <f t="shared" si="21"/>
        <v>2221764.2990271896</v>
      </c>
      <c r="H166" s="35">
        <f t="shared" si="22"/>
        <v>-1762635.504946983</v>
      </c>
      <c r="I166" s="35"/>
      <c r="J166" s="20">
        <f t="shared" si="23"/>
        <v>370153.45603886642</v>
      </c>
      <c r="K166" s="20"/>
      <c r="L166" s="26">
        <f t="shared" si="24"/>
        <v>72068125.003924966</v>
      </c>
    </row>
    <row r="167" spans="1:12">
      <c r="A167" s="34">
        <v>244</v>
      </c>
      <c r="B167" s="17">
        <v>49919</v>
      </c>
      <c r="C167" s="26">
        <f t="shared" si="19"/>
        <v>72068125.003924966</v>
      </c>
      <c r="D167" s="26"/>
      <c r="E167" s="23">
        <f>Additions!J251*$C$5</f>
        <v>0</v>
      </c>
      <c r="F167" s="23">
        <f t="shared" si="20"/>
        <v>450425.78127453098</v>
      </c>
      <c r="G167" s="23">
        <f t="shared" si="21"/>
        <v>2221764.2990271896</v>
      </c>
      <c r="H167" s="35">
        <f t="shared" si="22"/>
        <v>-1771338.5177526586</v>
      </c>
      <c r="I167" s="35"/>
      <c r="J167" s="20">
        <f t="shared" si="23"/>
        <v>371981.08872805827</v>
      </c>
      <c r="K167" s="20"/>
      <c r="L167" s="26">
        <f t="shared" si="24"/>
        <v>70668767.574900359</v>
      </c>
    </row>
    <row r="168" spans="1:12">
      <c r="A168" s="34">
        <v>245</v>
      </c>
      <c r="B168" s="17">
        <v>49949</v>
      </c>
      <c r="C168" s="26">
        <f t="shared" si="19"/>
        <v>70668767.574900359</v>
      </c>
      <c r="D168" s="26"/>
      <c r="E168" s="23">
        <f>Additions!J252*$C$5</f>
        <v>0</v>
      </c>
      <c r="F168" s="23">
        <f t="shared" si="20"/>
        <v>441679.7973431272</v>
      </c>
      <c r="G168" s="23">
        <f t="shared" si="21"/>
        <v>2221764.2990271896</v>
      </c>
      <c r="H168" s="35">
        <f t="shared" si="22"/>
        <v>-1780084.5016840624</v>
      </c>
      <c r="I168" s="35"/>
      <c r="J168" s="20">
        <f t="shared" si="23"/>
        <v>373817.7453536531</v>
      </c>
      <c r="K168" s="20"/>
      <c r="L168" s="26">
        <f t="shared" si="24"/>
        <v>69262500.818569943</v>
      </c>
    </row>
    <row r="169" spans="1:12">
      <c r="A169" s="34">
        <v>246</v>
      </c>
      <c r="B169" s="17">
        <v>49980</v>
      </c>
      <c r="C169" s="26">
        <f t="shared" si="19"/>
        <v>69262500.818569943</v>
      </c>
      <c r="D169" s="26"/>
      <c r="E169" s="23">
        <f>Additions!J253*$C$5</f>
        <v>0</v>
      </c>
      <c r="F169" s="23">
        <f t="shared" si="20"/>
        <v>432890.63011606212</v>
      </c>
      <c r="G169" s="23">
        <f t="shared" si="21"/>
        <v>2221764.2990271896</v>
      </c>
      <c r="H169" s="35">
        <f t="shared" si="22"/>
        <v>-1788873.6689111274</v>
      </c>
      <c r="I169" s="35"/>
      <c r="J169" s="20">
        <f t="shared" si="23"/>
        <v>375663.47047133674</v>
      </c>
      <c r="K169" s="20"/>
      <c r="L169" s="26">
        <f t="shared" si="24"/>
        <v>67849290.620130152</v>
      </c>
    </row>
    <row r="170" spans="1:12">
      <c r="A170" s="34">
        <v>247</v>
      </c>
      <c r="B170" s="17">
        <v>50010</v>
      </c>
      <c r="C170" s="26">
        <f t="shared" si="19"/>
        <v>67849290.620130152</v>
      </c>
      <c r="D170" s="26"/>
      <c r="E170" s="23">
        <f>Additions!J254*$C$5</f>
        <v>0</v>
      </c>
      <c r="F170" s="23">
        <f t="shared" si="20"/>
        <v>424058.06637581339</v>
      </c>
      <c r="G170" s="23">
        <f t="shared" si="21"/>
        <v>2221764.2990271896</v>
      </c>
      <c r="H170" s="35">
        <f t="shared" si="22"/>
        <v>-1797706.2326513762</v>
      </c>
      <c r="I170" s="35"/>
      <c r="J170" s="20">
        <f t="shared" si="23"/>
        <v>377518.30885678896</v>
      </c>
      <c r="K170" s="20"/>
      <c r="L170" s="26">
        <f t="shared" si="24"/>
        <v>66429102.696335554</v>
      </c>
    </row>
    <row r="171" spans="1:12">
      <c r="A171" s="34">
        <v>248</v>
      </c>
      <c r="B171" s="17">
        <v>50041</v>
      </c>
      <c r="C171" s="26">
        <f t="shared" si="19"/>
        <v>66429102.696335554</v>
      </c>
      <c r="D171" s="26"/>
      <c r="E171" s="23">
        <f>Additions!J255*$C$5</f>
        <v>0</v>
      </c>
      <c r="F171" s="23">
        <f t="shared" si="20"/>
        <v>415181.89185209718</v>
      </c>
      <c r="G171" s="23">
        <f t="shared" si="21"/>
        <v>2221764.2990271896</v>
      </c>
      <c r="H171" s="35">
        <f t="shared" si="22"/>
        <v>-1806582.4071750925</v>
      </c>
      <c r="I171" s="35"/>
      <c r="J171" s="20">
        <f t="shared" si="23"/>
        <v>379382.30550676939</v>
      </c>
      <c r="K171" s="20"/>
      <c r="L171" s="26">
        <f t="shared" si="24"/>
        <v>65001902.594667226</v>
      </c>
    </row>
    <row r="172" spans="1:12">
      <c r="A172" s="34">
        <v>249</v>
      </c>
      <c r="B172" s="17">
        <v>50072</v>
      </c>
      <c r="C172" s="26">
        <f t="shared" si="19"/>
        <v>65001902.594667226</v>
      </c>
      <c r="D172" s="26"/>
      <c r="E172" s="23">
        <f>Additions!J256*$C$5</f>
        <v>0</v>
      </c>
      <c r="F172" s="23">
        <f t="shared" si="20"/>
        <v>406261.8912166701</v>
      </c>
      <c r="G172" s="23">
        <f t="shared" si="21"/>
        <v>2221764.2990271896</v>
      </c>
      <c r="H172" s="35">
        <f t="shared" si="22"/>
        <v>-1815502.4078105194</v>
      </c>
      <c r="I172" s="35"/>
      <c r="J172" s="20">
        <f t="shared" si="23"/>
        <v>381255.50564020907</v>
      </c>
      <c r="K172" s="20"/>
      <c r="L172" s="26">
        <f t="shared" si="24"/>
        <v>63567655.692496918</v>
      </c>
    </row>
    <row r="173" spans="1:12">
      <c r="A173" s="34">
        <v>250</v>
      </c>
      <c r="B173" s="17">
        <v>50100</v>
      </c>
      <c r="C173" s="26">
        <f t="shared" si="19"/>
        <v>63567655.692496918</v>
      </c>
      <c r="D173" s="26"/>
      <c r="E173" s="23">
        <f>Additions!J257*$C$5</f>
        <v>0</v>
      </c>
      <c r="F173" s="23">
        <f t="shared" si="20"/>
        <v>397297.84807810572</v>
      </c>
      <c r="G173" s="23">
        <f t="shared" si="21"/>
        <v>2221764.2990271896</v>
      </c>
      <c r="H173" s="35">
        <f t="shared" si="22"/>
        <v>-1824466.450949084</v>
      </c>
      <c r="I173" s="35"/>
      <c r="J173" s="20">
        <f t="shared" si="23"/>
        <v>383137.95469930762</v>
      </c>
      <c r="K173" s="20"/>
      <c r="L173" s="26">
        <f t="shared" si="24"/>
        <v>62126327.196247146</v>
      </c>
    </row>
    <row r="174" spans="1:12">
      <c r="A174" s="34">
        <v>251</v>
      </c>
      <c r="B174" s="17">
        <v>50131</v>
      </c>
      <c r="C174" s="26">
        <f t="shared" si="19"/>
        <v>62126327.196247146</v>
      </c>
      <c r="D174" s="26"/>
      <c r="E174" s="23">
        <f>Additions!J258*$C$5</f>
        <v>0</v>
      </c>
      <c r="F174" s="23">
        <f t="shared" si="20"/>
        <v>388289.54497654462</v>
      </c>
      <c r="G174" s="23">
        <f t="shared" si="21"/>
        <v>2221764.2990271896</v>
      </c>
      <c r="H174" s="35">
        <f t="shared" si="22"/>
        <v>-1833474.754050645</v>
      </c>
      <c r="I174" s="35"/>
      <c r="J174" s="20">
        <f t="shared" si="23"/>
        <v>385029.69835063547</v>
      </c>
      <c r="K174" s="20"/>
      <c r="L174" s="26">
        <f t="shared" si="24"/>
        <v>60677882.140547141</v>
      </c>
    </row>
    <row r="175" spans="1:12">
      <c r="A175" s="34">
        <v>252</v>
      </c>
      <c r="B175" s="17">
        <v>50161</v>
      </c>
      <c r="C175" s="26">
        <f t="shared" si="19"/>
        <v>60677882.140547141</v>
      </c>
      <c r="D175" s="26"/>
      <c r="E175" s="23">
        <f>Additions!J259*$C$5</f>
        <v>0</v>
      </c>
      <c r="F175" s="23">
        <f t="shared" si="20"/>
        <v>379236.76337841962</v>
      </c>
      <c r="G175" s="23">
        <f t="shared" si="21"/>
        <v>2221764.2990271896</v>
      </c>
      <c r="H175" s="35">
        <f t="shared" si="22"/>
        <v>-1842527.5356487699</v>
      </c>
      <c r="I175" s="35"/>
      <c r="J175" s="20">
        <f t="shared" si="23"/>
        <v>386930.78248624166</v>
      </c>
      <c r="K175" s="20"/>
      <c r="L175" s="26">
        <f t="shared" si="24"/>
        <v>59222285.387384616</v>
      </c>
    </row>
    <row r="176" spans="1:12">
      <c r="A176" s="34">
        <v>253</v>
      </c>
      <c r="B176" s="17">
        <v>50192</v>
      </c>
      <c r="C176" s="26">
        <f t="shared" si="19"/>
        <v>59222285.387384616</v>
      </c>
      <c r="D176" s="26"/>
      <c r="E176" s="23">
        <f>Additions!J260*$C$5</f>
        <v>0</v>
      </c>
      <c r="F176" s="23">
        <f t="shared" si="20"/>
        <v>370139.28367115383</v>
      </c>
      <c r="G176" s="23">
        <f t="shared" si="21"/>
        <v>2221764.2990271896</v>
      </c>
      <c r="H176" s="35">
        <f t="shared" si="22"/>
        <v>-1851625.0153560359</v>
      </c>
      <c r="I176" s="35"/>
      <c r="J176" s="20">
        <f t="shared" si="23"/>
        <v>388841.25322476751</v>
      </c>
      <c r="K176" s="20"/>
      <c r="L176" s="26">
        <f t="shared" si="24"/>
        <v>57759501.62525335</v>
      </c>
    </row>
    <row r="177" spans="1:12">
      <c r="A177" s="34">
        <v>254</v>
      </c>
      <c r="B177" s="17">
        <v>50222</v>
      </c>
      <c r="C177" s="26">
        <f t="shared" si="19"/>
        <v>57759501.62525335</v>
      </c>
      <c r="D177" s="26"/>
      <c r="E177" s="23">
        <f>Additions!J261*$C$5</f>
        <v>0</v>
      </c>
      <c r="F177" s="23">
        <f t="shared" si="20"/>
        <v>360996.8851578334</v>
      </c>
      <c r="G177" s="23">
        <f t="shared" si="21"/>
        <v>2221764.2990271896</v>
      </c>
      <c r="H177" s="35">
        <f t="shared" si="22"/>
        <v>-1860767.4138693563</v>
      </c>
      <c r="I177" s="35"/>
      <c r="J177" s="20">
        <f t="shared" si="23"/>
        <v>390761.15691256482</v>
      </c>
      <c r="K177" s="20"/>
      <c r="L177" s="26">
        <f t="shared" si="24"/>
        <v>56289495.368296556</v>
      </c>
    </row>
    <row r="178" spans="1:12">
      <c r="A178" s="34">
        <v>255</v>
      </c>
      <c r="B178" s="17">
        <v>50253</v>
      </c>
      <c r="C178" s="26">
        <f t="shared" si="19"/>
        <v>56289495.368296556</v>
      </c>
      <c r="D178" s="26"/>
      <c r="E178" s="23">
        <f>Additions!J262*$C$5</f>
        <v>0</v>
      </c>
      <c r="F178" s="23">
        <f t="shared" si="20"/>
        <v>351809.34605185344</v>
      </c>
      <c r="G178" s="23">
        <f t="shared" si="21"/>
        <v>2221764.2990271896</v>
      </c>
      <c r="H178" s="35">
        <f t="shared" si="22"/>
        <v>-1869954.9529753362</v>
      </c>
      <c r="I178" s="35"/>
      <c r="J178" s="20">
        <f t="shared" si="23"/>
        <v>392690.5401248206</v>
      </c>
      <c r="K178" s="20"/>
      <c r="L178" s="26">
        <f t="shared" si="24"/>
        <v>54812230.955446042</v>
      </c>
    </row>
    <row r="179" spans="1:12">
      <c r="A179" s="34">
        <v>256</v>
      </c>
      <c r="B179" s="17">
        <v>50284</v>
      </c>
      <c r="C179" s="26">
        <f t="shared" si="19"/>
        <v>54812230.955446042</v>
      </c>
      <c r="D179" s="26"/>
      <c r="E179" s="23">
        <f>Additions!J263*$C$5</f>
        <v>0</v>
      </c>
      <c r="F179" s="23">
        <f t="shared" si="20"/>
        <v>342576.44347153773</v>
      </c>
      <c r="G179" s="23">
        <f t="shared" si="21"/>
        <v>2221764.2990271896</v>
      </c>
      <c r="H179" s="35">
        <f t="shared" si="22"/>
        <v>-1879187.8555556519</v>
      </c>
      <c r="I179" s="35"/>
      <c r="J179" s="20">
        <f t="shared" si="23"/>
        <v>394629.44966668688</v>
      </c>
      <c r="K179" s="20"/>
      <c r="L179" s="26">
        <f t="shared" si="24"/>
        <v>53327672.549557075</v>
      </c>
    </row>
    <row r="180" spans="1:12">
      <c r="A180" s="34">
        <v>257</v>
      </c>
      <c r="B180" s="17">
        <v>50314</v>
      </c>
      <c r="C180" s="26">
        <f t="shared" si="19"/>
        <v>53327672.549557075</v>
      </c>
      <c r="D180" s="26"/>
      <c r="E180" s="23">
        <f>Additions!J264*$C$5</f>
        <v>0</v>
      </c>
      <c r="F180" s="23">
        <f t="shared" si="20"/>
        <v>333297.95343473169</v>
      </c>
      <c r="G180" s="23">
        <f t="shared" si="21"/>
        <v>2221764.2990271896</v>
      </c>
      <c r="H180" s="35">
        <f t="shared" si="22"/>
        <v>-1888466.3455924578</v>
      </c>
      <c r="I180" s="35"/>
      <c r="J180" s="20">
        <f t="shared" si="23"/>
        <v>396577.9325744161</v>
      </c>
      <c r="K180" s="20"/>
      <c r="L180" s="26">
        <f t="shared" si="24"/>
        <v>51835784.136539027</v>
      </c>
    </row>
    <row r="181" spans="1:12">
      <c r="A181" s="34">
        <v>258</v>
      </c>
      <c r="B181" s="17">
        <v>50345</v>
      </c>
      <c r="C181" s="26">
        <f t="shared" si="19"/>
        <v>51835784.136539027</v>
      </c>
      <c r="D181" s="26"/>
      <c r="E181" s="23">
        <f>Additions!J265*$C$5</f>
        <v>0</v>
      </c>
      <c r="F181" s="23">
        <f t="shared" si="20"/>
        <v>323973.65085336892</v>
      </c>
      <c r="G181" s="23">
        <f t="shared" si="21"/>
        <v>2221764.2990271896</v>
      </c>
      <c r="H181" s="35">
        <f t="shared" si="22"/>
        <v>-1897790.6481738207</v>
      </c>
      <c r="I181" s="35"/>
      <c r="J181" s="20">
        <f t="shared" si="23"/>
        <v>398536.03611650231</v>
      </c>
      <c r="K181" s="20"/>
      <c r="L181" s="26">
        <f t="shared" si="24"/>
        <v>50336529.524481706</v>
      </c>
    </row>
    <row r="182" spans="1:12">
      <c r="A182" s="34">
        <v>259</v>
      </c>
      <c r="B182" s="17">
        <v>50375</v>
      </c>
      <c r="C182" s="26">
        <f t="shared" si="19"/>
        <v>50336529.524481706</v>
      </c>
      <c r="D182" s="26"/>
      <c r="E182" s="23">
        <f>Additions!J266*$C$5</f>
        <v>0</v>
      </c>
      <c r="F182" s="23">
        <f t="shared" si="20"/>
        <v>314603.30952801066</v>
      </c>
      <c r="G182" s="23">
        <f t="shared" si="21"/>
        <v>2221764.2990271896</v>
      </c>
      <c r="H182" s="35">
        <f t="shared" si="22"/>
        <v>-1907160.9894991789</v>
      </c>
      <c r="I182" s="35"/>
      <c r="J182" s="20">
        <f t="shared" si="23"/>
        <v>400503.80779482756</v>
      </c>
      <c r="K182" s="20"/>
      <c r="L182" s="26">
        <f t="shared" si="24"/>
        <v>48829872.342777349</v>
      </c>
    </row>
    <row r="183" spans="1:12">
      <c r="A183" s="34">
        <v>260</v>
      </c>
      <c r="B183" s="17">
        <v>50406</v>
      </c>
      <c r="C183" s="26">
        <f t="shared" si="19"/>
        <v>48829872.342777349</v>
      </c>
      <c r="D183" s="26"/>
      <c r="E183" s="23">
        <f>Additions!J267*$C$5</f>
        <v>0</v>
      </c>
      <c r="F183" s="23">
        <f t="shared" si="20"/>
        <v>305186.70214235841</v>
      </c>
      <c r="G183" s="23">
        <f t="shared" si="21"/>
        <v>2221764.2990271896</v>
      </c>
      <c r="H183" s="35">
        <f t="shared" si="22"/>
        <v>-1916577.5968848313</v>
      </c>
      <c r="I183" s="35"/>
      <c r="J183" s="20">
        <f t="shared" si="23"/>
        <v>402481.29534581455</v>
      </c>
      <c r="K183" s="20"/>
      <c r="L183" s="26">
        <f t="shared" si="24"/>
        <v>47315776.04123833</v>
      </c>
    </row>
    <row r="184" spans="1:12">
      <c r="A184" s="34">
        <v>261</v>
      </c>
      <c r="B184" s="17">
        <v>50437</v>
      </c>
      <c r="C184" s="26">
        <f t="shared" si="19"/>
        <v>47315776.04123833</v>
      </c>
      <c r="D184" s="26"/>
      <c r="E184" s="23">
        <f>Additions!J268*$C$5</f>
        <v>0</v>
      </c>
      <c r="F184" s="23">
        <f t="shared" si="20"/>
        <v>295723.60025773954</v>
      </c>
      <c r="G184" s="23">
        <f t="shared" si="21"/>
        <v>2221764.2990271896</v>
      </c>
      <c r="H184" s="35">
        <f t="shared" si="22"/>
        <v>-1926040.6987694502</v>
      </c>
      <c r="I184" s="35"/>
      <c r="J184" s="20">
        <f t="shared" si="23"/>
        <v>404468.54674158455</v>
      </c>
      <c r="K184" s="20"/>
      <c r="L184" s="26">
        <f t="shared" si="24"/>
        <v>45794203.889210463</v>
      </c>
    </row>
    <row r="185" spans="1:12">
      <c r="A185" s="34">
        <v>262</v>
      </c>
      <c r="B185" s="17">
        <v>50465</v>
      </c>
      <c r="C185" s="26">
        <f t="shared" si="19"/>
        <v>45794203.889210463</v>
      </c>
      <c r="D185" s="26"/>
      <c r="E185" s="23">
        <f>Additions!J269*$C$5</f>
        <v>0</v>
      </c>
      <c r="F185" s="23">
        <f t="shared" si="20"/>
        <v>286213.77430756536</v>
      </c>
      <c r="G185" s="23">
        <f t="shared" si="21"/>
        <v>2221764.2990271896</v>
      </c>
      <c r="H185" s="35">
        <f t="shared" si="22"/>
        <v>-1935550.5247196243</v>
      </c>
      <c r="I185" s="35"/>
      <c r="J185" s="20">
        <f t="shared" si="23"/>
        <v>406465.61019112112</v>
      </c>
      <c r="K185" s="20"/>
      <c r="L185" s="26">
        <f t="shared" si="24"/>
        <v>44265118.974681959</v>
      </c>
    </row>
    <row r="186" spans="1:12">
      <c r="A186" s="34">
        <v>263</v>
      </c>
      <c r="B186" s="17">
        <v>50496</v>
      </c>
      <c r="C186" s="26">
        <f t="shared" si="19"/>
        <v>44265118.974681959</v>
      </c>
      <c r="D186" s="26"/>
      <c r="E186" s="23">
        <f>Additions!J270*$C$5</f>
        <v>0</v>
      </c>
      <c r="F186" s="23">
        <f t="shared" si="20"/>
        <v>276656.99359176221</v>
      </c>
      <c r="G186" s="23">
        <f t="shared" si="21"/>
        <v>2221764.2990271896</v>
      </c>
      <c r="H186" s="35">
        <f t="shared" si="22"/>
        <v>-1945107.3054354275</v>
      </c>
      <c r="I186" s="35"/>
      <c r="J186" s="20">
        <f t="shared" si="23"/>
        <v>408472.53414143977</v>
      </c>
      <c r="K186" s="20"/>
      <c r="L186" s="26">
        <f t="shared" si="24"/>
        <v>42728484.203387968</v>
      </c>
    </row>
    <row r="187" spans="1:12">
      <c r="A187" s="34">
        <v>264</v>
      </c>
      <c r="B187" s="17">
        <v>50526</v>
      </c>
      <c r="C187" s="26">
        <f t="shared" si="19"/>
        <v>42728484.203387968</v>
      </c>
      <c r="D187" s="26"/>
      <c r="E187" s="23">
        <f>Additions!J271*$C$5</f>
        <v>0</v>
      </c>
      <c r="F187" s="23">
        <f t="shared" si="20"/>
        <v>267053.02627117478</v>
      </c>
      <c r="G187" s="23">
        <f t="shared" si="21"/>
        <v>2221764.2990271896</v>
      </c>
      <c r="H187" s="35">
        <f t="shared" si="22"/>
        <v>-1954711.272756015</v>
      </c>
      <c r="I187" s="35"/>
      <c r="J187" s="20">
        <f t="shared" si="23"/>
        <v>410489.36727876315</v>
      </c>
      <c r="K187" s="20"/>
      <c r="L187" s="26">
        <f t="shared" si="24"/>
        <v>41184262.297910713</v>
      </c>
    </row>
    <row r="188" spans="1:12">
      <c r="A188" s="34">
        <v>265</v>
      </c>
      <c r="B188" s="17">
        <v>50557</v>
      </c>
      <c r="C188" s="26">
        <f t="shared" si="19"/>
        <v>41184262.297910713</v>
      </c>
      <c r="D188" s="26"/>
      <c r="E188" s="23">
        <f>Additions!J272*$C$5</f>
        <v>0</v>
      </c>
      <c r="F188" s="23">
        <f t="shared" si="20"/>
        <v>257401.63936194193</v>
      </c>
      <c r="G188" s="23">
        <f t="shared" si="21"/>
        <v>2221764.2990271896</v>
      </c>
      <c r="H188" s="35">
        <f t="shared" si="22"/>
        <v>-1964362.6596652477</v>
      </c>
      <c r="I188" s="35"/>
      <c r="J188" s="20">
        <f t="shared" si="23"/>
        <v>412516.15852970199</v>
      </c>
      <c r="K188" s="20"/>
      <c r="L188" s="26">
        <f t="shared" si="24"/>
        <v>39632415.796775162</v>
      </c>
    </row>
    <row r="189" spans="1:12">
      <c r="A189" s="34">
        <v>266</v>
      </c>
      <c r="B189" s="17">
        <v>50587</v>
      </c>
      <c r="C189" s="26">
        <f t="shared" si="19"/>
        <v>39632415.796775162</v>
      </c>
      <c r="D189" s="26"/>
      <c r="E189" s="23">
        <f>Additions!J273*$C$5</f>
        <v>0</v>
      </c>
      <c r="F189" s="23">
        <f t="shared" si="20"/>
        <v>247702.59872984473</v>
      </c>
      <c r="G189" s="23">
        <f t="shared" si="21"/>
        <v>2221764.2990271896</v>
      </c>
      <c r="H189" s="35">
        <f t="shared" si="22"/>
        <v>-1974061.7002973449</v>
      </c>
      <c r="I189" s="35"/>
      <c r="J189" s="20">
        <f t="shared" si="23"/>
        <v>414552.95706244244</v>
      </c>
      <c r="K189" s="20"/>
      <c r="L189" s="26">
        <f t="shared" si="24"/>
        <v>38072907.05354026</v>
      </c>
    </row>
    <row r="190" spans="1:12">
      <c r="A190" s="34">
        <v>267</v>
      </c>
      <c r="B190" s="17">
        <v>50618</v>
      </c>
      <c r="C190" s="26">
        <f t="shared" si="19"/>
        <v>38072907.05354026</v>
      </c>
      <c r="D190" s="26"/>
      <c r="E190" s="23">
        <f>Additions!J274*$C$5</f>
        <v>0</v>
      </c>
      <c r="F190" s="23">
        <f t="shared" si="20"/>
        <v>237955.6690846266</v>
      </c>
      <c r="G190" s="23">
        <f t="shared" si="21"/>
        <v>2221764.2990271896</v>
      </c>
      <c r="H190" s="35">
        <f t="shared" si="22"/>
        <v>-1983808.6299425629</v>
      </c>
      <c r="I190" s="35"/>
      <c r="J190" s="20">
        <f t="shared" si="23"/>
        <v>416599.8122879382</v>
      </c>
      <c r="K190" s="20"/>
      <c r="L190" s="26">
        <f t="shared" si="24"/>
        <v>36505698.235885635</v>
      </c>
    </row>
    <row r="191" spans="1:12">
      <c r="A191" s="34">
        <v>268</v>
      </c>
      <c r="B191" s="17">
        <v>50649</v>
      </c>
      <c r="C191" s="26">
        <f t="shared" si="19"/>
        <v>36505698.235885635</v>
      </c>
      <c r="D191" s="26"/>
      <c r="E191" s="23">
        <f>Additions!J275*$C$5</f>
        <v>0</v>
      </c>
      <c r="F191" s="23">
        <f t="shared" si="20"/>
        <v>228160.6139742852</v>
      </c>
      <c r="G191" s="23">
        <f t="shared" si="21"/>
        <v>2221764.2990271896</v>
      </c>
      <c r="H191" s="35">
        <f t="shared" si="22"/>
        <v>-1993603.6850529043</v>
      </c>
      <c r="I191" s="35"/>
      <c r="J191" s="20">
        <f t="shared" si="23"/>
        <v>418656.77386110986</v>
      </c>
      <c r="K191" s="20"/>
      <c r="L191" s="26">
        <f t="shared" si="24"/>
        <v>34930751.324693844</v>
      </c>
    </row>
    <row r="192" spans="1:12">
      <c r="A192" s="34">
        <v>269</v>
      </c>
      <c r="B192" s="17">
        <v>50679</v>
      </c>
      <c r="C192" s="26">
        <f t="shared" si="19"/>
        <v>34930751.324693844</v>
      </c>
      <c r="D192" s="26"/>
      <c r="E192" s="23">
        <f>Additions!J276*$C$5</f>
        <v>0</v>
      </c>
      <c r="F192" s="23">
        <f t="shared" si="20"/>
        <v>218317.1957793365</v>
      </c>
      <c r="G192" s="23">
        <f t="shared" si="21"/>
        <v>2221764.2990271896</v>
      </c>
      <c r="H192" s="35">
        <f t="shared" si="22"/>
        <v>-2003447.103247853</v>
      </c>
      <c r="I192" s="35"/>
      <c r="J192" s="20">
        <f t="shared" si="23"/>
        <v>420723.89168204908</v>
      </c>
      <c r="K192" s="20"/>
      <c r="L192" s="26">
        <f t="shared" si="24"/>
        <v>33348028.11312804</v>
      </c>
    </row>
    <row r="193" spans="1:12">
      <c r="A193" s="34">
        <v>270</v>
      </c>
      <c r="B193" s="17">
        <v>50710</v>
      </c>
      <c r="C193" s="26">
        <f t="shared" si="19"/>
        <v>33348028.11312804</v>
      </c>
      <c r="D193" s="26"/>
      <c r="E193" s="23">
        <f>Additions!J277*$C$5</f>
        <v>0</v>
      </c>
      <c r="F193" s="23">
        <f t="shared" si="20"/>
        <v>208425.17570705022</v>
      </c>
      <c r="G193" s="23">
        <f t="shared" si="21"/>
        <v>2221764.2990271896</v>
      </c>
      <c r="H193" s="35">
        <f t="shared" si="22"/>
        <v>-2013339.1233201395</v>
      </c>
      <c r="I193" s="35"/>
      <c r="J193" s="20">
        <f t="shared" si="23"/>
        <v>422801.21589722927</v>
      </c>
      <c r="K193" s="20"/>
      <c r="L193" s="26">
        <f t="shared" si="24"/>
        <v>31757490.205705132</v>
      </c>
    </row>
    <row r="194" spans="1:12">
      <c r="A194" s="34">
        <v>271</v>
      </c>
      <c r="B194" s="17">
        <v>50740</v>
      </c>
      <c r="C194" s="26">
        <f t="shared" si="19"/>
        <v>31757490.205705132</v>
      </c>
      <c r="D194" s="26"/>
      <c r="E194" s="23">
        <f>Additions!J278*$C$5</f>
        <v>0</v>
      </c>
      <c r="F194" s="23">
        <f t="shared" si="20"/>
        <v>198484.31378565705</v>
      </c>
      <c r="G194" s="23">
        <f t="shared" si="21"/>
        <v>2221764.2990271896</v>
      </c>
      <c r="H194" s="35">
        <f t="shared" si="22"/>
        <v>-2023279.9852415326</v>
      </c>
      <c r="I194" s="35"/>
      <c r="J194" s="20">
        <f t="shared" si="23"/>
        <v>424888.79690072185</v>
      </c>
      <c r="K194" s="20"/>
      <c r="L194" s="26">
        <f t="shared" si="24"/>
        <v>30159099.017364323</v>
      </c>
    </row>
    <row r="195" spans="1:12">
      <c r="A195" s="34">
        <v>272</v>
      </c>
      <c r="B195" s="17">
        <v>50771</v>
      </c>
      <c r="C195" s="26">
        <f t="shared" si="19"/>
        <v>30159099.017364323</v>
      </c>
      <c r="D195" s="26"/>
      <c r="E195" s="23">
        <f>Additions!J279*$C$5</f>
        <v>0</v>
      </c>
      <c r="F195" s="23">
        <f t="shared" si="20"/>
        <v>188494.36885852701</v>
      </c>
      <c r="G195" s="23">
        <f t="shared" si="21"/>
        <v>2221764.2990271896</v>
      </c>
      <c r="H195" s="35">
        <f t="shared" si="22"/>
        <v>-2033269.9301686627</v>
      </c>
      <c r="I195" s="35"/>
      <c r="J195" s="20">
        <f t="shared" si="23"/>
        <v>426986.68533541914</v>
      </c>
      <c r="K195" s="20"/>
      <c r="L195" s="26">
        <f t="shared" si="24"/>
        <v>28552815.772531081</v>
      </c>
    </row>
    <row r="196" spans="1:12">
      <c r="A196" s="34">
        <v>273</v>
      </c>
      <c r="B196" s="17">
        <v>50802</v>
      </c>
      <c r="C196" s="26">
        <f t="shared" si="19"/>
        <v>28552815.772531081</v>
      </c>
      <c r="D196" s="26"/>
      <c r="E196" s="23">
        <f>Additions!J280*$C$5</f>
        <v>0</v>
      </c>
      <c r="F196" s="23">
        <f t="shared" si="20"/>
        <v>178455.09857831924</v>
      </c>
      <c r="G196" s="23">
        <f t="shared" si="21"/>
        <v>2221764.2990271896</v>
      </c>
      <c r="H196" s="35">
        <f t="shared" si="22"/>
        <v>-2043309.2004488704</v>
      </c>
      <c r="I196" s="35"/>
      <c r="J196" s="20">
        <f t="shared" si="23"/>
        <v>429094.9320942628</v>
      </c>
      <c r="K196" s="20"/>
      <c r="L196" s="26">
        <f t="shared" si="24"/>
        <v>26938601.504176471</v>
      </c>
    </row>
    <row r="197" spans="1:12">
      <c r="A197" s="34">
        <v>274</v>
      </c>
      <c r="B197" s="17">
        <v>50830</v>
      </c>
      <c r="C197" s="26">
        <f t="shared" si="19"/>
        <v>26938601.504176471</v>
      </c>
      <c r="D197" s="26"/>
      <c r="E197" s="23">
        <f>Additions!J281*$C$5</f>
        <v>0</v>
      </c>
      <c r="F197" s="23">
        <f t="shared" si="20"/>
        <v>168366.25940110293</v>
      </c>
      <c r="G197" s="23">
        <f t="shared" si="21"/>
        <v>2221764.2990271896</v>
      </c>
      <c r="H197" s="35">
        <f t="shared" si="22"/>
        <v>-2053398.0396260866</v>
      </c>
      <c r="I197" s="35"/>
      <c r="J197" s="20">
        <f t="shared" si="23"/>
        <v>431213.58832147816</v>
      </c>
      <c r="K197" s="20"/>
      <c r="L197" s="26">
        <f t="shared" si="24"/>
        <v>25316417.052871861</v>
      </c>
    </row>
    <row r="198" spans="1:12">
      <c r="A198" s="34">
        <v>275</v>
      </c>
      <c r="B198" s="17">
        <v>50861</v>
      </c>
      <c r="C198" s="26">
        <f t="shared" si="19"/>
        <v>25316417.052871861</v>
      </c>
      <c r="D198" s="26"/>
      <c r="E198" s="23">
        <f>Additions!J282*$C$5</f>
        <v>0</v>
      </c>
      <c r="F198" s="23">
        <f t="shared" si="20"/>
        <v>158227.60658044912</v>
      </c>
      <c r="G198" s="23">
        <f t="shared" si="21"/>
        <v>2221764.2990271896</v>
      </c>
      <c r="H198" s="35">
        <f t="shared" si="22"/>
        <v>-2063536.6924467406</v>
      </c>
      <c r="I198" s="35"/>
      <c r="J198" s="20">
        <f t="shared" si="23"/>
        <v>433342.70541381551</v>
      </c>
      <c r="K198" s="20"/>
      <c r="L198" s="26">
        <f t="shared" si="24"/>
        <v>23686223.065838933</v>
      </c>
    </row>
    <row r="199" spans="1:12">
      <c r="A199" s="34">
        <v>276</v>
      </c>
      <c r="B199" s="17">
        <v>50891</v>
      </c>
      <c r="C199" s="26">
        <f t="shared" si="19"/>
        <v>23686223.065838933</v>
      </c>
      <c r="D199" s="26"/>
      <c r="E199" s="23">
        <f>Additions!J283*$C$5</f>
        <v>0</v>
      </c>
      <c r="F199" s="23">
        <f t="shared" si="20"/>
        <v>148038.89416149331</v>
      </c>
      <c r="G199" s="23">
        <f t="shared" si="21"/>
        <v>2221764.2990271896</v>
      </c>
      <c r="H199" s="35">
        <f t="shared" si="22"/>
        <v>-2073725.4048656963</v>
      </c>
      <c r="I199" s="35"/>
      <c r="J199" s="20">
        <f t="shared" si="23"/>
        <v>435482.33502179623</v>
      </c>
      <c r="K199" s="20"/>
      <c r="L199" s="26">
        <f t="shared" si="24"/>
        <v>22047979.995995034</v>
      </c>
    </row>
    <row r="200" spans="1:12">
      <c r="A200" s="34">
        <v>277</v>
      </c>
      <c r="B200" s="17">
        <v>50922</v>
      </c>
      <c r="C200" s="26">
        <f t="shared" si="19"/>
        <v>22047979.995995034</v>
      </c>
      <c r="D200" s="26"/>
      <c r="E200" s="23">
        <f>Additions!J284*$C$5</f>
        <v>0</v>
      </c>
      <c r="F200" s="23">
        <f t="shared" si="20"/>
        <v>137799.87497496896</v>
      </c>
      <c r="G200" s="23">
        <f t="shared" si="21"/>
        <v>2221764.2990271896</v>
      </c>
      <c r="H200" s="35">
        <f t="shared" si="22"/>
        <v>-2083964.4240522208</v>
      </c>
      <c r="I200" s="35"/>
      <c r="J200" s="20">
        <f t="shared" si="23"/>
        <v>437632.52905096632</v>
      </c>
      <c r="K200" s="20"/>
      <c r="L200" s="26">
        <f t="shared" si="24"/>
        <v>20401648.100993779</v>
      </c>
    </row>
    <row r="201" spans="1:12">
      <c r="A201" s="34">
        <v>278</v>
      </c>
      <c r="B201" s="17">
        <v>50952</v>
      </c>
      <c r="C201" s="26">
        <f t="shared" si="19"/>
        <v>20401648.100993779</v>
      </c>
      <c r="D201" s="26"/>
      <c r="E201" s="23">
        <f>Additions!J285*$C$5</f>
        <v>0</v>
      </c>
      <c r="F201" s="23">
        <f t="shared" si="20"/>
        <v>127510.30063121111</v>
      </c>
      <c r="G201" s="23">
        <f t="shared" si="21"/>
        <v>2221764.2990271896</v>
      </c>
      <c r="H201" s="35">
        <f t="shared" si="22"/>
        <v>-2094253.9983959785</v>
      </c>
      <c r="I201" s="35"/>
      <c r="J201" s="20">
        <f t="shared" si="23"/>
        <v>439793.33966315544</v>
      </c>
      <c r="K201" s="20"/>
      <c r="L201" s="26">
        <f t="shared" si="24"/>
        <v>18747187.442260955</v>
      </c>
    </row>
    <row r="202" spans="1:12">
      <c r="A202" s="34">
        <v>279</v>
      </c>
      <c r="B202" s="17">
        <v>50983</v>
      </c>
      <c r="C202" s="26">
        <f t="shared" si="19"/>
        <v>18747187.442260955</v>
      </c>
      <c r="D202" s="26"/>
      <c r="E202" s="23">
        <f>Additions!J286*$C$5</f>
        <v>0</v>
      </c>
      <c r="F202" s="23">
        <f t="shared" si="20"/>
        <v>117169.92151413095</v>
      </c>
      <c r="G202" s="23">
        <f t="shared" si="21"/>
        <v>2221764.2990271896</v>
      </c>
      <c r="H202" s="35">
        <f t="shared" si="22"/>
        <v>-2104594.3775130585</v>
      </c>
      <c r="I202" s="35"/>
      <c r="J202" s="20">
        <f t="shared" si="23"/>
        <v>441964.81927774224</v>
      </c>
      <c r="K202" s="20"/>
      <c r="L202" s="26">
        <f t="shared" si="24"/>
        <v>17084557.884025637</v>
      </c>
    </row>
    <row r="203" spans="1:12">
      <c r="A203" s="34">
        <v>280</v>
      </c>
      <c r="B203" s="17">
        <v>51014</v>
      </c>
      <c r="C203" s="26">
        <f t="shared" si="19"/>
        <v>17084557.884025637</v>
      </c>
      <c r="D203" s="26"/>
      <c r="E203" s="23">
        <f>Additions!J287*$C$5</f>
        <v>0</v>
      </c>
      <c r="F203" s="23">
        <f t="shared" si="20"/>
        <v>106778.48677516023</v>
      </c>
      <c r="G203" s="23">
        <f t="shared" si="21"/>
        <v>2221764.2990271896</v>
      </c>
      <c r="H203" s="35">
        <f t="shared" si="22"/>
        <v>-2114985.8122520293</v>
      </c>
      <c r="I203" s="35"/>
      <c r="J203" s="20">
        <f t="shared" si="23"/>
        <v>444147.02057292615</v>
      </c>
      <c r="K203" s="20"/>
      <c r="L203" s="26">
        <f t="shared" si="24"/>
        <v>15413719.092346534</v>
      </c>
    </row>
    <row r="204" spans="1:12">
      <c r="A204" s="34">
        <v>281</v>
      </c>
      <c r="B204" s="17">
        <v>51044</v>
      </c>
      <c r="C204" s="26">
        <f t="shared" si="19"/>
        <v>15413719.092346534</v>
      </c>
      <c r="D204" s="26"/>
      <c r="E204" s="23">
        <f>Additions!J288*$C$5</f>
        <v>0</v>
      </c>
      <c r="F204" s="23">
        <f t="shared" si="20"/>
        <v>96335.744327165827</v>
      </c>
      <c r="G204" s="23">
        <f t="shared" si="21"/>
        <v>2221764.2990271896</v>
      </c>
      <c r="H204" s="35">
        <f t="shared" si="22"/>
        <v>-2125428.554700024</v>
      </c>
      <c r="I204" s="35"/>
      <c r="J204" s="20">
        <f t="shared" si="23"/>
        <v>446339.99648700503</v>
      </c>
      <c r="K204" s="20"/>
      <c r="L204" s="26">
        <f t="shared" si="24"/>
        <v>13734630.534133514</v>
      </c>
    </row>
    <row r="205" spans="1:12">
      <c r="A205" s="34">
        <v>282</v>
      </c>
      <c r="B205" s="17">
        <v>51075</v>
      </c>
      <c r="C205" s="26">
        <f t="shared" si="19"/>
        <v>13734630.534133514</v>
      </c>
      <c r="D205" s="26"/>
      <c r="E205" s="23">
        <f>Additions!J289*$C$5</f>
        <v>0</v>
      </c>
      <c r="F205" s="23">
        <f t="shared" si="20"/>
        <v>85841.440838334456</v>
      </c>
      <c r="G205" s="23">
        <f t="shared" si="21"/>
        <v>2221764.2990271896</v>
      </c>
      <c r="H205" s="35">
        <f t="shared" si="22"/>
        <v>-2135922.858188855</v>
      </c>
      <c r="I205" s="35"/>
      <c r="J205" s="20">
        <f t="shared" si="23"/>
        <v>448543.80021965952</v>
      </c>
      <c r="K205" s="20"/>
      <c r="L205" s="26">
        <f t="shared" si="24"/>
        <v>12047251.476164319</v>
      </c>
    </row>
    <row r="206" spans="1:12">
      <c r="A206" s="34">
        <v>283</v>
      </c>
      <c r="B206" s="17">
        <v>51105</v>
      </c>
      <c r="C206" s="26">
        <f t="shared" si="19"/>
        <v>12047251.476164319</v>
      </c>
      <c r="D206" s="26"/>
      <c r="E206" s="23">
        <f>Additions!J290*$C$5</f>
        <v>0</v>
      </c>
      <c r="F206" s="23">
        <f t="shared" si="20"/>
        <v>75295.321726026988</v>
      </c>
      <c r="G206" s="23">
        <f t="shared" si="21"/>
        <v>2221764.2990271896</v>
      </c>
      <c r="H206" s="35">
        <f t="shared" si="22"/>
        <v>-2146468.9773011627</v>
      </c>
      <c r="I206" s="35"/>
      <c r="J206" s="20">
        <f t="shared" si="23"/>
        <v>450758.48523324414</v>
      </c>
      <c r="K206" s="20"/>
      <c r="L206" s="26">
        <f t="shared" si="24"/>
        <v>10351540.9840964</v>
      </c>
    </row>
    <row r="207" spans="1:12">
      <c r="A207" s="34">
        <v>284</v>
      </c>
      <c r="B207" s="17">
        <v>51136</v>
      </c>
      <c r="C207" s="26">
        <f t="shared" si="19"/>
        <v>10351540.9840964</v>
      </c>
      <c r="D207" s="26"/>
      <c r="E207" s="23">
        <f>Additions!J291*$C$5</f>
        <v>0</v>
      </c>
      <c r="F207" s="23">
        <f t="shared" si="20"/>
        <v>64697.131150602494</v>
      </c>
      <c r="G207" s="23">
        <f t="shared" si="21"/>
        <v>2221764.2990271896</v>
      </c>
      <c r="H207" s="35">
        <f t="shared" si="22"/>
        <v>-2157067.1678765872</v>
      </c>
      <c r="I207" s="35"/>
      <c r="J207" s="20">
        <f t="shared" si="23"/>
        <v>452984.10525408329</v>
      </c>
      <c r="K207" s="20"/>
      <c r="L207" s="26">
        <f t="shared" si="24"/>
        <v>8647457.921473898</v>
      </c>
    </row>
    <row r="208" spans="1:12">
      <c r="A208" s="34">
        <v>285</v>
      </c>
      <c r="B208" s="17">
        <v>51167</v>
      </c>
      <c r="C208" s="26">
        <f t="shared" si="19"/>
        <v>8647457.921473898</v>
      </c>
      <c r="D208" s="26"/>
      <c r="E208" s="23">
        <f>Additions!J292*$C$5</f>
        <v>0</v>
      </c>
      <c r="F208" s="23">
        <f t="shared" si="20"/>
        <v>54046.612009211858</v>
      </c>
      <c r="G208" s="23">
        <f t="shared" si="21"/>
        <v>2221764.2990271896</v>
      </c>
      <c r="H208" s="35">
        <f t="shared" si="22"/>
        <v>-2167717.6870179777</v>
      </c>
      <c r="I208" s="35"/>
      <c r="J208" s="20">
        <f t="shared" si="23"/>
        <v>455220.71427377529</v>
      </c>
      <c r="K208" s="20"/>
      <c r="L208" s="26">
        <f t="shared" si="24"/>
        <v>6934960.9487296958</v>
      </c>
    </row>
    <row r="209" spans="1:12">
      <c r="A209" s="34">
        <v>286</v>
      </c>
      <c r="B209" s="17">
        <v>51196</v>
      </c>
      <c r="C209" s="26">
        <f t="shared" si="19"/>
        <v>6934960.9487296958</v>
      </c>
      <c r="D209" s="26"/>
      <c r="E209" s="23">
        <f>Additions!J293*$C$5</f>
        <v>0</v>
      </c>
      <c r="F209" s="23">
        <f t="shared" si="20"/>
        <v>43343.505929560597</v>
      </c>
      <c r="G209" s="23">
        <f t="shared" si="21"/>
        <v>2221764.2990271896</v>
      </c>
      <c r="H209" s="35">
        <f t="shared" si="22"/>
        <v>-2178420.7930976292</v>
      </c>
      <c r="I209" s="35"/>
      <c r="J209" s="20">
        <f t="shared" si="23"/>
        <v>457468.36655050213</v>
      </c>
      <c r="K209" s="20"/>
      <c r="L209" s="26">
        <f t="shared" si="24"/>
        <v>5214008.5221825689</v>
      </c>
    </row>
    <row r="210" spans="1:12">
      <c r="A210" s="34">
        <v>287</v>
      </c>
      <c r="B210" s="17">
        <v>51227</v>
      </c>
      <c r="C210" s="26">
        <f t="shared" si="19"/>
        <v>5214008.5221825689</v>
      </c>
      <c r="D210" s="26"/>
      <c r="E210" s="23">
        <f>Additions!J294*$C$5</f>
        <v>0</v>
      </c>
      <c r="F210" s="23">
        <f t="shared" si="20"/>
        <v>32587.553263641053</v>
      </c>
      <c r="G210" s="23">
        <f t="shared" si="21"/>
        <v>2221764.2990271896</v>
      </c>
      <c r="H210" s="35">
        <f t="shared" si="22"/>
        <v>-2189176.7457635486</v>
      </c>
      <c r="I210" s="35"/>
      <c r="J210" s="20">
        <f t="shared" si="23"/>
        <v>459727.1166103452</v>
      </c>
      <c r="K210" s="20"/>
      <c r="L210" s="26">
        <f t="shared" si="24"/>
        <v>3484558.8930293657</v>
      </c>
    </row>
    <row r="211" spans="1:12">
      <c r="A211" s="34">
        <v>288</v>
      </c>
      <c r="B211" s="17">
        <v>51257</v>
      </c>
      <c r="C211" s="26">
        <f t="shared" si="19"/>
        <v>3484558.8930293657</v>
      </c>
      <c r="D211" s="26"/>
      <c r="E211" s="23">
        <f>Additions!J295*$C$5</f>
        <v>0</v>
      </c>
      <c r="F211" s="23">
        <f t="shared" si="20"/>
        <v>21778.493081433535</v>
      </c>
      <c r="G211" s="23">
        <f t="shared" si="21"/>
        <v>2221764.2990271896</v>
      </c>
      <c r="H211" s="35">
        <f t="shared" si="22"/>
        <v>-2199985.8059457559</v>
      </c>
      <c r="I211" s="35"/>
      <c r="J211" s="20">
        <f t="shared" si="23"/>
        <v>461997.01924860873</v>
      </c>
      <c r="K211" s="20"/>
      <c r="L211" s="26">
        <f t="shared" si="24"/>
        <v>1746570.1063322185</v>
      </c>
    </row>
    <row r="212" spans="1:12">
      <c r="A212" s="34">
        <v>289</v>
      </c>
      <c r="B212" s="17">
        <v>51288</v>
      </c>
      <c r="C212" s="26">
        <f t="shared" si="19"/>
        <v>1746570.1063322185</v>
      </c>
      <c r="D212" s="26"/>
      <c r="E212" s="23">
        <f>Additions!J296*$C$5</f>
        <v>0</v>
      </c>
      <c r="F212" s="23">
        <f t="shared" si="20"/>
        <v>10916.063164576364</v>
      </c>
      <c r="G212" s="23">
        <f t="shared" si="21"/>
        <v>2221764.2990271896</v>
      </c>
      <c r="H212" s="35">
        <f t="shared" si="22"/>
        <v>-2210848.2358626132</v>
      </c>
      <c r="I212" s="35"/>
      <c r="J212" s="20">
        <f t="shared" si="23"/>
        <v>464278.12953114876</v>
      </c>
      <c r="K212" s="20"/>
      <c r="L212" s="26">
        <f t="shared" si="24"/>
        <v>7.5408024713397026E-7</v>
      </c>
    </row>
    <row r="213" spans="1:12">
      <c r="B213" s="17" t="s">
        <v>62</v>
      </c>
      <c r="C213" s="26"/>
      <c r="D213" s="26"/>
      <c r="E213" s="23">
        <f>SUM(E8:E212)</f>
        <v>0</v>
      </c>
      <c r="F213" s="23">
        <f>SUM(F8:F212)</f>
        <v>167893596.84038544</v>
      </c>
      <c r="G213" s="27">
        <f>SUM(G8:G212)</f>
        <v>453239917.00154883</v>
      </c>
      <c r="H213" s="21">
        <f>SUM(H8:H212)</f>
        <v>-285346320.16116101</v>
      </c>
      <c r="I213" s="21"/>
      <c r="J213" s="19">
        <f>SUM(J8:J212)</f>
        <v>5.2902515744790435E-4</v>
      </c>
      <c r="K213" s="19">
        <f>SUM(K8:K212)</f>
        <v>1.9911873969249427E-3</v>
      </c>
      <c r="L213" s="34" t="s">
        <v>69</v>
      </c>
    </row>
    <row r="214" spans="1:12">
      <c r="A214" s="34" t="s">
        <v>73</v>
      </c>
    </row>
    <row r="215" spans="1:12">
      <c r="G215" s="27">
        <f>-H213+F213</f>
        <v>453239917.00154644</v>
      </c>
    </row>
  </sheetData>
  <mergeCells count="2">
    <mergeCell ref="E5:H5"/>
    <mergeCell ref="N6:Q6"/>
  </mergeCells>
  <pageMargins left="0.2" right="0.2" top="0.5" bottom="0.5" header="0.3" footer="0.3"/>
  <pageSetup scale="64" firstPageNumber="6" fitToHeight="4" orientation="landscape" useFirstPageNumber="1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09"/>
  <sheetViews>
    <sheetView zoomScaleNormal="100" workbookViewId="0">
      <pane ySplit="6" topLeftCell="A67" activePane="bottomLeft" state="frozen"/>
      <selection activeCell="C10" sqref="C10"/>
      <selection pane="bottomLeft" activeCell="I104" sqref="I104"/>
    </sheetView>
  </sheetViews>
  <sheetFormatPr defaultColWidth="9.140625" defaultRowHeight="12.75"/>
  <cols>
    <col min="1" max="1" width="9.85546875" style="144" customWidth="1"/>
    <col min="2" max="2" width="35.140625" style="144" bestFit="1" customWidth="1"/>
    <col min="3" max="3" width="28" style="144" bestFit="1" customWidth="1"/>
    <col min="4" max="4" width="2.7109375" style="144" customWidth="1"/>
    <col min="5" max="5" width="26.28515625" style="144" customWidth="1"/>
    <col min="6" max="6" width="19.42578125" style="144" customWidth="1"/>
    <col min="7" max="7" width="23.42578125" style="144" bestFit="1" customWidth="1"/>
    <col min="8" max="9" width="24" style="150" bestFit="1" customWidth="1"/>
    <col min="10" max="10" width="3" style="150" customWidth="1"/>
    <col min="11" max="11" width="24.85546875" style="150" bestFit="1" customWidth="1"/>
    <col min="12" max="12" width="24.85546875" style="150" customWidth="1"/>
    <col min="13" max="13" width="22.5703125" style="150" bestFit="1" customWidth="1"/>
    <col min="14" max="14" width="23.42578125" style="144" bestFit="1" customWidth="1"/>
    <col min="15" max="15" width="20.5703125" style="144" bestFit="1" customWidth="1"/>
    <col min="16" max="16" width="12" style="144" bestFit="1" customWidth="1"/>
    <col min="17" max="16384" width="9.140625" style="144"/>
  </cols>
  <sheetData>
    <row r="1" spans="1:15">
      <c r="B1" s="144" t="s">
        <v>68</v>
      </c>
      <c r="E1" s="144" t="s">
        <v>127</v>
      </c>
      <c r="G1" s="144" t="s">
        <v>148</v>
      </c>
      <c r="O1" s="242">
        <v>-44395986.109999999</v>
      </c>
    </row>
    <row r="2" spans="1:15">
      <c r="B2" s="144" t="s">
        <v>58</v>
      </c>
      <c r="C2" s="151">
        <v>0.10128</v>
      </c>
      <c r="D2" s="151"/>
      <c r="E2" s="151">
        <v>7.8799999999999995E-2</v>
      </c>
      <c r="G2" s="151">
        <v>7.4999999999999997E-2</v>
      </c>
      <c r="H2" s="152"/>
    </row>
    <row r="3" spans="1:15">
      <c r="B3" s="144" t="s">
        <v>63</v>
      </c>
      <c r="C3" s="151">
        <f>C2/12</f>
        <v>8.4399999999999996E-3</v>
      </c>
      <c r="D3" s="151"/>
      <c r="E3" s="151">
        <f>E2/12</f>
        <v>6.566666666666666E-3</v>
      </c>
      <c r="G3" s="151">
        <f>G2/12</f>
        <v>6.2499999999999995E-3</v>
      </c>
    </row>
    <row r="4" spans="1:15">
      <c r="B4" s="144" t="s">
        <v>64</v>
      </c>
      <c r="C4" s="146">
        <v>1316560.7750258404</v>
      </c>
      <c r="D4" s="146"/>
      <c r="F4" s="144" t="s">
        <v>128</v>
      </c>
      <c r="K4" s="153"/>
      <c r="L4" s="153"/>
      <c r="M4" s="153"/>
    </row>
    <row r="5" spans="1:15">
      <c r="B5" s="144" t="s">
        <v>80</v>
      </c>
      <c r="C5" s="154">
        <v>0.98599999999999999</v>
      </c>
      <c r="D5" s="155"/>
      <c r="E5" s="154">
        <v>0.98499999999999999</v>
      </c>
      <c r="F5" s="156">
        <v>0.21</v>
      </c>
      <c r="G5" s="154">
        <v>0.98499999999999999</v>
      </c>
      <c r="H5" s="154"/>
      <c r="I5" s="154"/>
      <c r="J5" s="157"/>
      <c r="K5" s="158"/>
      <c r="L5" s="158"/>
      <c r="M5" s="158"/>
      <c r="N5" s="143"/>
    </row>
    <row r="6" spans="1:15" ht="47.25" customHeight="1">
      <c r="A6" s="143" t="s">
        <v>1</v>
      </c>
      <c r="B6" s="143" t="s">
        <v>63</v>
      </c>
      <c r="C6" s="159" t="s">
        <v>72</v>
      </c>
      <c r="D6" s="159"/>
      <c r="E6" s="159" t="s">
        <v>59</v>
      </c>
      <c r="F6" s="159" t="s">
        <v>60</v>
      </c>
      <c r="G6" s="159" t="s">
        <v>83</v>
      </c>
      <c r="H6" s="159" t="s">
        <v>93</v>
      </c>
      <c r="I6" s="159" t="s">
        <v>94</v>
      </c>
      <c r="J6" s="159"/>
      <c r="K6" s="159" t="s">
        <v>84</v>
      </c>
      <c r="L6" s="159" t="s">
        <v>146</v>
      </c>
      <c r="M6" s="159" t="s">
        <v>70</v>
      </c>
      <c r="N6" s="159" t="s">
        <v>71</v>
      </c>
      <c r="O6" s="159" t="s">
        <v>79</v>
      </c>
    </row>
    <row r="7" spans="1:15">
      <c r="B7" s="160">
        <v>42185</v>
      </c>
      <c r="C7" s="161"/>
      <c r="D7" s="161"/>
      <c r="I7" s="153">
        <v>193208573.36056</v>
      </c>
      <c r="J7" s="153"/>
      <c r="K7" s="153" t="s">
        <v>2</v>
      </c>
      <c r="L7" s="153"/>
      <c r="M7" s="153">
        <v>-65108222.228076994</v>
      </c>
      <c r="N7" s="162">
        <v>128100351.13248301</v>
      </c>
      <c r="O7" s="162" t="s">
        <v>2</v>
      </c>
    </row>
    <row r="8" spans="1:15">
      <c r="A8" s="144">
        <v>1</v>
      </c>
      <c r="B8" s="163">
        <v>42186</v>
      </c>
      <c r="C8" s="162">
        <v>128100351.13248301</v>
      </c>
      <c r="D8" s="162"/>
      <c r="E8" s="146">
        <f>Additions!J8*$C$5</f>
        <v>2301190.3082599998</v>
      </c>
      <c r="F8" s="146">
        <f>N7*$C$3</f>
        <v>1081166.9635581565</v>
      </c>
      <c r="G8" s="146">
        <v>862519.87</v>
      </c>
      <c r="H8" s="164">
        <f>E8+F8-G8</f>
        <v>2519837.4018181562</v>
      </c>
      <c r="I8" s="165">
        <f>+I7+H8</f>
        <v>195728410.76237816</v>
      </c>
      <c r="J8" s="165"/>
      <c r="K8" s="165">
        <f>-Additions!L8*0.35</f>
        <v>-429968.35</v>
      </c>
      <c r="L8" s="165"/>
      <c r="M8" s="165">
        <f>M7+K8</f>
        <v>-65538190.578076996</v>
      </c>
      <c r="N8" s="162">
        <f t="shared" ref="N8:N13" si="0">C8+E8+F8-G8+K8</f>
        <v>130190220.18430115</v>
      </c>
      <c r="O8" s="149">
        <f>F8-G8</f>
        <v>218647.09355815651</v>
      </c>
    </row>
    <row r="9" spans="1:15">
      <c r="A9" s="144">
        <v>2</v>
      </c>
      <c r="B9" s="163">
        <v>42217</v>
      </c>
      <c r="C9" s="162">
        <f t="shared" ref="C9:C43" si="1">N8</f>
        <v>130190220.18430115</v>
      </c>
      <c r="D9" s="162"/>
      <c r="E9" s="146">
        <f>Additions!J9*$C$5</f>
        <v>816670.2069799999</v>
      </c>
      <c r="F9" s="146">
        <f>N8*$C$3</f>
        <v>1098805.4583555018</v>
      </c>
      <c r="G9" s="146">
        <v>1720480.79</v>
      </c>
      <c r="H9" s="165">
        <f t="shared" ref="H9:H43" si="2">E9+F9-G9</f>
        <v>194994.87533550151</v>
      </c>
      <c r="I9" s="165">
        <f>+I8+H9</f>
        <v>195923405.63771367</v>
      </c>
      <c r="J9" s="165"/>
      <c r="K9" s="165">
        <f>-Additions!L9*0.35</f>
        <v>-292269.25</v>
      </c>
      <c r="L9" s="165"/>
      <c r="M9" s="165">
        <f t="shared" ref="M9:M43" si="3">M8+K9</f>
        <v>-65830459.828076996</v>
      </c>
      <c r="N9" s="162">
        <f t="shared" si="0"/>
        <v>130092945.80963665</v>
      </c>
      <c r="O9" s="149">
        <f t="shared" ref="O9:O38" si="4">F9-G9</f>
        <v>-621675.33164449828</v>
      </c>
    </row>
    <row r="10" spans="1:15">
      <c r="A10" s="144">
        <v>3</v>
      </c>
      <c r="B10" s="163">
        <v>42248</v>
      </c>
      <c r="C10" s="162">
        <f t="shared" si="1"/>
        <v>130092945.80963665</v>
      </c>
      <c r="D10" s="162"/>
      <c r="E10" s="146">
        <f>Additions!J10*$C$5</f>
        <v>988202.21127999993</v>
      </c>
      <c r="F10" s="146">
        <f>N9*$C$3</f>
        <v>1097984.4626333334</v>
      </c>
      <c r="G10" s="146">
        <v>1005141.8</v>
      </c>
      <c r="H10" s="165">
        <f t="shared" si="2"/>
        <v>1081044.8739133333</v>
      </c>
      <c r="I10" s="165">
        <f>+I9+H10</f>
        <v>197004450.51162702</v>
      </c>
      <c r="J10" s="165"/>
      <c r="K10" s="165">
        <f>-Additions!L10*0.35</f>
        <v>-327647.94999999995</v>
      </c>
      <c r="L10" s="165"/>
      <c r="M10" s="165">
        <f t="shared" si="3"/>
        <v>-66158107.778076999</v>
      </c>
      <c r="N10" s="162">
        <f t="shared" si="0"/>
        <v>130846342.73354998</v>
      </c>
      <c r="O10" s="149">
        <f>F10-G10</f>
        <v>92842.662633333355</v>
      </c>
    </row>
    <row r="11" spans="1:15">
      <c r="A11" s="144">
        <v>4</v>
      </c>
      <c r="B11" s="163">
        <v>42278</v>
      </c>
      <c r="C11" s="162">
        <f t="shared" si="1"/>
        <v>130846342.73354998</v>
      </c>
      <c r="D11" s="162"/>
      <c r="E11" s="146">
        <f>Additions!J11*$C$5</f>
        <v>931778.53876000014</v>
      </c>
      <c r="F11" s="146">
        <f>N10*$C$3</f>
        <v>1104343.1326711618</v>
      </c>
      <c r="G11" s="146">
        <v>1310039.17</v>
      </c>
      <c r="H11" s="165">
        <f t="shared" si="2"/>
        <v>726082.501431162</v>
      </c>
      <c r="I11" s="165">
        <f>+I10+H11</f>
        <v>197730533.01305819</v>
      </c>
      <c r="J11" s="165"/>
      <c r="K11" s="165">
        <f>-Additions!L11*0.35</f>
        <v>-337002.75</v>
      </c>
      <c r="L11" s="165"/>
      <c r="M11" s="165">
        <f t="shared" si="3"/>
        <v>-66495110.528076999</v>
      </c>
      <c r="N11" s="162">
        <f t="shared" si="0"/>
        <v>131235422.48498115</v>
      </c>
      <c r="O11" s="149">
        <f t="shared" si="4"/>
        <v>-205696.03732883814</v>
      </c>
    </row>
    <row r="12" spans="1:15">
      <c r="A12" s="144">
        <v>5</v>
      </c>
      <c r="B12" s="163">
        <v>42309</v>
      </c>
      <c r="C12" s="162">
        <f t="shared" si="1"/>
        <v>131235422.48498115</v>
      </c>
      <c r="D12" s="162"/>
      <c r="E12" s="146">
        <f>Additions!J12*$C$5</f>
        <v>1928313.1303799998</v>
      </c>
      <c r="F12" s="146">
        <f>N11*$C$3</f>
        <v>1107626.9657732409</v>
      </c>
      <c r="G12" s="146">
        <v>986500.57</v>
      </c>
      <c r="H12" s="164">
        <f>E12+F12-G12</f>
        <v>2049439.5261532408</v>
      </c>
      <c r="I12" s="165">
        <f>+I11+H12</f>
        <v>199779972.53921142</v>
      </c>
      <c r="J12" s="165"/>
      <c r="K12" s="165">
        <f>-Additions!L12*0.35</f>
        <v>-645895.25</v>
      </c>
      <c r="L12" s="165"/>
      <c r="M12" s="165">
        <f t="shared" si="3"/>
        <v>-67141005.778077006</v>
      </c>
      <c r="N12" s="162">
        <f t="shared" si="0"/>
        <v>132638966.76113442</v>
      </c>
      <c r="O12" s="149">
        <f>F12-G12</f>
        <v>121126.39577324095</v>
      </c>
    </row>
    <row r="13" spans="1:15">
      <c r="A13" s="144">
        <v>6</v>
      </c>
      <c r="B13" s="147" t="s">
        <v>110</v>
      </c>
      <c r="C13" s="162">
        <f t="shared" si="1"/>
        <v>132638966.76113442</v>
      </c>
      <c r="D13" s="162"/>
      <c r="E13" s="146">
        <f>Additions!J13*$C$5</f>
        <v>0</v>
      </c>
      <c r="F13" s="146">
        <v>0</v>
      </c>
      <c r="G13" s="146">
        <v>0</v>
      </c>
      <c r="H13" s="164">
        <f>E13+F13-G13</f>
        <v>0</v>
      </c>
      <c r="I13" s="165">
        <f t="shared" ref="I13:I44" si="5">+I12+H13</f>
        <v>199779972.53921142</v>
      </c>
      <c r="J13" s="165"/>
      <c r="K13" s="165">
        <f>-Additions!L13*0.35</f>
        <v>-1365806.4</v>
      </c>
      <c r="L13" s="165"/>
      <c r="M13" s="165">
        <f t="shared" si="3"/>
        <v>-68506812.178077012</v>
      </c>
      <c r="N13" s="162">
        <f t="shared" si="0"/>
        <v>131273160.36113441</v>
      </c>
      <c r="O13" s="149">
        <f>F13-G13</f>
        <v>0</v>
      </c>
    </row>
    <row r="14" spans="1:15">
      <c r="A14" s="144">
        <v>7</v>
      </c>
      <c r="B14" s="163">
        <v>42339</v>
      </c>
      <c r="C14" s="162">
        <f t="shared" si="1"/>
        <v>131273160.36113441</v>
      </c>
      <c r="D14" s="162"/>
      <c r="E14" s="146">
        <f>Additions!J14*$C$5</f>
        <v>2250117.6774600004</v>
      </c>
      <c r="F14" s="146">
        <f>N13*$C$3</f>
        <v>1107945.4734479743</v>
      </c>
      <c r="G14" s="146">
        <v>1275419.93</v>
      </c>
      <c r="H14" s="165">
        <f t="shared" si="2"/>
        <v>2082643.2209079748</v>
      </c>
      <c r="I14" s="165">
        <f t="shared" si="5"/>
        <v>201862615.76011941</v>
      </c>
      <c r="J14" s="165"/>
      <c r="K14" s="165">
        <f>-Additions!L14*0.35</f>
        <v>-794115</v>
      </c>
      <c r="L14" s="165"/>
      <c r="M14" s="165">
        <f t="shared" si="3"/>
        <v>-69300927.178077012</v>
      </c>
      <c r="N14" s="162">
        <f t="shared" ref="N14:N24" si="6">C14+E14+F14-G14+K14</f>
        <v>132561688.58204237</v>
      </c>
      <c r="O14" s="149">
        <f t="shared" si="4"/>
        <v>-167474.45655202563</v>
      </c>
    </row>
    <row r="15" spans="1:15">
      <c r="A15" s="144">
        <v>8</v>
      </c>
      <c r="B15" s="163">
        <v>42370</v>
      </c>
      <c r="C15" s="162">
        <f t="shared" si="1"/>
        <v>132561688.58204237</v>
      </c>
      <c r="D15" s="162"/>
      <c r="E15" s="146">
        <f>Additions!J15*$C$5</f>
        <v>2011546.0147200001</v>
      </c>
      <c r="F15" s="146">
        <f t="shared" ref="F15:F21" si="7">N14*$C$3</f>
        <v>1118820.6516324375</v>
      </c>
      <c r="G15" s="146">
        <v>1595851.46</v>
      </c>
      <c r="H15" s="165">
        <f t="shared" si="2"/>
        <v>1534515.2063524378</v>
      </c>
      <c r="I15" s="165">
        <f t="shared" si="5"/>
        <v>203397130.96647185</v>
      </c>
      <c r="J15" s="165"/>
      <c r="K15" s="165">
        <f>-Additions!L15*0.35</f>
        <v>-740278.7</v>
      </c>
      <c r="L15" s="165"/>
      <c r="M15" s="165">
        <f t="shared" si="3"/>
        <v>-70041205.878077015</v>
      </c>
      <c r="N15" s="162">
        <f t="shared" si="6"/>
        <v>133355925.08839479</v>
      </c>
      <c r="O15" s="149">
        <f t="shared" si="4"/>
        <v>-477030.80836756248</v>
      </c>
    </row>
    <row r="16" spans="1:15">
      <c r="A16" s="144">
        <v>9</v>
      </c>
      <c r="B16" s="163">
        <v>42401</v>
      </c>
      <c r="C16" s="162">
        <f t="shared" si="1"/>
        <v>133355925.08839479</v>
      </c>
      <c r="D16" s="162"/>
      <c r="E16" s="146">
        <f>Additions!J16*$C$5</f>
        <v>2039467.02042</v>
      </c>
      <c r="F16" s="146">
        <f t="shared" si="7"/>
        <v>1125524.007746052</v>
      </c>
      <c r="G16" s="146">
        <v>1526707.51</v>
      </c>
      <c r="H16" s="165">
        <f t="shared" si="2"/>
        <v>1638283.5181660519</v>
      </c>
      <c r="I16" s="165">
        <f t="shared" si="5"/>
        <v>205035414.48463792</v>
      </c>
      <c r="J16" s="165"/>
      <c r="K16" s="165">
        <f>-Additions!L16*0.35</f>
        <v>-714095.2</v>
      </c>
      <c r="L16" s="165"/>
      <c r="M16" s="165">
        <f t="shared" si="3"/>
        <v>-70755301.078077018</v>
      </c>
      <c r="N16" s="162">
        <f t="shared" si="6"/>
        <v>134280113.40656084</v>
      </c>
      <c r="O16" s="149">
        <f t="shared" si="4"/>
        <v>-401183.50225394801</v>
      </c>
    </row>
    <row r="17" spans="1:15">
      <c r="A17" s="144">
        <v>10</v>
      </c>
      <c r="B17" s="163">
        <v>42430</v>
      </c>
      <c r="C17" s="162">
        <f t="shared" si="1"/>
        <v>134280113.40656084</v>
      </c>
      <c r="D17" s="162"/>
      <c r="E17" s="146">
        <f>Additions!J17*$C$5</f>
        <v>3108192.77538</v>
      </c>
      <c r="F17" s="146">
        <f t="shared" si="7"/>
        <v>1133324.1571513733</v>
      </c>
      <c r="G17" s="146">
        <v>1230134.22</v>
      </c>
      <c r="H17" s="165">
        <f t="shared" si="2"/>
        <v>3011382.7125313738</v>
      </c>
      <c r="I17" s="165">
        <f t="shared" si="5"/>
        <v>208046797.1971693</v>
      </c>
      <c r="J17" s="165"/>
      <c r="K17" s="165">
        <f>-Additions!L17*0.35</f>
        <v>-1100389.5</v>
      </c>
      <c r="L17" s="165"/>
      <c r="M17" s="165">
        <f t="shared" si="3"/>
        <v>-71855690.578077018</v>
      </c>
      <c r="N17" s="162">
        <f t="shared" si="6"/>
        <v>136191106.6190922</v>
      </c>
      <c r="O17" s="149">
        <f t="shared" si="4"/>
        <v>-96810.062848626636</v>
      </c>
    </row>
    <row r="18" spans="1:15">
      <c r="A18" s="144">
        <v>11</v>
      </c>
      <c r="B18" s="163">
        <v>42461</v>
      </c>
      <c r="C18" s="162">
        <f t="shared" si="1"/>
        <v>136191106.6190922</v>
      </c>
      <c r="D18" s="162"/>
      <c r="E18" s="146">
        <f>Additions!J18*$C$5</f>
        <v>2238242.7568799998</v>
      </c>
      <c r="F18" s="146">
        <f t="shared" si="7"/>
        <v>1149452.9398651381</v>
      </c>
      <c r="G18" s="146">
        <v>1448879.16</v>
      </c>
      <c r="H18" s="165">
        <f t="shared" si="2"/>
        <v>1938816.5367451378</v>
      </c>
      <c r="I18" s="165">
        <f t="shared" si="5"/>
        <v>209985613.73391443</v>
      </c>
      <c r="J18" s="165"/>
      <c r="K18" s="165">
        <f>-Additions!L18*0.35</f>
        <v>-826144.2</v>
      </c>
      <c r="L18" s="165"/>
      <c r="M18" s="165">
        <f t="shared" si="3"/>
        <v>-72681834.778077021</v>
      </c>
      <c r="N18" s="162">
        <f t="shared" si="6"/>
        <v>137303778.95583734</v>
      </c>
      <c r="O18" s="149">
        <f>F18-G18</f>
        <v>-299426.22013486177</v>
      </c>
    </row>
    <row r="19" spans="1:15">
      <c r="A19" s="144">
        <v>12</v>
      </c>
      <c r="B19" s="163">
        <v>42491</v>
      </c>
      <c r="C19" s="162">
        <f t="shared" si="1"/>
        <v>137303778.95583734</v>
      </c>
      <c r="D19" s="162"/>
      <c r="E19" s="146">
        <f>Additions!J19*$C$5</f>
        <v>2351170.8060200005</v>
      </c>
      <c r="F19" s="146">
        <f t="shared" si="7"/>
        <v>1158843.8943872671</v>
      </c>
      <c r="G19" s="146">
        <v>1111171.07</v>
      </c>
      <c r="H19" s="165">
        <f t="shared" si="2"/>
        <v>2398843.6304072673</v>
      </c>
      <c r="I19" s="165">
        <f t="shared" si="5"/>
        <v>212384457.36432171</v>
      </c>
      <c r="J19" s="165"/>
      <c r="K19" s="165">
        <f>-Additions!L19*0.35</f>
        <v>-842178.75</v>
      </c>
      <c r="L19" s="165"/>
      <c r="M19" s="165">
        <f t="shared" si="3"/>
        <v>-73524013.528077021</v>
      </c>
      <c r="N19" s="162">
        <f t="shared" si="6"/>
        <v>138860443.83624461</v>
      </c>
      <c r="O19" s="149">
        <f>F19-G19</f>
        <v>47672.824387266999</v>
      </c>
    </row>
    <row r="20" spans="1:15">
      <c r="A20" s="144">
        <v>13</v>
      </c>
      <c r="B20" s="163">
        <v>42522</v>
      </c>
      <c r="C20" s="162">
        <f t="shared" si="1"/>
        <v>138860443.83624461</v>
      </c>
      <c r="D20" s="162"/>
      <c r="E20" s="146">
        <f>Additions!J20*$C$5</f>
        <v>921065.09659999993</v>
      </c>
      <c r="F20" s="146">
        <f t="shared" si="7"/>
        <v>1171982.1459779046</v>
      </c>
      <c r="G20" s="146">
        <v>1172648.4099999999</v>
      </c>
      <c r="H20" s="165">
        <f t="shared" si="2"/>
        <v>920398.83257790445</v>
      </c>
      <c r="I20" s="165">
        <f t="shared" si="5"/>
        <v>213304856.19689962</v>
      </c>
      <c r="J20" s="165"/>
      <c r="K20" s="165">
        <f>-Additions!L20*0.35</f>
        <v>-349029.1</v>
      </c>
      <c r="L20" s="165"/>
      <c r="M20" s="165">
        <f t="shared" si="3"/>
        <v>-73873042.628077015</v>
      </c>
      <c r="N20" s="162">
        <f t="shared" si="6"/>
        <v>139431813.56882253</v>
      </c>
      <c r="O20" s="149">
        <f t="shared" si="4"/>
        <v>-666.26402209536172</v>
      </c>
    </row>
    <row r="21" spans="1:15">
      <c r="A21" s="144">
        <v>14</v>
      </c>
      <c r="B21" s="163">
        <v>42552</v>
      </c>
      <c r="C21" s="162">
        <f t="shared" si="1"/>
        <v>139431813.56882253</v>
      </c>
      <c r="D21" s="162"/>
      <c r="E21" s="146">
        <f>Additions!J21*$C$5</f>
        <v>1481327.7487999997</v>
      </c>
      <c r="F21" s="146">
        <f t="shared" si="7"/>
        <v>1176804.5065208622</v>
      </c>
      <c r="G21" s="146">
        <v>1376084.67</v>
      </c>
      <c r="H21" s="165">
        <f t="shared" si="2"/>
        <v>1282047.585320862</v>
      </c>
      <c r="I21" s="165">
        <f t="shared" si="5"/>
        <v>214586903.78222048</v>
      </c>
      <c r="J21" s="165"/>
      <c r="K21" s="165">
        <f>-Additions!L21*0.35</f>
        <v>-533927.79999999993</v>
      </c>
      <c r="L21" s="165"/>
      <c r="M21" s="165">
        <f t="shared" si="3"/>
        <v>-74406970.428077012</v>
      </c>
      <c r="N21" s="162">
        <f t="shared" si="6"/>
        <v>140179933.35414341</v>
      </c>
      <c r="O21" s="149">
        <f t="shared" si="4"/>
        <v>-199280.1634791377</v>
      </c>
    </row>
    <row r="22" spans="1:15">
      <c r="A22" s="144">
        <v>15</v>
      </c>
      <c r="B22" s="163">
        <v>42583</v>
      </c>
      <c r="C22" s="162">
        <f t="shared" si="1"/>
        <v>140179933.35414341</v>
      </c>
      <c r="D22" s="162"/>
      <c r="E22" s="146">
        <f>Additions!J22*$C$5</f>
        <v>4493640.8883199999</v>
      </c>
      <c r="F22" s="146">
        <f t="shared" ref="F22:F37" si="8">N21*$C$3</f>
        <v>1183118.6375089702</v>
      </c>
      <c r="G22" s="146">
        <v>1269969.8899999999</v>
      </c>
      <c r="H22" s="165">
        <f t="shared" si="2"/>
        <v>4406789.6358289709</v>
      </c>
      <c r="I22" s="165">
        <f>+I21+H22</f>
        <v>218993693.41804945</v>
      </c>
      <c r="J22" s="165"/>
      <c r="K22" s="165">
        <f>-Additions!L22*0.35</f>
        <v>-1585094.3499999999</v>
      </c>
      <c r="L22" s="165"/>
      <c r="M22" s="165">
        <f t="shared" si="3"/>
        <v>-75992064.778077006</v>
      </c>
      <c r="N22" s="162">
        <f t="shared" si="6"/>
        <v>143001628.63997239</v>
      </c>
      <c r="O22" s="149">
        <f t="shared" si="4"/>
        <v>-86851.252491029678</v>
      </c>
    </row>
    <row r="23" spans="1:15">
      <c r="A23" s="144">
        <v>16</v>
      </c>
      <c r="B23" s="163">
        <v>42614</v>
      </c>
      <c r="C23" s="162">
        <f t="shared" si="1"/>
        <v>143001628.63997239</v>
      </c>
      <c r="D23" s="162"/>
      <c r="E23" s="146">
        <f>Additions!J23*$C$5</f>
        <v>3388529.81066</v>
      </c>
      <c r="F23" s="146">
        <f t="shared" si="8"/>
        <v>1206933.745721367</v>
      </c>
      <c r="G23" s="146">
        <v>1214458.07</v>
      </c>
      <c r="H23" s="164">
        <f>E23+F23-G23</f>
        <v>3381005.4863813668</v>
      </c>
      <c r="I23" s="165">
        <f>+I22+H23</f>
        <v>222374698.90443081</v>
      </c>
      <c r="J23" s="165"/>
      <c r="K23" s="165">
        <f>-Additions!L23*0.35</f>
        <v>-1188974.8499999999</v>
      </c>
      <c r="L23" s="165"/>
      <c r="M23" s="165">
        <f t="shared" si="3"/>
        <v>-77181039.628077</v>
      </c>
      <c r="N23" s="162">
        <f>C23+E23+F23-G23+K23</f>
        <v>145193659.27635378</v>
      </c>
      <c r="O23" s="149">
        <f t="shared" si="4"/>
        <v>-7524.3242786331102</v>
      </c>
    </row>
    <row r="24" spans="1:15">
      <c r="A24" s="144">
        <v>17</v>
      </c>
      <c r="B24" s="163">
        <v>42644</v>
      </c>
      <c r="C24" s="162">
        <f t="shared" si="1"/>
        <v>145193659.27635378</v>
      </c>
      <c r="D24" s="162"/>
      <c r="E24" s="146">
        <f>Additions!J24*$C$5</f>
        <v>6751667.7253400004</v>
      </c>
      <c r="F24" s="146">
        <f t="shared" si="8"/>
        <v>1225434.4842924259</v>
      </c>
      <c r="G24" s="146">
        <v>1292256.2666471081</v>
      </c>
      <c r="H24" s="165">
        <f t="shared" si="2"/>
        <v>6684845.9429853186</v>
      </c>
      <c r="I24" s="165">
        <f t="shared" si="5"/>
        <v>229059544.84741613</v>
      </c>
      <c r="J24" s="165"/>
      <c r="K24" s="165">
        <f>-Additions!L24*0.35</f>
        <v>-2382525.5999999996</v>
      </c>
      <c r="L24" s="165"/>
      <c r="M24" s="165">
        <f t="shared" si="3"/>
        <v>-79563565.228076994</v>
      </c>
      <c r="N24" s="162">
        <f t="shared" si="6"/>
        <v>149495979.61933911</v>
      </c>
      <c r="O24" s="149">
        <f t="shared" si="4"/>
        <v>-66821.782354682218</v>
      </c>
    </row>
    <row r="25" spans="1:15">
      <c r="A25" s="144">
        <v>18</v>
      </c>
      <c r="B25" s="163">
        <v>42675</v>
      </c>
      <c r="C25" s="162">
        <f t="shared" si="1"/>
        <v>149495979.61933911</v>
      </c>
      <c r="D25" s="162"/>
      <c r="E25" s="146">
        <f>Additions!J25*$C$5</f>
        <v>1883279.6805600002</v>
      </c>
      <c r="F25" s="146">
        <f t="shared" si="8"/>
        <v>1261746.067987222</v>
      </c>
      <c r="G25" s="146">
        <v>1504933.45</v>
      </c>
      <c r="H25" s="165">
        <f t="shared" si="2"/>
        <v>1640092.2985472225</v>
      </c>
      <c r="I25" s="165">
        <f t="shared" si="5"/>
        <v>230699637.14596334</v>
      </c>
      <c r="J25" s="165"/>
      <c r="K25" s="165">
        <f>-Additions!L25*0.35</f>
        <v>-667702.69999999995</v>
      </c>
      <c r="L25" s="165"/>
      <c r="M25" s="165">
        <f t="shared" si="3"/>
        <v>-80231267.928076997</v>
      </c>
      <c r="N25" s="162">
        <f t="shared" ref="N25:N38" si="9">C25+E25+F25-G25+K25</f>
        <v>150468369.21788636</v>
      </c>
      <c r="O25" s="149">
        <f t="shared" si="4"/>
        <v>-243187.38201277796</v>
      </c>
    </row>
    <row r="26" spans="1:15">
      <c r="A26" s="144">
        <v>19</v>
      </c>
      <c r="B26" s="163">
        <v>42705</v>
      </c>
      <c r="C26" s="162">
        <f t="shared" si="1"/>
        <v>150468369.21788636</v>
      </c>
      <c r="D26" s="162"/>
      <c r="E26" s="146">
        <f>Additions!J26*$C$5</f>
        <v>2119436.9349599998</v>
      </c>
      <c r="F26" s="146">
        <f t="shared" si="8"/>
        <v>1269953.0361989609</v>
      </c>
      <c r="G26" s="146">
        <v>1781691.88</v>
      </c>
      <c r="H26" s="165">
        <f t="shared" si="2"/>
        <v>1607698.0911589609</v>
      </c>
      <c r="I26" s="165">
        <f t="shared" si="5"/>
        <v>232307335.2371223</v>
      </c>
      <c r="J26" s="165"/>
      <c r="K26" s="165">
        <f>-Additions!L26*0.35</f>
        <v>-746049.85</v>
      </c>
      <c r="L26" s="165"/>
      <c r="M26" s="165">
        <f t="shared" si="3"/>
        <v>-80977317.778076991</v>
      </c>
      <c r="N26" s="162">
        <f t="shared" si="9"/>
        <v>151330017.45904535</v>
      </c>
      <c r="O26" s="149">
        <f t="shared" si="4"/>
        <v>-511738.84380103904</v>
      </c>
    </row>
    <row r="27" spans="1:15">
      <c r="A27" s="144">
        <v>20</v>
      </c>
      <c r="B27" s="163">
        <v>42736</v>
      </c>
      <c r="C27" s="162">
        <f t="shared" si="1"/>
        <v>151330017.45904535</v>
      </c>
      <c r="D27" s="162"/>
      <c r="E27" s="146">
        <f>Additions!J27*$C$5</f>
        <v>683847.26115999988</v>
      </c>
      <c r="F27" s="146">
        <f t="shared" si="8"/>
        <v>1277225.3473543427</v>
      </c>
      <c r="G27" s="146">
        <v>1685014.4</v>
      </c>
      <c r="H27" s="165">
        <f t="shared" si="2"/>
        <v>276058.20851434255</v>
      </c>
      <c r="I27" s="165">
        <f t="shared" si="5"/>
        <v>232583393.44563663</v>
      </c>
      <c r="J27" s="165"/>
      <c r="K27" s="165">
        <f>-Additions!L27*0.35</f>
        <v>-287343.69999999995</v>
      </c>
      <c r="L27" s="165"/>
      <c r="M27" s="165">
        <f t="shared" si="3"/>
        <v>-81264661.478076994</v>
      </c>
      <c r="N27" s="162">
        <f t="shared" si="9"/>
        <v>151318731.9675597</v>
      </c>
      <c r="O27" s="149">
        <f t="shared" si="4"/>
        <v>-407789.05264565721</v>
      </c>
    </row>
    <row r="28" spans="1:15">
      <c r="A28" s="144">
        <v>21</v>
      </c>
      <c r="B28" s="163">
        <v>42767</v>
      </c>
      <c r="C28" s="162">
        <f t="shared" si="1"/>
        <v>151318731.9675597</v>
      </c>
      <c r="D28" s="162"/>
      <c r="E28" s="146">
        <f>Additions!J28*$C$5</f>
        <v>731186.53113999998</v>
      </c>
      <c r="F28" s="146">
        <f t="shared" si="8"/>
        <v>1277130.0978062039</v>
      </c>
      <c r="G28" s="146">
        <v>1437691.49</v>
      </c>
      <c r="H28" s="165">
        <f t="shared" si="2"/>
        <v>570625.13894620375</v>
      </c>
      <c r="I28" s="165">
        <f t="shared" si="5"/>
        <v>233154018.58458284</v>
      </c>
      <c r="J28" s="165"/>
      <c r="K28" s="165">
        <f>-Additions!L28*0.35</f>
        <v>-259010.84999999998</v>
      </c>
      <c r="L28" s="165"/>
      <c r="M28" s="165">
        <f t="shared" si="3"/>
        <v>-81523672.328076988</v>
      </c>
      <c r="N28" s="162">
        <f t="shared" si="9"/>
        <v>151630346.25650591</v>
      </c>
      <c r="O28" s="149">
        <f t="shared" si="4"/>
        <v>-160561.39219379611</v>
      </c>
    </row>
    <row r="29" spans="1:15">
      <c r="A29" s="144">
        <v>22</v>
      </c>
      <c r="B29" s="163">
        <v>42795</v>
      </c>
      <c r="C29" s="162">
        <f t="shared" si="1"/>
        <v>151630346.25650591</v>
      </c>
      <c r="D29" s="162"/>
      <c r="E29" s="146">
        <f>Additions!J29*$C$5</f>
        <v>1256185.3173200001</v>
      </c>
      <c r="F29" s="146">
        <f t="shared" si="8"/>
        <v>1279760.1224049097</v>
      </c>
      <c r="G29" s="146">
        <v>1758176.78</v>
      </c>
      <c r="H29" s="165">
        <f t="shared" si="2"/>
        <v>777768.65972491005</v>
      </c>
      <c r="I29" s="165">
        <f t="shared" si="5"/>
        <v>233931787.24430776</v>
      </c>
      <c r="J29" s="165"/>
      <c r="K29" s="165">
        <f>-Additions!L29*0.35</f>
        <v>-440934.89999999997</v>
      </c>
      <c r="L29" s="165"/>
      <c r="M29" s="165">
        <f t="shared" si="3"/>
        <v>-81964607.228076994</v>
      </c>
      <c r="N29" s="162">
        <f t="shared" si="9"/>
        <v>151967180.01623079</v>
      </c>
      <c r="O29" s="149">
        <f t="shared" si="4"/>
        <v>-478416.65759509034</v>
      </c>
    </row>
    <row r="30" spans="1:15">
      <c r="A30" s="144">
        <v>23</v>
      </c>
      <c r="B30" s="163">
        <v>42826</v>
      </c>
      <c r="C30" s="162">
        <f t="shared" si="1"/>
        <v>151967180.01623079</v>
      </c>
      <c r="D30" s="162"/>
      <c r="E30" s="146">
        <f>Additions!J30*$C$5</f>
        <v>1197228.9164599997</v>
      </c>
      <c r="F30" s="146">
        <f t="shared" si="8"/>
        <v>1282602.9993369877</v>
      </c>
      <c r="G30" s="146">
        <v>1283647.93</v>
      </c>
      <c r="H30" s="165">
        <f t="shared" si="2"/>
        <v>1196183.9857969878</v>
      </c>
      <c r="I30" s="165">
        <f t="shared" si="5"/>
        <v>235127971.23010474</v>
      </c>
      <c r="J30" s="165"/>
      <c r="K30" s="165">
        <f>-Additions!L30*0.35</f>
        <v>-420022.05</v>
      </c>
      <c r="L30" s="165"/>
      <c r="M30" s="165">
        <f t="shared" si="3"/>
        <v>-82384629.278076991</v>
      </c>
      <c r="N30" s="162">
        <f t="shared" si="9"/>
        <v>152743341.95202777</v>
      </c>
      <c r="O30" s="149">
        <f t="shared" si="4"/>
        <v>-1044.930663012201</v>
      </c>
    </row>
    <row r="31" spans="1:15">
      <c r="A31" s="144">
        <v>24</v>
      </c>
      <c r="B31" s="163">
        <v>42856</v>
      </c>
      <c r="C31" s="162">
        <f t="shared" si="1"/>
        <v>152743341.95202777</v>
      </c>
      <c r="D31" s="162"/>
      <c r="E31" s="146">
        <f>Additions!J31*$C$5</f>
        <v>1908546.05874</v>
      </c>
      <c r="F31" s="146">
        <f t="shared" si="8"/>
        <v>1289153.8060751143</v>
      </c>
      <c r="G31" s="146">
        <v>1711105.88</v>
      </c>
      <c r="H31" s="165">
        <f t="shared" si="2"/>
        <v>1486593.9848151142</v>
      </c>
      <c r="I31" s="165">
        <f t="shared" si="5"/>
        <v>236614565.21491987</v>
      </c>
      <c r="J31" s="165"/>
      <c r="K31" s="165">
        <f>-Additions!L31*0.35</f>
        <v>-670546.44999999995</v>
      </c>
      <c r="L31" s="165"/>
      <c r="M31" s="165">
        <f t="shared" si="3"/>
        <v>-83055175.728076994</v>
      </c>
      <c r="N31" s="162">
        <f t="shared" si="9"/>
        <v>153559389.4868429</v>
      </c>
      <c r="O31" s="149">
        <f t="shared" si="4"/>
        <v>-421952.0739248856</v>
      </c>
    </row>
    <row r="32" spans="1:15">
      <c r="A32" s="144">
        <v>25</v>
      </c>
      <c r="B32" s="166">
        <v>42887</v>
      </c>
      <c r="C32" s="167">
        <f t="shared" si="1"/>
        <v>153559389.4868429</v>
      </c>
      <c r="D32" s="167"/>
      <c r="E32" s="168">
        <f>Additions!J32*$C$5</f>
        <v>1745957.4984199998</v>
      </c>
      <c r="F32" s="168">
        <f t="shared" si="8"/>
        <v>1296041.2472689541</v>
      </c>
      <c r="G32" s="168">
        <v>1076349.01</v>
      </c>
      <c r="H32" s="169">
        <f t="shared" si="2"/>
        <v>1965649.7356889539</v>
      </c>
      <c r="I32" s="169">
        <f t="shared" si="5"/>
        <v>238580214.95060882</v>
      </c>
      <c r="J32" s="169"/>
      <c r="K32" s="169">
        <f>-Additions!L32*0.35</f>
        <v>-615784.75</v>
      </c>
      <c r="L32" s="169"/>
      <c r="M32" s="165">
        <f t="shared" si="3"/>
        <v>-83670960.478076994</v>
      </c>
      <c r="N32" s="167">
        <f t="shared" si="9"/>
        <v>154909254.47253186</v>
      </c>
      <c r="O32" s="170">
        <f t="shared" si="4"/>
        <v>219692.23726895405</v>
      </c>
    </row>
    <row r="33" spans="1:15">
      <c r="A33" s="144">
        <v>26</v>
      </c>
      <c r="B33" s="163">
        <v>42917</v>
      </c>
      <c r="C33" s="167">
        <f t="shared" si="1"/>
        <v>154909254.47253186</v>
      </c>
      <c r="D33" s="167"/>
      <c r="E33" s="168">
        <f>Additions!J33*$C$5</f>
        <v>1429844.8828399999</v>
      </c>
      <c r="F33" s="168">
        <f t="shared" si="8"/>
        <v>1307434.1077481688</v>
      </c>
      <c r="G33" s="168">
        <v>1631830.28</v>
      </c>
      <c r="H33" s="169">
        <f t="shared" si="2"/>
        <v>1105448.7105881686</v>
      </c>
      <c r="I33" s="169">
        <f t="shared" si="5"/>
        <v>239685663.66119698</v>
      </c>
      <c r="J33" s="169"/>
      <c r="K33" s="169">
        <f>-Additions!L33*0.35</f>
        <v>-505377.94999999995</v>
      </c>
      <c r="L33" s="169"/>
      <c r="M33" s="165">
        <f t="shared" si="3"/>
        <v>-84176338.428076997</v>
      </c>
      <c r="N33" s="167">
        <f t="shared" si="9"/>
        <v>155509325.23312005</v>
      </c>
      <c r="O33" s="170">
        <f>F33-G33</f>
        <v>-324396.17225183127</v>
      </c>
    </row>
    <row r="34" spans="1:15">
      <c r="A34" s="144">
        <v>27</v>
      </c>
      <c r="B34" s="166">
        <v>42948</v>
      </c>
      <c r="C34" s="167">
        <f t="shared" si="1"/>
        <v>155509325.23312005</v>
      </c>
      <c r="D34" s="167"/>
      <c r="E34" s="168">
        <f>Additions!J34*$C$5</f>
        <v>2147231.54532</v>
      </c>
      <c r="F34" s="168">
        <f>N33*$C$3</f>
        <v>1312498.7049675332</v>
      </c>
      <c r="G34" s="168">
        <v>1488723.6769534172</v>
      </c>
      <c r="H34" s="169">
        <f t="shared" si="2"/>
        <v>1971006.573334116</v>
      </c>
      <c r="I34" s="169">
        <f>+I33+H34</f>
        <v>241656670.2345311</v>
      </c>
      <c r="J34" s="169"/>
      <c r="K34" s="169">
        <f>-Additions!L34*0.35</f>
        <v>-755804</v>
      </c>
      <c r="L34" s="169"/>
      <c r="M34" s="165">
        <f t="shared" si="3"/>
        <v>-84932142.428076997</v>
      </c>
      <c r="N34" s="167">
        <f t="shared" si="9"/>
        <v>156724527.80645418</v>
      </c>
      <c r="O34" s="170">
        <f t="shared" si="4"/>
        <v>-176224.97198588401</v>
      </c>
    </row>
    <row r="35" spans="1:15">
      <c r="A35" s="144">
        <v>28</v>
      </c>
      <c r="B35" s="163">
        <v>42979</v>
      </c>
      <c r="C35" s="167">
        <f t="shared" si="1"/>
        <v>156724527.80645418</v>
      </c>
      <c r="D35" s="167"/>
      <c r="E35" s="168">
        <f>Additions!J35*$C$5</f>
        <v>1169364.9114199998</v>
      </c>
      <c r="F35" s="168">
        <f t="shared" si="8"/>
        <v>1322755.0146864732</v>
      </c>
      <c r="G35" s="168">
        <v>1278134.6808197035</v>
      </c>
      <c r="H35" s="169">
        <f t="shared" si="2"/>
        <v>1213985.2452867695</v>
      </c>
      <c r="I35" s="169">
        <f t="shared" ref="I35:I40" si="10">+I34+H35</f>
        <v>242870655.47981787</v>
      </c>
      <c r="J35" s="169"/>
      <c r="K35" s="169">
        <f>-Additions!L35*0.35</f>
        <v>-409832.14999999997</v>
      </c>
      <c r="L35" s="169"/>
      <c r="M35" s="165">
        <f t="shared" si="3"/>
        <v>-85341974.578077003</v>
      </c>
      <c r="N35" s="167">
        <f t="shared" si="9"/>
        <v>157528680.90174094</v>
      </c>
      <c r="O35" s="170">
        <f t="shared" si="4"/>
        <v>44620.333866769681</v>
      </c>
    </row>
    <row r="36" spans="1:15">
      <c r="A36" s="144">
        <v>29</v>
      </c>
      <c r="B36" s="166">
        <v>43009</v>
      </c>
      <c r="C36" s="167">
        <f t="shared" si="1"/>
        <v>157528680.90174094</v>
      </c>
      <c r="D36" s="167"/>
      <c r="E36" s="168">
        <f>Additions!J36*$C$5</f>
        <v>2034782.6231599997</v>
      </c>
      <c r="F36" s="168">
        <f t="shared" si="8"/>
        <v>1329542.0668106934</v>
      </c>
      <c r="G36" s="168">
        <v>1394549</v>
      </c>
      <c r="H36" s="169">
        <f t="shared" si="2"/>
        <v>1969775.6899706931</v>
      </c>
      <c r="I36" s="169">
        <f t="shared" si="10"/>
        <v>244840431.16978857</v>
      </c>
      <c r="J36" s="169"/>
      <c r="K36" s="169">
        <f>-Additions!L36*0.35</f>
        <v>-715327.54999999993</v>
      </c>
      <c r="L36" s="169"/>
      <c r="M36" s="165">
        <f t="shared" si="3"/>
        <v>-86057302.128077</v>
      </c>
      <c r="N36" s="167">
        <f t="shared" si="9"/>
        <v>158783129.04171163</v>
      </c>
      <c r="O36" s="170">
        <f t="shared" si="4"/>
        <v>-65006.933189306641</v>
      </c>
    </row>
    <row r="37" spans="1:15">
      <c r="A37" s="144">
        <v>30</v>
      </c>
      <c r="B37" s="163">
        <v>43040</v>
      </c>
      <c r="C37" s="167">
        <f t="shared" si="1"/>
        <v>158783129.04171163</v>
      </c>
      <c r="D37" s="167"/>
      <c r="E37" s="168">
        <f>Additions!J37*$C$5</f>
        <v>2379961.2665200001</v>
      </c>
      <c r="F37" s="168">
        <f t="shared" si="8"/>
        <v>1340129.6091120462</v>
      </c>
      <c r="G37" s="168">
        <v>1715897.25</v>
      </c>
      <c r="H37" s="169">
        <f t="shared" si="2"/>
        <v>2004193.6256320463</v>
      </c>
      <c r="I37" s="169">
        <f t="shared" si="10"/>
        <v>246844624.79542062</v>
      </c>
      <c r="J37" s="169"/>
      <c r="K37" s="169">
        <f>-Additions!L37*0.35</f>
        <v>-843132.14999999991</v>
      </c>
      <c r="L37" s="169"/>
      <c r="M37" s="165">
        <f t="shared" si="3"/>
        <v>-86900434.278077006</v>
      </c>
      <c r="N37" s="167">
        <f t="shared" si="9"/>
        <v>159944190.51734367</v>
      </c>
      <c r="O37" s="170">
        <f t="shared" si="4"/>
        <v>-375767.64088795381</v>
      </c>
    </row>
    <row r="38" spans="1:15">
      <c r="A38" s="144">
        <v>31</v>
      </c>
      <c r="B38" s="166">
        <v>43070</v>
      </c>
      <c r="C38" s="167">
        <f t="shared" si="1"/>
        <v>159944190.51734367</v>
      </c>
      <c r="D38" s="167"/>
      <c r="E38" s="168">
        <f>Additions!J38*$C$5</f>
        <v>1632642.3752599999</v>
      </c>
      <c r="F38" s="168">
        <f>N37*$C$3</f>
        <v>1349928.9679663805</v>
      </c>
      <c r="G38" s="168">
        <v>1901394.07</v>
      </c>
      <c r="H38" s="171">
        <f>E38+F38-G38</f>
        <v>1081177.2732263806</v>
      </c>
      <c r="I38" s="169">
        <f>+I37+H38</f>
        <v>247925802.068647</v>
      </c>
      <c r="J38" s="169"/>
      <c r="K38" s="169">
        <f>-Additions!L38*0.35</f>
        <v>-608088.6</v>
      </c>
      <c r="L38" s="169"/>
      <c r="M38" s="165">
        <f t="shared" si="3"/>
        <v>-87508522.878077</v>
      </c>
      <c r="N38" s="167">
        <f t="shared" si="9"/>
        <v>160417279.19057006</v>
      </c>
      <c r="O38" s="170">
        <f t="shared" si="4"/>
        <v>-551465.10203361954</v>
      </c>
    </row>
    <row r="39" spans="1:15">
      <c r="A39" s="144">
        <v>32</v>
      </c>
      <c r="B39" s="166">
        <v>43101</v>
      </c>
      <c r="C39" s="167">
        <f>N38</f>
        <v>160417279.19057006</v>
      </c>
      <c r="D39" s="167"/>
      <c r="E39" s="168">
        <v>5456358</v>
      </c>
      <c r="F39" s="168">
        <v>1131307.5</v>
      </c>
      <c r="G39" s="168">
        <v>2067567.62</v>
      </c>
      <c r="H39" s="171">
        <f>E39+F39-G39</f>
        <v>4520097.88</v>
      </c>
      <c r="I39" s="169">
        <f>+I38+H39</f>
        <v>252445899.94864699</v>
      </c>
      <c r="J39" s="169"/>
      <c r="K39" s="169">
        <f>-Additions!L39*0.21</f>
        <v>-1196750.6002972256</v>
      </c>
      <c r="L39" s="169"/>
      <c r="M39" s="169">
        <f>M38+K39</f>
        <v>-88705273.478374228</v>
      </c>
      <c r="N39" s="167">
        <f>C39+E39+F39-G39+K39</f>
        <v>163740626.47027284</v>
      </c>
      <c r="O39" s="170">
        <f>F39-G39</f>
        <v>-936260.12000000011</v>
      </c>
    </row>
    <row r="40" spans="1:15">
      <c r="A40" s="144">
        <v>34</v>
      </c>
      <c r="B40" s="166">
        <v>43132</v>
      </c>
      <c r="C40" s="167">
        <f>N39</f>
        <v>163740626.47027284</v>
      </c>
      <c r="D40" s="167"/>
      <c r="E40" s="168">
        <f>Additions!J40*$E$5</f>
        <v>2080173.4615499999</v>
      </c>
      <c r="F40" s="168">
        <f t="shared" ref="F40:F67" si="11">N39*$E$3</f>
        <v>1075230.1138214583</v>
      </c>
      <c r="G40" s="168">
        <v>2036860.09</v>
      </c>
      <c r="H40" s="171">
        <f>E40+F40-G40</f>
        <v>1118543.4853714581</v>
      </c>
      <c r="I40" s="169">
        <f t="shared" si="10"/>
        <v>253564443.43401846</v>
      </c>
      <c r="J40" s="169"/>
      <c r="K40" s="169">
        <f>-Additions!L40*0.21</f>
        <v>-436836.32999999996</v>
      </c>
      <c r="L40" s="169"/>
      <c r="M40" s="165">
        <f t="shared" si="3"/>
        <v>-89142109.808374226</v>
      </c>
      <c r="N40" s="167">
        <f t="shared" ref="N40:N43" si="12">C40+E40+F40-G40+K40</f>
        <v>164422333.62564427</v>
      </c>
      <c r="O40" s="170">
        <f t="shared" ref="O40:O44" si="13">F40-G40</f>
        <v>-961629.97617854178</v>
      </c>
    </row>
    <row r="41" spans="1:15">
      <c r="A41" s="144">
        <v>35</v>
      </c>
      <c r="B41" s="163">
        <v>43160</v>
      </c>
      <c r="C41" s="167">
        <f t="shared" si="1"/>
        <v>164422333.62564427</v>
      </c>
      <c r="D41" s="167"/>
      <c r="E41" s="168">
        <f>Additions!J41*$E$5</f>
        <v>2141640.4461000003</v>
      </c>
      <c r="F41" s="168">
        <f t="shared" si="11"/>
        <v>1079706.6574750638</v>
      </c>
      <c r="G41" s="168">
        <v>1967174.48</v>
      </c>
      <c r="H41" s="169">
        <f t="shared" si="2"/>
        <v>1254172.6235750639</v>
      </c>
      <c r="I41" s="169">
        <f t="shared" si="5"/>
        <v>254818616.05759352</v>
      </c>
      <c r="J41" s="169"/>
      <c r="K41" s="169">
        <f>-Additions!L41*0.21</f>
        <v>-453002.76</v>
      </c>
      <c r="L41" s="169"/>
      <c r="M41" s="165">
        <f>M40+K41</f>
        <v>-89595112.568374231</v>
      </c>
      <c r="N41" s="167">
        <f>C41+E41+F41-G41+K41</f>
        <v>165223503.48921934</v>
      </c>
      <c r="O41" s="170">
        <f t="shared" si="13"/>
        <v>-887467.82252493617</v>
      </c>
    </row>
    <row r="42" spans="1:15">
      <c r="A42" s="144">
        <v>36</v>
      </c>
      <c r="B42" s="166">
        <v>43191</v>
      </c>
      <c r="C42" s="167">
        <f t="shared" si="1"/>
        <v>165223503.48921934</v>
      </c>
      <c r="D42" s="167"/>
      <c r="E42" s="168">
        <f>Additions!J42*$E$5</f>
        <v>1623467.7114500001</v>
      </c>
      <c r="F42" s="168">
        <f t="shared" si="11"/>
        <v>1084967.6729125401</v>
      </c>
      <c r="G42" s="168">
        <v>1630335.143378776</v>
      </c>
      <c r="H42" s="169">
        <f t="shared" si="2"/>
        <v>1078100.2409837642</v>
      </c>
      <c r="I42" s="169">
        <f t="shared" si="5"/>
        <v>255896716.29857728</v>
      </c>
      <c r="J42" s="169"/>
      <c r="K42" s="169">
        <f>-Additions!L42*0.21</f>
        <v>-341820.99</v>
      </c>
      <c r="L42" s="169"/>
      <c r="M42" s="165">
        <f t="shared" si="3"/>
        <v>-89936933.558374226</v>
      </c>
      <c r="N42" s="167">
        <f t="shared" si="12"/>
        <v>165959782.74020311</v>
      </c>
      <c r="O42" s="170">
        <f>F42-G42</f>
        <v>-545367.47046623589</v>
      </c>
    </row>
    <row r="43" spans="1:15">
      <c r="A43" s="144">
        <v>37</v>
      </c>
      <c r="B43" s="163">
        <v>43221</v>
      </c>
      <c r="C43" s="167">
        <f t="shared" si="1"/>
        <v>165959782.74020311</v>
      </c>
      <c r="D43" s="167"/>
      <c r="E43" s="168">
        <f>Additions!J43*$E$5</f>
        <v>3059774.0461499998</v>
      </c>
      <c r="F43" s="168">
        <f t="shared" si="11"/>
        <v>1089802.5733273337</v>
      </c>
      <c r="G43" s="168">
        <v>2220470.4063975154</v>
      </c>
      <c r="H43" s="169">
        <f t="shared" si="2"/>
        <v>1929106.2130798181</v>
      </c>
      <c r="I43" s="169">
        <f t="shared" si="5"/>
        <v>257825822.51165709</v>
      </c>
      <c r="J43" s="169"/>
      <c r="K43" s="169">
        <f>-Additions!L43*0.21</f>
        <v>-684175.79999999993</v>
      </c>
      <c r="L43" s="169"/>
      <c r="M43" s="165">
        <f t="shared" si="3"/>
        <v>-90621109.358374223</v>
      </c>
      <c r="N43" s="167">
        <f t="shared" si="12"/>
        <v>167204713.15328291</v>
      </c>
      <c r="O43" s="170">
        <f t="shared" si="13"/>
        <v>-1130667.8330701818</v>
      </c>
    </row>
    <row r="44" spans="1:15">
      <c r="A44" s="144">
        <v>38</v>
      </c>
      <c r="B44" s="166">
        <v>43252</v>
      </c>
      <c r="C44" s="167">
        <f>N43</f>
        <v>167204713.15328291</v>
      </c>
      <c r="D44" s="167"/>
      <c r="E44" s="168">
        <f>Additions!J44*$E$5</f>
        <v>4218219.7903999994</v>
      </c>
      <c r="F44" s="168">
        <f t="shared" si="11"/>
        <v>1097977.6163732244</v>
      </c>
      <c r="G44" s="168">
        <v>1517739.86</v>
      </c>
      <c r="H44" s="169">
        <f>E44+F44-G44</f>
        <v>3798457.5467732232</v>
      </c>
      <c r="I44" s="169">
        <f t="shared" si="5"/>
        <v>261624280.05843031</v>
      </c>
      <c r="J44" s="169"/>
      <c r="K44" s="169">
        <f>-Additions!L44*0.21</f>
        <v>-885643.28999999992</v>
      </c>
      <c r="L44" s="169"/>
      <c r="M44" s="169">
        <f>M43+K44</f>
        <v>-91506752.64837423</v>
      </c>
      <c r="N44" s="167">
        <f>C44+E44+F44-G44+K44</f>
        <v>170117527.41005611</v>
      </c>
      <c r="O44" s="170">
        <f t="shared" si="13"/>
        <v>-419762.24362677569</v>
      </c>
    </row>
    <row r="45" spans="1:15">
      <c r="A45" s="144">
        <v>26</v>
      </c>
      <c r="B45" s="163">
        <v>43282</v>
      </c>
      <c r="C45" s="167">
        <f t="shared" ref="C45:C50" si="14">N44</f>
        <v>170117527.41005611</v>
      </c>
      <c r="D45" s="167"/>
      <c r="E45" s="168">
        <f>Additions!J45*$E$5</f>
        <v>2677689.6108499998</v>
      </c>
      <c r="F45" s="168">
        <f t="shared" si="11"/>
        <v>1117105.0966593684</v>
      </c>
      <c r="G45" s="168">
        <v>1381783.28</v>
      </c>
      <c r="H45" s="169">
        <f t="shared" ref="H45:H49" si="15">E45+F45-G45</f>
        <v>2413011.4275093684</v>
      </c>
      <c r="I45" s="169">
        <f t="shared" ref="I45" si="16">+I44+H45</f>
        <v>264037291.48593968</v>
      </c>
      <c r="J45" s="169"/>
      <c r="K45" s="169">
        <f>-Additions!L45*0.21</f>
        <v>-562541.06999999995</v>
      </c>
      <c r="L45" s="169">
        <v>321385.29897787567</v>
      </c>
      <c r="M45" s="165">
        <f>M44+K45+L45</f>
        <v>-91747908.419396341</v>
      </c>
      <c r="N45" s="167">
        <f>C45+E45+F45-G45+K45+L45</f>
        <v>172289383.06654337</v>
      </c>
      <c r="O45" s="170">
        <f>F45-G45</f>
        <v>-264678.18334063166</v>
      </c>
    </row>
    <row r="46" spans="1:15">
      <c r="A46" s="144">
        <v>27</v>
      </c>
      <c r="B46" s="166">
        <v>43313</v>
      </c>
      <c r="C46" s="167">
        <f t="shared" si="14"/>
        <v>172289383.06654337</v>
      </c>
      <c r="D46" s="167"/>
      <c r="E46" s="168">
        <f>Additions!J46*$E$5</f>
        <v>2876807.3509999998</v>
      </c>
      <c r="F46" s="168">
        <f t="shared" si="11"/>
        <v>1131366.9488036346</v>
      </c>
      <c r="G46" s="168">
        <v>1727110.15</v>
      </c>
      <c r="H46" s="169">
        <f t="shared" si="15"/>
        <v>2281064.1498036343</v>
      </c>
      <c r="I46" s="169">
        <f>+I45+H46</f>
        <v>266318355.63574332</v>
      </c>
      <c r="J46" s="169"/>
      <c r="K46" s="169">
        <f>-Additions!L46*0.21</f>
        <v>-604077.17999999993</v>
      </c>
      <c r="L46" s="169">
        <v>321385.29897787567</v>
      </c>
      <c r="M46" s="165">
        <f>M45+K46+L46</f>
        <v>-92030600.300418466</v>
      </c>
      <c r="N46" s="167">
        <f>C46+E46+F46-G46+K46+L46</f>
        <v>174287755.33532488</v>
      </c>
      <c r="O46" s="170">
        <f t="shared" ref="O46:O50" si="17">F46-G46</f>
        <v>-595743.20119636529</v>
      </c>
    </row>
    <row r="47" spans="1:15">
      <c r="A47" s="144">
        <v>28</v>
      </c>
      <c r="B47" s="163">
        <v>43344</v>
      </c>
      <c r="C47" s="167">
        <f t="shared" si="14"/>
        <v>174287755.33532488</v>
      </c>
      <c r="D47" s="167"/>
      <c r="E47" s="168">
        <f>Additions!J47*$E$5</f>
        <v>1205400.63515</v>
      </c>
      <c r="F47" s="168">
        <f t="shared" si="11"/>
        <v>1144489.5933686332</v>
      </c>
      <c r="G47" s="168">
        <v>1516986.17</v>
      </c>
      <c r="H47" s="169">
        <f t="shared" si="15"/>
        <v>832904.05851863325</v>
      </c>
      <c r="I47" s="169">
        <f t="shared" ref="I47:I49" si="18">+I46+H47</f>
        <v>267151259.69426197</v>
      </c>
      <c r="J47" s="169"/>
      <c r="K47" s="169">
        <f>-Additions!L47*0.21</f>
        <v>-253769.46</v>
      </c>
      <c r="L47" s="169">
        <v>321385.29897787567</v>
      </c>
      <c r="M47" s="165">
        <f>M46+K47+L47</f>
        <v>-91962984.461440578</v>
      </c>
      <c r="N47" s="167">
        <f t="shared" ref="N47:N67" si="19">C47+E47+F47-G47+K47+L47</f>
        <v>175188275.23282138</v>
      </c>
      <c r="O47" s="170">
        <f t="shared" si="17"/>
        <v>-372496.57663136674</v>
      </c>
    </row>
    <row r="48" spans="1:15">
      <c r="A48" s="144">
        <v>29</v>
      </c>
      <c r="B48" s="166">
        <v>43374</v>
      </c>
      <c r="C48" s="167">
        <f t="shared" si="14"/>
        <v>175188275.23282138</v>
      </c>
      <c r="D48" s="167"/>
      <c r="E48" s="168">
        <f>Additions!J48*$E$5</f>
        <v>4248394.4084499991</v>
      </c>
      <c r="F48" s="168">
        <f t="shared" si="11"/>
        <v>1150403.0073621937</v>
      </c>
      <c r="G48" s="168">
        <v>1578465.16</v>
      </c>
      <c r="H48" s="169">
        <f t="shared" si="15"/>
        <v>3820332.2558121923</v>
      </c>
      <c r="I48" s="169">
        <f t="shared" si="18"/>
        <v>270971591.95007414</v>
      </c>
      <c r="J48" s="169"/>
      <c r="K48" s="169">
        <f>-Additions!L48*0.21</f>
        <v>-891972.9</v>
      </c>
      <c r="L48" s="169">
        <v>321385.29897787567</v>
      </c>
      <c r="M48" s="165">
        <f t="shared" ref="M48:M67" si="20">M47+K48+L48</f>
        <v>-92533572.062462702</v>
      </c>
      <c r="N48" s="167">
        <f t="shared" si="19"/>
        <v>178438019.88761145</v>
      </c>
      <c r="O48" s="170">
        <f t="shared" si="17"/>
        <v>-428062.15263780626</v>
      </c>
    </row>
    <row r="49" spans="1:15">
      <c r="A49" s="144">
        <v>30</v>
      </c>
      <c r="B49" s="163">
        <v>43405</v>
      </c>
      <c r="C49" s="167">
        <f>N48</f>
        <v>178438019.88761145</v>
      </c>
      <c r="D49" s="167"/>
      <c r="E49" s="168">
        <f>Additions!J49*$E$5</f>
        <v>3547002.0897500003</v>
      </c>
      <c r="F49" s="168">
        <f t="shared" si="11"/>
        <v>1171742.9972619817</v>
      </c>
      <c r="G49" s="168">
        <v>1733380.19</v>
      </c>
      <c r="H49" s="169">
        <f t="shared" si="15"/>
        <v>2985364.8970119818</v>
      </c>
      <c r="I49" s="169">
        <f t="shared" si="18"/>
        <v>273956956.84708613</v>
      </c>
      <c r="J49" s="169"/>
      <c r="K49" s="169">
        <f>-Additions!L49*0.21</f>
        <v>-744446.22</v>
      </c>
      <c r="L49" s="169">
        <v>321385.29897787567</v>
      </c>
      <c r="M49" s="165">
        <f t="shared" si="20"/>
        <v>-92956632.98348482</v>
      </c>
      <c r="N49" s="167">
        <f t="shared" si="19"/>
        <v>181000323.8636013</v>
      </c>
      <c r="O49" s="170">
        <f t="shared" si="17"/>
        <v>-561637.19273801823</v>
      </c>
    </row>
    <row r="50" spans="1:15">
      <c r="A50" s="144">
        <v>31</v>
      </c>
      <c r="B50" s="166">
        <v>43435</v>
      </c>
      <c r="C50" s="167">
        <f t="shared" si="14"/>
        <v>181000323.8636013</v>
      </c>
      <c r="D50" s="167"/>
      <c r="E50" s="168">
        <f>Additions!J50*$E$5</f>
        <v>1358449.5706999998</v>
      </c>
      <c r="F50" s="168">
        <f t="shared" si="11"/>
        <v>1188568.7933709817</v>
      </c>
      <c r="G50" s="168">
        <v>1727108.96</v>
      </c>
      <c r="H50" s="171">
        <f>E50+F50-G50</f>
        <v>819909.40407098178</v>
      </c>
      <c r="I50" s="169">
        <f>+I49+H50</f>
        <v>274776866.2511571</v>
      </c>
      <c r="J50" s="169"/>
      <c r="K50" s="169">
        <f>-Additions!L50*0.21</f>
        <v>-300057.65999999997</v>
      </c>
      <c r="L50" s="169">
        <v>321385.29897787567</v>
      </c>
      <c r="M50" s="165">
        <f t="shared" si="20"/>
        <v>-92935305.344506934</v>
      </c>
      <c r="N50" s="167">
        <f t="shared" si="19"/>
        <v>181841560.90665016</v>
      </c>
      <c r="O50" s="170">
        <f t="shared" si="17"/>
        <v>-538540.16662901826</v>
      </c>
    </row>
    <row r="51" spans="1:15">
      <c r="A51" s="144">
        <v>32</v>
      </c>
      <c r="B51" s="163">
        <v>43466</v>
      </c>
      <c r="C51" s="167">
        <f>N50</f>
        <v>181841560.90665016</v>
      </c>
      <c r="D51" s="167"/>
      <c r="E51" s="168">
        <f>Additions!J51*$E$5</f>
        <v>2258713.3401500001</v>
      </c>
      <c r="F51" s="168">
        <f t="shared" si="11"/>
        <v>1194092.916620336</v>
      </c>
      <c r="G51" s="168">
        <v>2088178.32</v>
      </c>
      <c r="H51" s="171">
        <f>E51+F51-G51</f>
        <v>1364627.936770336</v>
      </c>
      <c r="I51" s="169">
        <f>+I50+H51</f>
        <v>276141494.18792742</v>
      </c>
      <c r="J51" s="169"/>
      <c r="K51" s="169">
        <f>-Additions!L51*0.21</f>
        <v>-474329.73</v>
      </c>
      <c r="L51" s="169">
        <v>160692.64948893784</v>
      </c>
      <c r="M51" s="165">
        <f t="shared" si="20"/>
        <v>-93248942.425017998</v>
      </c>
      <c r="N51" s="167">
        <f t="shared" si="19"/>
        <v>182892551.76290944</v>
      </c>
      <c r="O51" s="170">
        <f>F51-G51</f>
        <v>-894085.40337966406</v>
      </c>
    </row>
    <row r="52" spans="1:15">
      <c r="A52" s="144">
        <v>34</v>
      </c>
      <c r="B52" s="166">
        <v>43497</v>
      </c>
      <c r="C52" s="167">
        <f>N51</f>
        <v>182892551.76290944</v>
      </c>
      <c r="D52" s="167"/>
      <c r="E52" s="168">
        <f>Additions!J52*$E$5</f>
        <v>1283088.4322499998</v>
      </c>
      <c r="F52" s="168">
        <f t="shared" si="11"/>
        <v>1200994.4232431052</v>
      </c>
      <c r="G52" s="168">
        <v>1660066.93</v>
      </c>
      <c r="H52" s="171">
        <f>E52+F52-G52</f>
        <v>824015.92549310508</v>
      </c>
      <c r="I52" s="169">
        <f t="shared" ref="I52:I66" si="21">+I51+H52</f>
        <v>276965510.11342055</v>
      </c>
      <c r="J52" s="169"/>
      <c r="K52" s="169">
        <f>-Additions!L52*0.21</f>
        <v>-269448.48</v>
      </c>
      <c r="L52" s="169">
        <v>160692.64948893784</v>
      </c>
      <c r="M52" s="165">
        <f t="shared" si="20"/>
        <v>-93357698.255529061</v>
      </c>
      <c r="N52" s="167">
        <f t="shared" si="19"/>
        <v>183607811.85789147</v>
      </c>
      <c r="O52" s="170">
        <f t="shared" ref="O52:O53" si="22">F52-G52</f>
        <v>-459072.50675689476</v>
      </c>
    </row>
    <row r="53" spans="1:15">
      <c r="A53" s="144">
        <v>35</v>
      </c>
      <c r="B53" s="163">
        <v>43525</v>
      </c>
      <c r="C53" s="167">
        <f>N52</f>
        <v>183607811.85789147</v>
      </c>
      <c r="D53" s="167"/>
      <c r="E53" s="168">
        <f>Additions!J53*$E$5</f>
        <v>2237364.6175999995</v>
      </c>
      <c r="F53" s="168">
        <f t="shared" si="11"/>
        <v>1205691.2978668206</v>
      </c>
      <c r="G53" s="168">
        <v>1958812.43</v>
      </c>
      <c r="H53" s="169">
        <f t="shared" ref="H53:H55" si="23">E53+F53-G53</f>
        <v>1484243.48546682</v>
      </c>
      <c r="I53" s="169">
        <f t="shared" si="21"/>
        <v>278449753.59888738</v>
      </c>
      <c r="J53" s="169"/>
      <c r="K53" s="169">
        <f>-Additions!L53*0.21</f>
        <v>-469846.64999999997</v>
      </c>
      <c r="L53" s="169">
        <v>160692.64948893784</v>
      </c>
      <c r="M53" s="165">
        <f t="shared" si="20"/>
        <v>-93666852.256040126</v>
      </c>
      <c r="N53" s="167">
        <f t="shared" si="19"/>
        <v>184782901.3428472</v>
      </c>
      <c r="O53" s="170">
        <f t="shared" si="22"/>
        <v>-753121.13213317934</v>
      </c>
    </row>
    <row r="54" spans="1:15">
      <c r="A54" s="144">
        <v>36</v>
      </c>
      <c r="B54" s="166">
        <v>43556</v>
      </c>
      <c r="C54" s="167">
        <f t="shared" ref="C54:C55" si="24">N53</f>
        <v>184782901.3428472</v>
      </c>
      <c r="D54" s="167"/>
      <c r="E54" s="168">
        <f>Additions!J54*$E$5</f>
        <v>2626279.0330499997</v>
      </c>
      <c r="F54" s="168">
        <f t="shared" si="11"/>
        <v>1213407.7188180299</v>
      </c>
      <c r="G54" s="168">
        <v>1378152.46</v>
      </c>
      <c r="H54" s="169">
        <f t="shared" si="23"/>
        <v>2461534.2918680296</v>
      </c>
      <c r="I54" s="169">
        <f t="shared" si="21"/>
        <v>280911287.89075541</v>
      </c>
      <c r="J54" s="169"/>
      <c r="K54" s="169">
        <f>-Additions!L54*0.21</f>
        <v>-551518.59</v>
      </c>
      <c r="L54" s="169">
        <v>160692.64948893784</v>
      </c>
      <c r="M54" s="165">
        <f t="shared" si="20"/>
        <v>-94057678.196551189</v>
      </c>
      <c r="N54" s="167">
        <f t="shared" si="19"/>
        <v>186853609.69420415</v>
      </c>
      <c r="O54" s="170">
        <f>F54-G54</f>
        <v>-164744.74118197011</v>
      </c>
    </row>
    <row r="55" spans="1:15">
      <c r="A55" s="144">
        <v>37</v>
      </c>
      <c r="B55" s="163">
        <v>43586</v>
      </c>
      <c r="C55" s="167">
        <f t="shared" si="24"/>
        <v>186853609.69420415</v>
      </c>
      <c r="D55" s="167"/>
      <c r="E55" s="168">
        <f>Additions!J55*$E$5</f>
        <v>3022645.4856999996</v>
      </c>
      <c r="F55" s="168">
        <f t="shared" si="11"/>
        <v>1227005.3703252738</v>
      </c>
      <c r="G55" s="168">
        <v>1577873.2524418053</v>
      </c>
      <c r="H55" s="169">
        <f t="shared" si="23"/>
        <v>2671777.6035834677</v>
      </c>
      <c r="I55" s="169">
        <f t="shared" si="21"/>
        <v>283583065.49433887</v>
      </c>
      <c r="J55" s="169"/>
      <c r="K55" s="169">
        <f>-Additions!L55*0.21</f>
        <v>-634755.44999999995</v>
      </c>
      <c r="L55" s="169">
        <v>160692.64948893784</v>
      </c>
      <c r="M55" s="165">
        <f t="shared" si="20"/>
        <v>-94531740.997062251</v>
      </c>
      <c r="N55" s="167">
        <f t="shared" si="19"/>
        <v>189051324.49727657</v>
      </c>
      <c r="O55" s="170">
        <f t="shared" ref="O55:O104" si="25">F55-G55</f>
        <v>-350867.88211653149</v>
      </c>
    </row>
    <row r="56" spans="1:15">
      <c r="A56" s="144">
        <v>38</v>
      </c>
      <c r="B56" s="166">
        <v>43617</v>
      </c>
      <c r="C56" s="167">
        <f>N55</f>
        <v>189051324.49727657</v>
      </c>
      <c r="D56" s="167"/>
      <c r="E56" s="168">
        <f>Additions!J56*$E$5</f>
        <v>3040211.4142500004</v>
      </c>
      <c r="F56" s="168">
        <f t="shared" si="11"/>
        <v>1241437.0308654495</v>
      </c>
      <c r="G56" s="168">
        <v>1561836.89</v>
      </c>
      <c r="H56" s="169">
        <f>E56+F56-G56</f>
        <v>2719811.5551154502</v>
      </c>
      <c r="I56" s="169">
        <f t="shared" si="21"/>
        <v>286302877.04945433</v>
      </c>
      <c r="J56" s="169"/>
      <c r="K56" s="169">
        <f>-Additions!L56*0.21</f>
        <v>-638444.30999999994</v>
      </c>
      <c r="L56" s="169">
        <v>160692.64948893784</v>
      </c>
      <c r="M56" s="165">
        <f t="shared" si="20"/>
        <v>-95009492.657573313</v>
      </c>
      <c r="N56" s="167">
        <f t="shared" si="19"/>
        <v>191293384.39188096</v>
      </c>
      <c r="O56" s="170">
        <f t="shared" si="25"/>
        <v>-320399.85913455044</v>
      </c>
    </row>
    <row r="57" spans="1:15">
      <c r="A57" s="144">
        <v>39</v>
      </c>
      <c r="B57" s="163">
        <v>43647</v>
      </c>
      <c r="C57" s="167">
        <f t="shared" ref="C57:C67" si="26">N56</f>
        <v>191293384.39188096</v>
      </c>
      <c r="D57" s="167"/>
      <c r="E57" s="168">
        <f>Additions!J57*$E$5</f>
        <v>2201161.2479500002</v>
      </c>
      <c r="F57" s="168">
        <f t="shared" si="11"/>
        <v>1256159.8908400182</v>
      </c>
      <c r="G57" s="168">
        <v>1783214.0800000001</v>
      </c>
      <c r="H57" s="169">
        <f t="shared" ref="H57:H67" si="27">E57+F57-G57</f>
        <v>1674107.0587900183</v>
      </c>
      <c r="I57" s="169">
        <f t="shared" si="21"/>
        <v>287976984.10824436</v>
      </c>
      <c r="J57" s="169"/>
      <c r="K57" s="169">
        <f>-Additions!L57*0.21</f>
        <v>-462243.81</v>
      </c>
      <c r="L57" s="169">
        <v>160692.64948893784</v>
      </c>
      <c r="M57" s="165">
        <f>M56+K57+L57</f>
        <v>-95311043.818084374</v>
      </c>
      <c r="N57" s="167">
        <f>C57+E57+F57-G57+K57+L57</f>
        <v>192665940.29015988</v>
      </c>
      <c r="O57" s="170">
        <f t="shared" si="25"/>
        <v>-527054.18915998191</v>
      </c>
    </row>
    <row r="58" spans="1:15">
      <c r="A58" s="144">
        <v>40</v>
      </c>
      <c r="B58" s="166">
        <v>43678</v>
      </c>
      <c r="C58" s="167">
        <f t="shared" si="26"/>
        <v>192665940.29015988</v>
      </c>
      <c r="D58" s="167"/>
      <c r="E58" s="168">
        <f>Additions!J58*$E$5</f>
        <v>2228366.3372499999</v>
      </c>
      <c r="F58" s="168">
        <f t="shared" si="11"/>
        <v>1265173.0079053831</v>
      </c>
      <c r="G58" s="168">
        <v>1736249.9</v>
      </c>
      <c r="H58" s="169">
        <f t="shared" si="27"/>
        <v>1757289.4451553831</v>
      </c>
      <c r="I58" s="169">
        <f t="shared" si="21"/>
        <v>289734273.55339974</v>
      </c>
      <c r="J58" s="169"/>
      <c r="K58" s="169">
        <f>-Additions!L58*0.21</f>
        <v>-467956.86</v>
      </c>
      <c r="L58" s="169">
        <v>160692.64948893784</v>
      </c>
      <c r="M58" s="165">
        <f t="shared" si="20"/>
        <v>-95618308.028595433</v>
      </c>
      <c r="N58" s="167">
        <f>C58+E58+F58-G58+K58+L58</f>
        <v>194115965.52480417</v>
      </c>
      <c r="O58" s="170">
        <f t="shared" si="25"/>
        <v>-471076.89209461678</v>
      </c>
    </row>
    <row r="59" spans="1:15">
      <c r="A59" s="144">
        <v>41</v>
      </c>
      <c r="B59" s="163">
        <v>43709</v>
      </c>
      <c r="C59" s="167">
        <f t="shared" si="26"/>
        <v>194115965.52480417</v>
      </c>
      <c r="D59" s="167"/>
      <c r="E59" s="168">
        <f>Additions!J59*$E$5</f>
        <v>2210801.56115</v>
      </c>
      <c r="F59" s="168">
        <f t="shared" si="11"/>
        <v>1274694.8402795473</v>
      </c>
      <c r="G59" s="168">
        <v>1647087.2020373587</v>
      </c>
      <c r="H59" s="169">
        <f t="shared" si="27"/>
        <v>1838409.1993921883</v>
      </c>
      <c r="I59" s="169">
        <f t="shared" si="21"/>
        <v>291572682.75279194</v>
      </c>
      <c r="J59" s="169"/>
      <c r="K59" s="169">
        <f>-Additions!L59*0.21</f>
        <v>-464268.42</v>
      </c>
      <c r="L59" s="169">
        <v>160692.64948893784</v>
      </c>
      <c r="M59" s="165">
        <f t="shared" si="20"/>
        <v>-95921883.799106494</v>
      </c>
      <c r="N59" s="167">
        <f t="shared" si="19"/>
        <v>195650798.95368531</v>
      </c>
      <c r="O59" s="170">
        <f t="shared" si="25"/>
        <v>-372392.36175781139</v>
      </c>
    </row>
    <row r="60" spans="1:15">
      <c r="A60" s="144">
        <v>42</v>
      </c>
      <c r="B60" s="166">
        <v>43739</v>
      </c>
      <c r="C60" s="167">
        <f t="shared" si="26"/>
        <v>195650798.95368531</v>
      </c>
      <c r="D60" s="167"/>
      <c r="E60" s="168">
        <f>Additions!J60*$E$5</f>
        <v>2197624.2015999998</v>
      </c>
      <c r="F60" s="168">
        <f t="shared" si="11"/>
        <v>1284773.5797958667</v>
      </c>
      <c r="G60" s="168">
        <v>1605615.4728201609</v>
      </c>
      <c r="H60" s="169">
        <f t="shared" si="27"/>
        <v>1876782.3085757056</v>
      </c>
      <c r="I60" s="169">
        <f t="shared" si="21"/>
        <v>293449465.06136763</v>
      </c>
      <c r="J60" s="169"/>
      <c r="K60" s="169">
        <f>-Additions!L60*0.21</f>
        <v>-461501.04</v>
      </c>
      <c r="L60" s="169">
        <v>160692.64948893784</v>
      </c>
      <c r="M60" s="165">
        <f t="shared" si="20"/>
        <v>-96222692.189617559</v>
      </c>
      <c r="N60" s="167">
        <f t="shared" si="19"/>
        <v>197226772.87174994</v>
      </c>
      <c r="O60" s="170">
        <f t="shared" si="25"/>
        <v>-320841.89302429417</v>
      </c>
    </row>
    <row r="61" spans="1:15">
      <c r="A61" s="144">
        <v>43</v>
      </c>
      <c r="B61" s="163">
        <v>43770</v>
      </c>
      <c r="C61" s="167">
        <f t="shared" si="26"/>
        <v>197226772.87174994</v>
      </c>
      <c r="D61" s="167"/>
      <c r="E61" s="168">
        <f>Additions!J61*$E$5</f>
        <v>1847310.2518000002</v>
      </c>
      <c r="F61" s="168">
        <f t="shared" si="11"/>
        <v>1295122.4751911578</v>
      </c>
      <c r="G61" s="168">
        <v>1928845.8972633644</v>
      </c>
      <c r="H61" s="169">
        <f t="shared" si="27"/>
        <v>1213586.8297277936</v>
      </c>
      <c r="I61" s="169">
        <f t="shared" si="21"/>
        <v>294663051.8910954</v>
      </c>
      <c r="J61" s="169"/>
      <c r="K61" s="169">
        <f>-Additions!L61*0.21</f>
        <v>-387935.1</v>
      </c>
      <c r="L61" s="169">
        <v>160692.64948893784</v>
      </c>
      <c r="M61" s="165">
        <f t="shared" si="20"/>
        <v>-96449934.640128613</v>
      </c>
      <c r="N61" s="167">
        <f t="shared" si="19"/>
        <v>198213117.25096664</v>
      </c>
      <c r="O61" s="170">
        <f t="shared" si="25"/>
        <v>-633723.42207220662</v>
      </c>
    </row>
    <row r="62" spans="1:15">
      <c r="A62" s="144">
        <v>44</v>
      </c>
      <c r="B62" s="166">
        <v>43800</v>
      </c>
      <c r="C62" s="167">
        <f t="shared" si="26"/>
        <v>198213117.25096664</v>
      </c>
      <c r="D62" s="167"/>
      <c r="E62" s="168">
        <f>Additions!J62*$E$5</f>
        <v>1041926.5975</v>
      </c>
      <c r="F62" s="168">
        <f t="shared" si="11"/>
        <v>1301599.469948014</v>
      </c>
      <c r="G62" s="168">
        <v>2086274.4301260402</v>
      </c>
      <c r="H62" s="169">
        <f t="shared" si="27"/>
        <v>257251.63732197369</v>
      </c>
      <c r="I62" s="169">
        <f t="shared" si="21"/>
        <v>294920303.52841735</v>
      </c>
      <c r="J62" s="169"/>
      <c r="K62" s="169">
        <f>-Additions!L62*0.21</f>
        <v>-218804.66999999998</v>
      </c>
      <c r="L62" s="169">
        <v>160692.64948893784</v>
      </c>
      <c r="M62" s="165">
        <f t="shared" si="20"/>
        <v>-96508046.660639673</v>
      </c>
      <c r="N62" s="167">
        <f t="shared" si="19"/>
        <v>198412256.86777756</v>
      </c>
      <c r="O62" s="170">
        <f t="shared" si="25"/>
        <v>-784674.96017802623</v>
      </c>
    </row>
    <row r="63" spans="1:15">
      <c r="A63" s="144">
        <v>45</v>
      </c>
      <c r="B63" s="163">
        <v>43831</v>
      </c>
      <c r="C63" s="167">
        <f t="shared" si="26"/>
        <v>198412256.86777756</v>
      </c>
      <c r="D63" s="167"/>
      <c r="E63" s="168">
        <f>Additions!J63*$E$5</f>
        <v>1346533.8681000001</v>
      </c>
      <c r="F63" s="168">
        <f t="shared" si="11"/>
        <v>1302907.1534317392</v>
      </c>
      <c r="G63" s="168">
        <v>2038134.0040252367</v>
      </c>
      <c r="H63" s="169">
        <f t="shared" si="27"/>
        <v>611307.01750650257</v>
      </c>
      <c r="I63" s="169">
        <f t="shared" si="21"/>
        <v>295531610.54592383</v>
      </c>
      <c r="J63" s="169"/>
      <c r="K63" s="169">
        <f>-Additions!L63*0.21</f>
        <v>-282772.14</v>
      </c>
      <c r="L63" s="169">
        <v>160692.64948893784</v>
      </c>
      <c r="M63" s="165">
        <f t="shared" si="20"/>
        <v>-96630126.151150733</v>
      </c>
      <c r="N63" s="167">
        <f t="shared" si="19"/>
        <v>198901484.39477298</v>
      </c>
      <c r="O63" s="170">
        <f t="shared" si="25"/>
        <v>-735226.85059349751</v>
      </c>
    </row>
    <row r="64" spans="1:15">
      <c r="A64" s="144">
        <v>46</v>
      </c>
      <c r="B64" s="166">
        <v>43862</v>
      </c>
      <c r="C64" s="167">
        <f t="shared" si="26"/>
        <v>198901484.39477298</v>
      </c>
      <c r="D64" s="167"/>
      <c r="E64" s="168">
        <f>Additions!J64*$E$5</f>
        <v>1157663.7034999998</v>
      </c>
      <c r="F64" s="168">
        <f t="shared" si="11"/>
        <v>1306119.7475256757</v>
      </c>
      <c r="G64" s="168">
        <v>1981065.8139825335</v>
      </c>
      <c r="H64" s="169">
        <f t="shared" si="27"/>
        <v>482717.63704314199</v>
      </c>
      <c r="I64" s="169">
        <f t="shared" si="21"/>
        <v>296014328.18296695</v>
      </c>
      <c r="J64" s="169"/>
      <c r="K64" s="169">
        <f>-Additions!L64*0.21</f>
        <v>-243109.44</v>
      </c>
      <c r="L64" s="169">
        <v>160692.64948893784</v>
      </c>
      <c r="M64" s="165">
        <f t="shared" si="20"/>
        <v>-96712542.94166179</v>
      </c>
      <c r="N64" s="167">
        <f t="shared" si="19"/>
        <v>199301785.24130502</v>
      </c>
      <c r="O64" s="170">
        <f t="shared" si="25"/>
        <v>-674946.06645685784</v>
      </c>
    </row>
    <row r="65" spans="1:15">
      <c r="A65" s="144">
        <v>47</v>
      </c>
      <c r="B65" s="163">
        <v>43891</v>
      </c>
      <c r="C65" s="167">
        <f t="shared" si="26"/>
        <v>199301785.24130502</v>
      </c>
      <c r="D65" s="167"/>
      <c r="E65" s="168">
        <f>Additions!J65*$E$5</f>
        <v>1228026.83375</v>
      </c>
      <c r="F65" s="168">
        <f t="shared" si="11"/>
        <v>1308748.3897512362</v>
      </c>
      <c r="G65" s="168">
        <v>1686752.6209487598</v>
      </c>
      <c r="H65" s="169">
        <f t="shared" si="27"/>
        <v>850022.60255247634</v>
      </c>
      <c r="I65" s="169">
        <f t="shared" si="21"/>
        <v>296864350.78551942</v>
      </c>
      <c r="J65" s="169"/>
      <c r="K65" s="169">
        <f>-Additions!L65*0.21</f>
        <v>-257885.66999999998</v>
      </c>
      <c r="L65" s="169">
        <v>160692.64948893784</v>
      </c>
      <c r="M65" s="165">
        <f>M64+K65+L65</f>
        <v>-96809735.962172851</v>
      </c>
      <c r="N65" s="167">
        <f t="shared" si="19"/>
        <v>200054614.82334644</v>
      </c>
      <c r="O65" s="170">
        <f t="shared" si="25"/>
        <v>-378004.23119752365</v>
      </c>
    </row>
    <row r="66" spans="1:15">
      <c r="A66" s="144">
        <v>48</v>
      </c>
      <c r="B66" s="166">
        <v>43922</v>
      </c>
      <c r="C66" s="167">
        <f t="shared" si="26"/>
        <v>200054614.82334644</v>
      </c>
      <c r="D66" s="167"/>
      <c r="E66" s="168">
        <f>Additions!J66*$E$5</f>
        <v>725769.76850000001</v>
      </c>
      <c r="F66" s="168">
        <f t="shared" si="11"/>
        <v>1313691.970673308</v>
      </c>
      <c r="G66" s="168">
        <v>1531398.3883453652</v>
      </c>
      <c r="H66" s="169">
        <f t="shared" si="27"/>
        <v>508063.35082794284</v>
      </c>
      <c r="I66" s="169">
        <f t="shared" si="21"/>
        <v>297372414.13634735</v>
      </c>
      <c r="J66" s="169"/>
      <c r="K66" s="169">
        <f>-Additions!L66*0.21</f>
        <v>-152411.69999999998</v>
      </c>
      <c r="L66" s="169">
        <v>160692.64948893784</v>
      </c>
      <c r="M66" s="165">
        <f t="shared" si="20"/>
        <v>-96801455.012683913</v>
      </c>
      <c r="N66" s="167">
        <f t="shared" si="19"/>
        <v>200570959.12366334</v>
      </c>
      <c r="O66" s="170">
        <f t="shared" si="25"/>
        <v>-217706.41767205717</v>
      </c>
    </row>
    <row r="67" spans="1:15">
      <c r="A67" s="144">
        <v>49</v>
      </c>
      <c r="B67" s="163">
        <v>43952</v>
      </c>
      <c r="C67" s="167">
        <f t="shared" si="26"/>
        <v>200570959.12366334</v>
      </c>
      <c r="D67" s="167"/>
      <c r="E67" s="168">
        <f>Additions!J67*$E$5</f>
        <v>1606729.5769</v>
      </c>
      <c r="F67" s="168">
        <f t="shared" si="11"/>
        <v>1317082.6315787225</v>
      </c>
      <c r="G67" s="168">
        <v>1705922.8998124253</v>
      </c>
      <c r="H67" s="169">
        <f t="shared" si="27"/>
        <v>1217889.3086662975</v>
      </c>
      <c r="I67" s="169">
        <f>+I66+H67</f>
        <v>298590303.44501364</v>
      </c>
      <c r="J67" s="169"/>
      <c r="K67" s="169">
        <f>-Additions!L67*0.21</f>
        <v>-337413.3</v>
      </c>
      <c r="L67" s="169">
        <v>160692.64948893784</v>
      </c>
      <c r="M67" s="165">
        <f t="shared" si="20"/>
        <v>-96978175.663194969</v>
      </c>
      <c r="N67" s="167">
        <f t="shared" si="19"/>
        <v>201612127.78181854</v>
      </c>
      <c r="O67" s="170">
        <f t="shared" si="25"/>
        <v>-388840.26823370275</v>
      </c>
    </row>
    <row r="68" spans="1:15">
      <c r="A68" s="144">
        <v>50</v>
      </c>
      <c r="B68" s="166">
        <v>43983</v>
      </c>
      <c r="C68" s="167">
        <f>N67</f>
        <v>201612127.78181854</v>
      </c>
      <c r="D68" s="167"/>
      <c r="E68" s="168">
        <f>Additions!J68*$E$5</f>
        <v>1869181.8123499861</v>
      </c>
      <c r="F68" s="168">
        <f>N67*$E$3</f>
        <v>1323919.6391006082</v>
      </c>
      <c r="G68" s="168">
        <v>1568254.0136263268</v>
      </c>
      <c r="H68" s="171">
        <f>E68+F68-G68</f>
        <v>1624847.4378242674</v>
      </c>
      <c r="I68" s="169">
        <f>+I67+H68</f>
        <v>300215150.88283789</v>
      </c>
      <c r="J68" s="169"/>
      <c r="K68" s="169">
        <f>-Additions!L68*0.21</f>
        <v>-392528.22</v>
      </c>
      <c r="L68" s="169">
        <v>160692.64948893784</v>
      </c>
      <c r="M68" s="165">
        <f>M67+K68+L68</f>
        <v>-97210011.233706027</v>
      </c>
      <c r="N68" s="167">
        <f>C68+E68+F68-G68+K68+L68</f>
        <v>203005139.64913172</v>
      </c>
      <c r="O68" s="170">
        <f t="shared" si="25"/>
        <v>-244334.37452571862</v>
      </c>
    </row>
    <row r="69" spans="1:15">
      <c r="A69" s="144">
        <v>51</v>
      </c>
      <c r="B69" s="163">
        <v>44013</v>
      </c>
      <c r="C69" s="167">
        <f t="shared" ref="C69:C104" si="28">N68</f>
        <v>203005139.64913172</v>
      </c>
      <c r="D69" s="167"/>
      <c r="E69" s="168">
        <f>Additions!J69*$E$5</f>
        <v>2218272.1458999999</v>
      </c>
      <c r="F69" s="168">
        <f>N68*$E$3</f>
        <v>1333067.0836959649</v>
      </c>
      <c r="G69" s="168">
        <v>1861938.5966599351</v>
      </c>
      <c r="H69" s="171">
        <f t="shared" ref="H69:H104" si="29">E69+F69-G69</f>
        <v>1689400.6329360297</v>
      </c>
      <c r="I69" s="169">
        <f t="shared" ref="I69:I104" si="30">+I68+H69</f>
        <v>301904551.51577389</v>
      </c>
      <c r="J69" s="169"/>
      <c r="K69" s="169">
        <f>-Additions!L69*0.21</f>
        <v>-465837.12</v>
      </c>
      <c r="L69" s="169">
        <v>160692.64948893784</v>
      </c>
      <c r="M69" s="165">
        <f t="shared" ref="M69:M78" si="31">M68+K69+L69</f>
        <v>-97515155.704217091</v>
      </c>
      <c r="N69" s="167">
        <f t="shared" ref="N69:N104" si="32">C69+E69+F69-G69+K69+L69</f>
        <v>204389395.8115567</v>
      </c>
      <c r="O69" s="170">
        <f t="shared" si="25"/>
        <v>-528871.51296397019</v>
      </c>
    </row>
    <row r="70" spans="1:15">
      <c r="A70" s="144">
        <v>52</v>
      </c>
      <c r="B70" s="166">
        <v>44044</v>
      </c>
      <c r="C70" s="167">
        <f t="shared" si="28"/>
        <v>204389395.8115567</v>
      </c>
      <c r="D70" s="167"/>
      <c r="E70" s="168">
        <f>Additions!J70*$E$5</f>
        <v>1447856.1295000003</v>
      </c>
      <c r="F70" s="168">
        <f t="shared" ref="F70:F73" si="33">N69*$E$3</f>
        <v>1342157.0324958889</v>
      </c>
      <c r="G70" s="168">
        <v>1823157.3971764713</v>
      </c>
      <c r="H70" s="171">
        <f t="shared" si="29"/>
        <v>966855.76481941785</v>
      </c>
      <c r="I70" s="169">
        <f t="shared" si="30"/>
        <v>302871407.28059334</v>
      </c>
      <c r="J70" s="169"/>
      <c r="K70" s="169">
        <f>-Additions!L70*0.21</f>
        <v>-304049.76</v>
      </c>
      <c r="L70" s="169">
        <v>160692.64948893801</v>
      </c>
      <c r="M70" s="165">
        <f t="shared" si="31"/>
        <v>-97658512.814728156</v>
      </c>
      <c r="N70" s="167">
        <f t="shared" si="32"/>
        <v>205212894.46586505</v>
      </c>
      <c r="O70" s="170">
        <f t="shared" si="25"/>
        <v>-481000.36468058242</v>
      </c>
    </row>
    <row r="71" spans="1:15">
      <c r="A71" s="144">
        <v>53</v>
      </c>
      <c r="B71" s="163">
        <v>44075</v>
      </c>
      <c r="C71" s="167">
        <f t="shared" si="28"/>
        <v>205212894.46586505</v>
      </c>
      <c r="D71" s="167"/>
      <c r="E71" s="168">
        <f>Additions!J71*$E$5</f>
        <v>2649556.4545499999</v>
      </c>
      <c r="F71" s="168">
        <f t="shared" si="33"/>
        <v>1347564.6736591803</v>
      </c>
      <c r="G71" s="168">
        <v>1561650.97</v>
      </c>
      <c r="H71" s="171">
        <f t="shared" si="29"/>
        <v>2435470.1582091805</v>
      </c>
      <c r="I71" s="169">
        <f t="shared" si="30"/>
        <v>305306877.43880254</v>
      </c>
      <c r="J71" s="169"/>
      <c r="K71" s="169">
        <f>-Additions!L71*0.21</f>
        <v>-556406.76</v>
      </c>
      <c r="L71" s="169">
        <v>160692.64948893801</v>
      </c>
      <c r="M71" s="165">
        <f t="shared" si="31"/>
        <v>-98054226.92523922</v>
      </c>
      <c r="N71" s="167">
        <f t="shared" si="32"/>
        <v>207252650.51356316</v>
      </c>
      <c r="O71" s="170">
        <f t="shared" si="25"/>
        <v>-214086.29634081968</v>
      </c>
    </row>
    <row r="72" spans="1:15">
      <c r="A72" s="144">
        <v>54</v>
      </c>
      <c r="B72" s="166">
        <v>44105</v>
      </c>
      <c r="C72" s="167">
        <f t="shared" si="28"/>
        <v>207252650.51356316</v>
      </c>
      <c r="D72" s="167"/>
      <c r="E72" s="168">
        <f>Additions!J72*$E$5</f>
        <v>3834807.5258499999</v>
      </c>
      <c r="F72" s="168">
        <f t="shared" si="33"/>
        <v>1360959.0717057313</v>
      </c>
      <c r="G72" s="168">
        <v>2076528.84</v>
      </c>
      <c r="H72" s="171">
        <f t="shared" si="29"/>
        <v>3119237.7575557316</v>
      </c>
      <c r="I72" s="169">
        <f t="shared" si="30"/>
        <v>308426115.19635826</v>
      </c>
      <c r="J72" s="169"/>
      <c r="K72" s="169">
        <f>-Additions!L72*0.21</f>
        <v>-805309.67999999993</v>
      </c>
      <c r="L72" s="169">
        <v>160692.64948893801</v>
      </c>
      <c r="M72" s="165">
        <f t="shared" si="31"/>
        <v>-98698843.955750287</v>
      </c>
      <c r="N72" s="167">
        <f t="shared" si="32"/>
        <v>209727271.2406078</v>
      </c>
      <c r="O72" s="170">
        <f t="shared" si="25"/>
        <v>-715569.76829426875</v>
      </c>
    </row>
    <row r="73" spans="1:15">
      <c r="A73" s="144">
        <v>55</v>
      </c>
      <c r="B73" s="163">
        <v>44136</v>
      </c>
      <c r="C73" s="167">
        <f t="shared" si="28"/>
        <v>209727271.2406078</v>
      </c>
      <c r="D73" s="167"/>
      <c r="E73" s="168">
        <f>Additions!J73*$E$5</f>
        <v>2517153.0894499999</v>
      </c>
      <c r="F73" s="168">
        <f t="shared" si="33"/>
        <v>1377209.0811466577</v>
      </c>
      <c r="G73" s="168">
        <v>1446125.09</v>
      </c>
      <c r="H73" s="171">
        <f t="shared" si="29"/>
        <v>2448237.0805966575</v>
      </c>
      <c r="I73" s="169">
        <f t="shared" si="30"/>
        <v>310874352.27695495</v>
      </c>
      <c r="J73" s="169"/>
      <c r="K73" s="169">
        <f>-Additions!L73*0.21</f>
        <v>-528602.13</v>
      </c>
      <c r="L73" s="169">
        <v>160692.64948893801</v>
      </c>
      <c r="M73" s="165">
        <f t="shared" si="31"/>
        <v>-99066753.436261341</v>
      </c>
      <c r="N73" s="167">
        <f t="shared" si="32"/>
        <v>211807598.84069338</v>
      </c>
      <c r="O73" s="170">
        <f t="shared" si="25"/>
        <v>-68916.008853342384</v>
      </c>
    </row>
    <row r="74" spans="1:15">
      <c r="A74" s="144">
        <v>56</v>
      </c>
      <c r="B74" s="166">
        <v>44166</v>
      </c>
      <c r="C74" s="167">
        <f t="shared" si="28"/>
        <v>211807598.84069338</v>
      </c>
      <c r="D74" s="167"/>
      <c r="E74" s="168">
        <f>Additions!J74*$E$5</f>
        <v>1400590.99315</v>
      </c>
      <c r="F74" s="168">
        <f>N73*$E$3</f>
        <v>1390869.8990538863</v>
      </c>
      <c r="G74" s="168">
        <v>2618370.8851745129</v>
      </c>
      <c r="H74" s="171">
        <f t="shared" si="29"/>
        <v>173090.0070293732</v>
      </c>
      <c r="I74" s="169">
        <f t="shared" si="30"/>
        <v>311047442.2839843</v>
      </c>
      <c r="J74" s="169"/>
      <c r="K74" s="169">
        <f>-Additions!L74*0.21</f>
        <v>-294124.11</v>
      </c>
      <c r="L74" s="169">
        <v>160692.64948893801</v>
      </c>
      <c r="M74" s="165">
        <f t="shared" si="31"/>
        <v>-99200184.8967724</v>
      </c>
      <c r="N74" s="167">
        <f t="shared" si="32"/>
        <v>211847257.38721165</v>
      </c>
      <c r="O74" s="170">
        <f t="shared" si="25"/>
        <v>-1227500.9861206266</v>
      </c>
    </row>
    <row r="75" spans="1:15">
      <c r="A75" s="144">
        <v>57</v>
      </c>
      <c r="B75" s="163">
        <v>44197</v>
      </c>
      <c r="C75" s="167">
        <f t="shared" si="28"/>
        <v>211847257.38721165</v>
      </c>
      <c r="D75" s="167"/>
      <c r="E75" s="168">
        <f>Additions!J75*$E$5</f>
        <v>690134.70444999996</v>
      </c>
      <c r="F75" s="168">
        <f>N74*(0.0766/12)</f>
        <v>1352291.6596550345</v>
      </c>
      <c r="G75" s="168">
        <v>2468951.1098144846</v>
      </c>
      <c r="H75" s="171">
        <f t="shared" si="29"/>
        <v>-426524.74570944998</v>
      </c>
      <c r="I75" s="169">
        <f t="shared" si="30"/>
        <v>310620917.53827482</v>
      </c>
      <c r="J75" s="169"/>
      <c r="K75" s="169">
        <f>-Additions!L75*0.21</f>
        <v>-144928.35</v>
      </c>
      <c r="L75" s="169">
        <v>532827.4</v>
      </c>
      <c r="M75" s="165">
        <f t="shared" si="31"/>
        <v>-98812285.846772388</v>
      </c>
      <c r="N75" s="167">
        <f t="shared" si="32"/>
        <v>211808631.69150221</v>
      </c>
      <c r="O75" s="170">
        <f t="shared" si="25"/>
        <v>-1116659.4501594501</v>
      </c>
    </row>
    <row r="76" spans="1:15">
      <c r="A76" s="144">
        <v>58</v>
      </c>
      <c r="B76" s="166">
        <v>44228</v>
      </c>
      <c r="C76" s="167">
        <f t="shared" si="28"/>
        <v>211808631.69150221</v>
      </c>
      <c r="D76" s="167"/>
      <c r="E76" s="168">
        <f>Additions!J76*$E$5</f>
        <v>315186.37744999997</v>
      </c>
      <c r="F76" s="168">
        <f>N75*$G$3</f>
        <v>1323803.9480718886</v>
      </c>
      <c r="G76" s="168">
        <v>2555968.11</v>
      </c>
      <c r="H76" s="171">
        <f t="shared" si="29"/>
        <v>-916977.78447811119</v>
      </c>
      <c r="I76" s="169">
        <f t="shared" si="30"/>
        <v>309703939.7537967</v>
      </c>
      <c r="J76" s="169"/>
      <c r="K76" s="169">
        <f>-Additions!L76*0.21</f>
        <v>-66189.06</v>
      </c>
      <c r="L76" s="169">
        <v>801591.38</v>
      </c>
      <c r="M76" s="165">
        <f t="shared" si="31"/>
        <v>-98076883.526772395</v>
      </c>
      <c r="N76" s="167">
        <f t="shared" si="32"/>
        <v>211627056.22702408</v>
      </c>
      <c r="O76" s="170">
        <f t="shared" si="25"/>
        <v>-1232164.1619281112</v>
      </c>
    </row>
    <row r="77" spans="1:15">
      <c r="A77" s="144">
        <v>59</v>
      </c>
      <c r="B77" s="163">
        <v>44256</v>
      </c>
      <c r="C77" s="167">
        <f t="shared" si="28"/>
        <v>211627056.22702408</v>
      </c>
      <c r="D77" s="167"/>
      <c r="E77" s="168">
        <f>Additions!J77*$E$5</f>
        <v>345424.69544999994</v>
      </c>
      <c r="F77" s="168">
        <f t="shared" ref="F77:F104" si="34">N76*$G$3</f>
        <v>1322669.1014189003</v>
      </c>
      <c r="G77" s="168">
        <v>1960984.52</v>
      </c>
      <c r="H77" s="171">
        <f t="shared" si="29"/>
        <v>-292890.72313109972</v>
      </c>
      <c r="I77" s="169">
        <f t="shared" si="30"/>
        <v>309411049.03066558</v>
      </c>
      <c r="J77" s="169"/>
      <c r="K77" s="169">
        <f>-Additions!L77*0.21</f>
        <v>-72539.25</v>
      </c>
      <c r="L77" s="169">
        <v>801591.38</v>
      </c>
      <c r="M77" s="165">
        <f t="shared" si="31"/>
        <v>-97347831.3967724</v>
      </c>
      <c r="N77" s="167">
        <f t="shared" si="32"/>
        <v>212063217.63389298</v>
      </c>
      <c r="O77" s="170">
        <f t="shared" si="25"/>
        <v>-638315.41858109972</v>
      </c>
    </row>
    <row r="78" spans="1:15">
      <c r="A78" s="144">
        <v>60</v>
      </c>
      <c r="B78" s="166">
        <v>44287</v>
      </c>
      <c r="C78" s="167">
        <f t="shared" si="28"/>
        <v>212063217.63389298</v>
      </c>
      <c r="D78" s="167"/>
      <c r="E78" s="168">
        <f>Additions!J78*$E$5</f>
        <v>602534.26135000004</v>
      </c>
      <c r="F78" s="168">
        <f t="shared" si="34"/>
        <v>1325395.1102118311</v>
      </c>
      <c r="G78" s="168">
        <v>2266436.8415665375</v>
      </c>
      <c r="H78" s="171">
        <f t="shared" si="29"/>
        <v>-338507.47000470641</v>
      </c>
      <c r="I78" s="169">
        <f t="shared" si="30"/>
        <v>309072541.5606609</v>
      </c>
      <c r="J78" s="169"/>
      <c r="K78" s="169">
        <f>-Additions!L78*0.21</f>
        <v>-126532.14</v>
      </c>
      <c r="L78" s="169">
        <v>801591.38</v>
      </c>
      <c r="M78" s="165">
        <f t="shared" si="31"/>
        <v>-96672772.156772405</v>
      </c>
      <c r="N78" s="167">
        <f t="shared" si="32"/>
        <v>212399769.40388829</v>
      </c>
      <c r="O78" s="170">
        <f t="shared" si="25"/>
        <v>-941041.73135470646</v>
      </c>
    </row>
    <row r="79" spans="1:15">
      <c r="A79" s="144">
        <v>61</v>
      </c>
      <c r="B79" s="163">
        <v>44317</v>
      </c>
      <c r="C79" s="167">
        <f t="shared" si="28"/>
        <v>212399769.40388829</v>
      </c>
      <c r="D79" s="167"/>
      <c r="E79" s="168">
        <f>Additions!J79*$E$5</f>
        <v>653148.92960000003</v>
      </c>
      <c r="F79" s="168">
        <f t="shared" si="34"/>
        <v>1327498.5587743018</v>
      </c>
      <c r="G79" s="168">
        <v>1870559.5785595994</v>
      </c>
      <c r="H79" s="171">
        <f t="shared" si="29"/>
        <v>110087.90981470235</v>
      </c>
      <c r="I79" s="169">
        <f t="shared" si="30"/>
        <v>309182629.47047561</v>
      </c>
      <c r="J79" s="169"/>
      <c r="K79" s="169">
        <f>-Additions!L79*0.21</f>
        <v>-137161.29</v>
      </c>
      <c r="L79" s="169">
        <v>801591.38</v>
      </c>
      <c r="M79" s="165">
        <f>M78+K79+L79</f>
        <v>-96008342.066772416</v>
      </c>
      <c r="N79" s="167">
        <f t="shared" si="32"/>
        <v>213174287.40370297</v>
      </c>
      <c r="O79" s="170">
        <f t="shared" si="25"/>
        <v>-543061.01978529757</v>
      </c>
    </row>
    <row r="80" spans="1:15">
      <c r="A80" s="144">
        <v>62</v>
      </c>
      <c r="B80" s="166">
        <v>44348</v>
      </c>
      <c r="C80" s="167">
        <f t="shared" si="28"/>
        <v>213174287.40370297</v>
      </c>
      <c r="D80" s="167"/>
      <c r="E80" s="168">
        <f>Additions!J80*$E$5</f>
        <v>349467.15515000001</v>
      </c>
      <c r="F80" s="168">
        <f t="shared" si="34"/>
        <v>1332339.2962731435</v>
      </c>
      <c r="G80" s="168">
        <v>2218196.9890521378</v>
      </c>
      <c r="H80" s="171">
        <f t="shared" si="29"/>
        <v>-536390.53762899432</v>
      </c>
      <c r="I80" s="169">
        <f t="shared" si="30"/>
        <v>308646238.93284661</v>
      </c>
      <c r="J80" s="169"/>
      <c r="K80" s="169">
        <f>-Additions!L80*0.21</f>
        <v>-73388.069999999992</v>
      </c>
      <c r="L80" s="169">
        <v>801591.38</v>
      </c>
      <c r="M80" s="165">
        <f>M79+K80+L80</f>
        <v>-95280138.756772414</v>
      </c>
      <c r="N80" s="167">
        <f t="shared" si="32"/>
        <v>213366100.17607397</v>
      </c>
      <c r="O80" s="170">
        <f t="shared" si="25"/>
        <v>-885857.69277899433</v>
      </c>
    </row>
    <row r="81" spans="1:15">
      <c r="A81" s="144">
        <v>63</v>
      </c>
      <c r="B81" s="163">
        <v>44378</v>
      </c>
      <c r="C81" s="167">
        <f t="shared" si="28"/>
        <v>213366100.17607397</v>
      </c>
      <c r="D81" s="167"/>
      <c r="E81" s="168">
        <f>Additions!J81*$E$5</f>
        <v>167013.06385000001</v>
      </c>
      <c r="F81" s="168">
        <f t="shared" si="34"/>
        <v>1333538.1261004622</v>
      </c>
      <c r="G81" s="168">
        <v>2323057.9900000002</v>
      </c>
      <c r="H81" s="171">
        <f t="shared" si="29"/>
        <v>-822506.80004953803</v>
      </c>
      <c r="I81" s="169">
        <f t="shared" si="30"/>
        <v>307823732.13279706</v>
      </c>
      <c r="J81" s="169"/>
      <c r="K81" s="169">
        <f>-Additions!L81*0.21</f>
        <v>-35072.729999999996</v>
      </c>
      <c r="L81" s="169">
        <v>801591.38</v>
      </c>
      <c r="M81" s="165">
        <f t="shared" ref="M81:M104" si="35">M80+K81+L81</f>
        <v>-94513620.106772423</v>
      </c>
      <c r="N81" s="167">
        <f t="shared" si="32"/>
        <v>213310112.0260244</v>
      </c>
      <c r="O81" s="170">
        <f t="shared" si="25"/>
        <v>-989519.86389953806</v>
      </c>
    </row>
    <row r="82" spans="1:15">
      <c r="A82" s="144">
        <v>64</v>
      </c>
      <c r="B82" s="166">
        <v>44409</v>
      </c>
      <c r="C82" s="167">
        <f t="shared" si="28"/>
        <v>213310112.0260244</v>
      </c>
      <c r="D82" s="167"/>
      <c r="E82" s="168">
        <f>Additions!J82*$E$5</f>
        <v>562974.30720000004</v>
      </c>
      <c r="F82" s="168">
        <f t="shared" si="34"/>
        <v>1333188.2001626524</v>
      </c>
      <c r="G82" s="168">
        <v>3259199.9886138295</v>
      </c>
      <c r="H82" s="171">
        <f t="shared" si="29"/>
        <v>-1363037.4812511769</v>
      </c>
      <c r="I82" s="169">
        <f t="shared" si="30"/>
        <v>306460694.65154588</v>
      </c>
      <c r="J82" s="169"/>
      <c r="K82" s="169">
        <f>-Additions!L82*0.21</f>
        <v>-118224.54</v>
      </c>
      <c r="L82" s="169">
        <v>801591.38</v>
      </c>
      <c r="M82" s="165">
        <f t="shared" si="35"/>
        <v>-93830253.266772434</v>
      </c>
      <c r="N82" s="167">
        <f t="shared" si="32"/>
        <v>212630441.38477322</v>
      </c>
      <c r="O82" s="170">
        <f t="shared" si="25"/>
        <v>-1926011.7884511771</v>
      </c>
    </row>
    <row r="83" spans="1:15">
      <c r="A83" s="144">
        <v>65</v>
      </c>
      <c r="B83" s="163">
        <v>44440</v>
      </c>
      <c r="C83" s="167">
        <f t="shared" si="28"/>
        <v>212630441.38477322</v>
      </c>
      <c r="D83" s="167"/>
      <c r="E83" s="168">
        <f>Additions!J83*$E$5</f>
        <v>-1795179.2548499999</v>
      </c>
      <c r="F83" s="168">
        <f t="shared" si="34"/>
        <v>1328940.2586548326</v>
      </c>
      <c r="G83" s="168">
        <v>1212424.4898162088</v>
      </c>
      <c r="H83" s="171">
        <f t="shared" si="29"/>
        <v>-1678663.4860113761</v>
      </c>
      <c r="I83" s="169">
        <f t="shared" si="30"/>
        <v>304782031.1655345</v>
      </c>
      <c r="J83" s="169"/>
      <c r="K83" s="169">
        <f>-Additions!L83*0.21</f>
        <v>376987.58999999997</v>
      </c>
      <c r="L83" s="169">
        <v>801591.38</v>
      </c>
      <c r="M83" s="165">
        <f t="shared" si="35"/>
        <v>-92651674.296772435</v>
      </c>
      <c r="N83" s="167">
        <f t="shared" si="32"/>
        <v>212130356.86876184</v>
      </c>
      <c r="O83" s="170">
        <f t="shared" si="25"/>
        <v>116515.76883862377</v>
      </c>
    </row>
    <row r="84" spans="1:15">
      <c r="A84" s="144">
        <v>66</v>
      </c>
      <c r="B84" s="166">
        <v>44470</v>
      </c>
      <c r="C84" s="167">
        <f t="shared" si="28"/>
        <v>212130356.86876184</v>
      </c>
      <c r="D84" s="167"/>
      <c r="E84" s="168">
        <f>Additions!J84*$E$5</f>
        <v>1922935.7248499999</v>
      </c>
      <c r="F84" s="168">
        <f t="shared" si="34"/>
        <v>1325814.7304297613</v>
      </c>
      <c r="G84" s="168">
        <v>2377842.4858495505</v>
      </c>
      <c r="H84" s="171">
        <f t="shared" si="29"/>
        <v>870907.96943021053</v>
      </c>
      <c r="I84" s="169">
        <f t="shared" si="30"/>
        <v>305652939.1349647</v>
      </c>
      <c r="J84" s="169"/>
      <c r="K84" s="169">
        <f>-Additions!L84*0.21</f>
        <v>-403816.56</v>
      </c>
      <c r="L84" s="169">
        <v>801591.38</v>
      </c>
      <c r="M84" s="165">
        <f t="shared" si="35"/>
        <v>-92253899.476772442</v>
      </c>
      <c r="N84" s="167">
        <f t="shared" si="32"/>
        <v>213399039.65819204</v>
      </c>
      <c r="O84" s="170">
        <f t="shared" si="25"/>
        <v>-1052027.7554197891</v>
      </c>
    </row>
    <row r="85" spans="1:15">
      <c r="A85" s="144">
        <v>67</v>
      </c>
      <c r="B85" s="163">
        <v>44501</v>
      </c>
      <c r="C85" s="167">
        <f t="shared" si="28"/>
        <v>213399039.65819204</v>
      </c>
      <c r="D85" s="167"/>
      <c r="E85" s="168">
        <f>Additions!J85*$E$5</f>
        <v>58741.558500000006</v>
      </c>
      <c r="F85" s="168">
        <f t="shared" si="34"/>
        <v>1333743.9978637001</v>
      </c>
      <c r="G85" s="168">
        <v>2449755.6383997235</v>
      </c>
      <c r="H85" s="171">
        <f t="shared" si="29"/>
        <v>-1057270.0820360233</v>
      </c>
      <c r="I85" s="169">
        <f t="shared" si="30"/>
        <v>304595669.05292869</v>
      </c>
      <c r="J85" s="169"/>
      <c r="K85" s="169">
        <f>-Additions!L85*0.21</f>
        <v>-12335.82</v>
      </c>
      <c r="L85" s="169">
        <v>801591.38</v>
      </c>
      <c r="M85" s="165">
        <f t="shared" si="35"/>
        <v>-91464643.91677244</v>
      </c>
      <c r="N85" s="167">
        <f t="shared" si="32"/>
        <v>213131025.13615602</v>
      </c>
      <c r="O85" s="170">
        <f t="shared" si="25"/>
        <v>-1116011.6405360233</v>
      </c>
    </row>
    <row r="86" spans="1:15">
      <c r="A86" s="144">
        <v>68</v>
      </c>
      <c r="B86" s="166">
        <v>44531</v>
      </c>
      <c r="C86" s="167">
        <f t="shared" si="28"/>
        <v>213131025.13615602</v>
      </c>
      <c r="D86" s="167"/>
      <c r="E86" s="168">
        <f>Additions!J86*$E$5</f>
        <v>118718.81919999998</v>
      </c>
      <c r="F86" s="168">
        <f t="shared" si="34"/>
        <v>1332068.907100975</v>
      </c>
      <c r="G86" s="168">
        <v>3142937.27</v>
      </c>
      <c r="H86" s="171">
        <f t="shared" si="29"/>
        <v>-1692149.5436990249</v>
      </c>
      <c r="I86" s="169">
        <f t="shared" si="30"/>
        <v>302903519.50922966</v>
      </c>
      <c r="J86" s="169"/>
      <c r="K86" s="169">
        <f>-Additions!L86*0.21</f>
        <v>-24930.989999999998</v>
      </c>
      <c r="L86" s="169">
        <v>801591.38</v>
      </c>
      <c r="M86" s="165">
        <f t="shared" si="35"/>
        <v>-90687983.526772439</v>
      </c>
      <c r="N86" s="167">
        <f t="shared" si="32"/>
        <v>212215535.98245698</v>
      </c>
      <c r="O86" s="170">
        <f t="shared" si="25"/>
        <v>-1810868.362899025</v>
      </c>
    </row>
    <row r="87" spans="1:15">
      <c r="A87" s="144">
        <v>69</v>
      </c>
      <c r="B87" s="163">
        <v>44562</v>
      </c>
      <c r="C87" s="167">
        <f t="shared" si="28"/>
        <v>212215535.98245698</v>
      </c>
      <c r="D87" s="167"/>
      <c r="E87" s="168">
        <f>Additions!J87*$E$5</f>
        <v>38965.831700000002</v>
      </c>
      <c r="F87" s="168">
        <f t="shared" si="34"/>
        <v>1326347.099890356</v>
      </c>
      <c r="G87" s="168">
        <v>3226752.3058961709</v>
      </c>
      <c r="H87" s="171">
        <f t="shared" si="29"/>
        <v>-1861439.374305815</v>
      </c>
      <c r="I87" s="169">
        <f t="shared" si="30"/>
        <v>301042080.13492382</v>
      </c>
      <c r="J87" s="169"/>
      <c r="K87" s="169">
        <f>-Additions!L87*0.21</f>
        <v>-8182.86</v>
      </c>
      <c r="L87" s="169">
        <v>801591.38</v>
      </c>
      <c r="M87" s="165">
        <f t="shared" si="35"/>
        <v>-89894575.006772444</v>
      </c>
      <c r="N87" s="167">
        <f t="shared" si="32"/>
        <v>211147505.12815115</v>
      </c>
      <c r="O87" s="170">
        <f t="shared" si="25"/>
        <v>-1900405.206005815</v>
      </c>
    </row>
    <row r="88" spans="1:15">
      <c r="A88" s="144">
        <v>70</v>
      </c>
      <c r="B88" s="166">
        <v>44593</v>
      </c>
      <c r="C88" s="167">
        <f t="shared" si="28"/>
        <v>211147505.12815115</v>
      </c>
      <c r="D88" s="167"/>
      <c r="E88" s="168">
        <f>Additions!J88*$E$5</f>
        <v>10227.097400000001</v>
      </c>
      <c r="F88" s="168">
        <f t="shared" si="34"/>
        <v>1319671.9070509446</v>
      </c>
      <c r="G88" s="168">
        <v>1868330.68</v>
      </c>
      <c r="H88" s="171">
        <f t="shared" si="29"/>
        <v>-538431.67554905522</v>
      </c>
      <c r="I88" s="169">
        <f t="shared" si="30"/>
        <v>300503648.45937479</v>
      </c>
      <c r="J88" s="169"/>
      <c r="K88" s="169">
        <f>-Additions!L88*0.21</f>
        <v>-2147.67</v>
      </c>
      <c r="L88" s="169">
        <v>801591.38</v>
      </c>
      <c r="M88" s="165">
        <f t="shared" si="35"/>
        <v>-89095131.29677245</v>
      </c>
      <c r="N88" s="167">
        <f t="shared" si="32"/>
        <v>211408517.1626021</v>
      </c>
      <c r="O88" s="170">
        <f t="shared" si="25"/>
        <v>-548658.7729490553</v>
      </c>
    </row>
    <row r="89" spans="1:15">
      <c r="A89" s="144">
        <v>71</v>
      </c>
      <c r="B89" s="163">
        <v>44621</v>
      </c>
      <c r="C89" s="167">
        <f t="shared" si="28"/>
        <v>211408517.1626021</v>
      </c>
      <c r="D89" s="167"/>
      <c r="E89" s="168">
        <f>Additions!J89*$E$5</f>
        <v>38719.325599999996</v>
      </c>
      <c r="F89" s="168">
        <f t="shared" si="34"/>
        <v>1321303.2322662631</v>
      </c>
      <c r="G89" s="168">
        <v>2267940.41</v>
      </c>
      <c r="H89" s="171">
        <f t="shared" si="29"/>
        <v>-907917.85213373695</v>
      </c>
      <c r="I89" s="169">
        <f t="shared" si="30"/>
        <v>299595730.60724103</v>
      </c>
      <c r="J89" s="169"/>
      <c r="K89" s="169">
        <f>-Additions!L89*0.21</f>
        <v>-8130.99</v>
      </c>
      <c r="L89" s="169">
        <v>801591.38</v>
      </c>
      <c r="M89" s="165">
        <f t="shared" si="35"/>
        <v>-88301670.90677245</v>
      </c>
      <c r="N89" s="167">
        <f t="shared" si="32"/>
        <v>211294059.70046836</v>
      </c>
      <c r="O89" s="170">
        <f t="shared" si="25"/>
        <v>-946637.17773373704</v>
      </c>
    </row>
    <row r="90" spans="1:15">
      <c r="A90" s="144">
        <v>72</v>
      </c>
      <c r="B90" s="166">
        <v>44652</v>
      </c>
      <c r="C90" s="167">
        <f t="shared" si="28"/>
        <v>211294059.70046836</v>
      </c>
      <c r="D90" s="167"/>
      <c r="E90" s="168">
        <f>Additions!J90*$E$5</f>
        <v>127425.66759999999</v>
      </c>
      <c r="F90" s="168">
        <f t="shared" si="34"/>
        <v>1320587.8731279271</v>
      </c>
      <c r="G90" s="168">
        <v>2337767.54</v>
      </c>
      <c r="H90" s="171">
        <f t="shared" si="29"/>
        <v>-889753.99927207292</v>
      </c>
      <c r="I90" s="169">
        <f t="shared" si="30"/>
        <v>298705976.60796899</v>
      </c>
      <c r="J90" s="169"/>
      <c r="K90" s="169">
        <f>-Additions!L90*0.21</f>
        <v>-26759.46</v>
      </c>
      <c r="L90" s="169">
        <v>801591.38</v>
      </c>
      <c r="M90" s="165">
        <f t="shared" si="35"/>
        <v>-87526838.986772448</v>
      </c>
      <c r="N90" s="167">
        <f t="shared" si="32"/>
        <v>211179137.6211963</v>
      </c>
      <c r="O90" s="170">
        <f t="shared" si="25"/>
        <v>-1017179.666872073</v>
      </c>
    </row>
    <row r="91" spans="1:15">
      <c r="A91" s="144">
        <v>73</v>
      </c>
      <c r="B91" s="163">
        <v>44682</v>
      </c>
      <c r="C91" s="167">
        <f t="shared" si="28"/>
        <v>211179137.6211963</v>
      </c>
      <c r="D91" s="167"/>
      <c r="E91" s="168">
        <f>Additions!J91*$E$5</f>
        <v>86204.13665</v>
      </c>
      <c r="F91" s="168">
        <f t="shared" si="34"/>
        <v>1319869.6101324768</v>
      </c>
      <c r="G91" s="168">
        <v>3547823.5647623492</v>
      </c>
      <c r="H91" s="171">
        <f t="shared" si="29"/>
        <v>-2141749.8179798722</v>
      </c>
      <c r="I91" s="169">
        <f t="shared" si="30"/>
        <v>296564226.78998911</v>
      </c>
      <c r="J91" s="169"/>
      <c r="K91" s="169">
        <f>-Additions!L91*0.21</f>
        <v>-18102.84</v>
      </c>
      <c r="L91" s="169">
        <v>801591.38</v>
      </c>
      <c r="M91" s="165">
        <f t="shared" si="35"/>
        <v>-86743350.446772456</v>
      </c>
      <c r="N91" s="167">
        <f t="shared" si="32"/>
        <v>209820876.34321642</v>
      </c>
      <c r="O91" s="170">
        <f t="shared" si="25"/>
        <v>-2227953.9546298725</v>
      </c>
    </row>
    <row r="92" spans="1:15">
      <c r="A92" s="144">
        <v>74</v>
      </c>
      <c r="B92" s="166">
        <v>44713</v>
      </c>
      <c r="C92" s="167">
        <f t="shared" si="28"/>
        <v>209820876.34321642</v>
      </c>
      <c r="D92" s="167"/>
      <c r="E92" s="168">
        <f>Additions!J92*$E$5</f>
        <v>26183.841299998239</v>
      </c>
      <c r="F92" s="168">
        <f t="shared" si="34"/>
        <v>1311380.4771451026</v>
      </c>
      <c r="G92" s="168">
        <v>1758747.5544925677</v>
      </c>
      <c r="H92" s="171">
        <f t="shared" si="29"/>
        <v>-421183.23604746675</v>
      </c>
      <c r="I92" s="169">
        <f t="shared" si="30"/>
        <v>296143043.55394167</v>
      </c>
      <c r="J92" s="169"/>
      <c r="K92" s="169">
        <f>-Additions!L92*0.21</f>
        <v>-5498.6399999999994</v>
      </c>
      <c r="L92" s="169">
        <v>801591.38</v>
      </c>
      <c r="M92" s="165">
        <f>M91+K92+L92-(O1*0.21)</f>
        <v>-76624100.623672456</v>
      </c>
      <c r="N92" s="167">
        <f>C92+E92+F92-G92+K92+L92-(O1*0.21)</f>
        <v>219518942.93026897</v>
      </c>
      <c r="O92" s="170">
        <f t="shared" si="25"/>
        <v>-447367.07734746509</v>
      </c>
    </row>
    <row r="93" spans="1:15">
      <c r="A93" s="144">
        <v>75</v>
      </c>
      <c r="B93" s="163">
        <v>44743</v>
      </c>
      <c r="C93" s="167">
        <f t="shared" si="28"/>
        <v>219518942.93026897</v>
      </c>
      <c r="D93" s="167"/>
      <c r="E93" s="168">
        <f>Additions!J93*$E$5</f>
        <v>17224.46845</v>
      </c>
      <c r="F93" s="168">
        <f t="shared" si="34"/>
        <v>1371993.3933141809</v>
      </c>
      <c r="G93" s="168">
        <v>2922124.76</v>
      </c>
      <c r="H93" s="171">
        <f>E93+F93-G93</f>
        <v>-1532906.8982358188</v>
      </c>
      <c r="I93" s="169">
        <f t="shared" si="30"/>
        <v>294610136.65570587</v>
      </c>
      <c r="J93" s="169"/>
      <c r="K93" s="169">
        <f>-Additions!L93*0.21</f>
        <v>-3617.04</v>
      </c>
      <c r="L93" s="169">
        <v>801591.38</v>
      </c>
      <c r="M93" s="165">
        <f>M92+K93+L93-(O93*0.21)</f>
        <v>-75500598.696668446</v>
      </c>
      <c r="N93" s="167">
        <f>C93+E93+F93-G93+K93+L93-(O93*0.21)</f>
        <v>219109537.95903721</v>
      </c>
      <c r="O93" s="170">
        <f t="shared" si="25"/>
        <v>-1550131.3666858189</v>
      </c>
    </row>
    <row r="94" spans="1:15">
      <c r="A94" s="144">
        <v>76</v>
      </c>
      <c r="B94" s="166">
        <v>44774</v>
      </c>
      <c r="C94" s="167">
        <f t="shared" si="28"/>
        <v>219109537.95903721</v>
      </c>
      <c r="D94" s="167"/>
      <c r="E94" s="168">
        <f>Additions!J94*$E$5</f>
        <v>57127.901949999999</v>
      </c>
      <c r="F94" s="168">
        <f t="shared" si="34"/>
        <v>1369434.6122439825</v>
      </c>
      <c r="G94" s="168">
        <v>2852250.299877218</v>
      </c>
      <c r="H94" s="171">
        <f t="shared" si="29"/>
        <v>-1425687.7856832354</v>
      </c>
      <c r="I94" s="169">
        <f t="shared" si="30"/>
        <v>293184448.87002265</v>
      </c>
      <c r="J94" s="169"/>
      <c r="K94" s="169">
        <f>-Additions!L94*0.21</f>
        <v>-11996.88</v>
      </c>
      <c r="L94" s="169">
        <v>801591.38</v>
      </c>
      <c r="M94" s="165">
        <f>M93+K94+L94-(O94*0.21)</f>
        <v>-74399612.902265459</v>
      </c>
      <c r="N94" s="167">
        <f>C94+E94+F94-G94+K94+L94-(O94*0.21)</f>
        <v>218784835.96775696</v>
      </c>
      <c r="O94" s="170">
        <f t="shared" si="25"/>
        <v>-1482815.6876332355</v>
      </c>
    </row>
    <row r="95" spans="1:15">
      <c r="A95" s="144">
        <v>77</v>
      </c>
      <c r="B95" s="163">
        <v>44805</v>
      </c>
      <c r="C95" s="167">
        <f t="shared" si="28"/>
        <v>218784835.96775696</v>
      </c>
      <c r="D95" s="167"/>
      <c r="E95" s="168">
        <f>Additions!J95*$E$5</f>
        <v>-203938.12330000001</v>
      </c>
      <c r="F95" s="168">
        <f t="shared" si="34"/>
        <v>1367405.224798481</v>
      </c>
      <c r="G95" s="168">
        <v>1959889.3904159209</v>
      </c>
      <c r="H95" s="171">
        <f t="shared" si="29"/>
        <v>-796422.28891743999</v>
      </c>
      <c r="I95" s="169">
        <f t="shared" si="30"/>
        <v>292388026.58110523</v>
      </c>
      <c r="J95" s="169"/>
      <c r="K95" s="169">
        <f>-Additions!L95*0.21</f>
        <v>42826.979999999996</v>
      </c>
      <c r="L95" s="169">
        <v>801591.38</v>
      </c>
      <c r="M95" s="165">
        <f t="shared" ref="M95:M104" si="36">M94+K95+L95-(O95*0.21)</f>
        <v>-73430772.867485791</v>
      </c>
      <c r="N95" s="167">
        <f t="shared" ref="N95:N104" si="37">C95+E95+F95-G95+K95+L95-(O95*0.21)</f>
        <v>218957253.71361917</v>
      </c>
      <c r="O95" s="170">
        <f t="shared" si="25"/>
        <v>-592484.1656174399</v>
      </c>
    </row>
    <row r="96" spans="1:15">
      <c r="A96" s="144">
        <v>78</v>
      </c>
      <c r="B96" s="166">
        <v>44835</v>
      </c>
      <c r="C96" s="167">
        <f t="shared" si="28"/>
        <v>218957253.71361917</v>
      </c>
      <c r="D96" s="167"/>
      <c r="E96" s="168">
        <f>Additions!J96*$E$5</f>
        <v>54842.5936</v>
      </c>
      <c r="F96" s="168">
        <f t="shared" si="34"/>
        <v>1368482.8357101197</v>
      </c>
      <c r="G96" s="168">
        <v>2305037.2610563603</v>
      </c>
      <c r="H96" s="171">
        <f t="shared" si="29"/>
        <v>-881711.83174624061</v>
      </c>
      <c r="I96" s="169">
        <f t="shared" si="30"/>
        <v>291506314.74935901</v>
      </c>
      <c r="J96" s="169"/>
      <c r="K96" s="169">
        <f>-Additions!L96*0.21</f>
        <v>-11517.029999999999</v>
      </c>
      <c r="L96" s="169">
        <v>801591.38</v>
      </c>
      <c r="M96" s="165">
        <f t="shared" si="36"/>
        <v>-72444022.088163093</v>
      </c>
      <c r="N96" s="167">
        <f t="shared" si="37"/>
        <v>219062292.66119564</v>
      </c>
      <c r="O96" s="170">
        <f t="shared" si="25"/>
        <v>-936554.42534624063</v>
      </c>
    </row>
    <row r="97" spans="1:15">
      <c r="A97" s="144">
        <v>79</v>
      </c>
      <c r="B97" s="163">
        <v>44866</v>
      </c>
      <c r="C97" s="167">
        <f t="shared" si="28"/>
        <v>219062292.66119564</v>
      </c>
      <c r="D97" s="167"/>
      <c r="E97" s="168">
        <f>Additions!J97*$E$5</f>
        <v>8308.1401000000005</v>
      </c>
      <c r="F97" s="168">
        <f t="shared" si="34"/>
        <v>1369139.3291324726</v>
      </c>
      <c r="G97" s="168">
        <v>2321363.9442589362</v>
      </c>
      <c r="H97" s="171">
        <f t="shared" si="29"/>
        <v>-943916.47502646362</v>
      </c>
      <c r="I97" s="169">
        <f t="shared" si="30"/>
        <v>290562398.27433252</v>
      </c>
      <c r="J97" s="169"/>
      <c r="K97" s="169">
        <f>-Additions!L97*0.21</f>
        <v>-1744.6799999999998</v>
      </c>
      <c r="L97" s="169">
        <v>801591.38</v>
      </c>
      <c r="M97" s="165">
        <f t="shared" si="36"/>
        <v>-71444208.218986541</v>
      </c>
      <c r="N97" s="167">
        <f t="shared" si="37"/>
        <v>219118190.05534571</v>
      </c>
      <c r="O97" s="170">
        <f t="shared" si="25"/>
        <v>-952224.61512646358</v>
      </c>
    </row>
    <row r="98" spans="1:15">
      <c r="A98" s="144">
        <v>80</v>
      </c>
      <c r="B98" s="166">
        <v>44896</v>
      </c>
      <c r="C98" s="167">
        <f t="shared" si="28"/>
        <v>219118190.05534571</v>
      </c>
      <c r="D98" s="167"/>
      <c r="E98" s="168">
        <f>Additions!J98*$E$5</f>
        <v>19818.012850000003</v>
      </c>
      <c r="F98" s="168">
        <f t="shared" si="34"/>
        <v>1369488.6878459107</v>
      </c>
      <c r="G98" s="168">
        <v>2751248.6661874265</v>
      </c>
      <c r="H98" s="171">
        <f t="shared" si="29"/>
        <v>-1361941.9654915158</v>
      </c>
      <c r="I98" s="169">
        <f t="shared" si="30"/>
        <v>289200456.30884099</v>
      </c>
      <c r="J98" s="169"/>
      <c r="K98" s="169">
        <f>-Additions!L98*0.21</f>
        <v>-4161.78</v>
      </c>
      <c r="L98" s="169">
        <v>801591.38</v>
      </c>
      <c r="M98" s="165">
        <f t="shared" si="36"/>
        <v>-70356609.023534834</v>
      </c>
      <c r="N98" s="167">
        <f t="shared" si="37"/>
        <v>218843847.28530589</v>
      </c>
      <c r="O98" s="170">
        <f t="shared" si="25"/>
        <v>-1381759.9783415159</v>
      </c>
    </row>
    <row r="99" spans="1:15">
      <c r="A99" s="144">
        <v>81</v>
      </c>
      <c r="B99" s="163">
        <v>44927</v>
      </c>
      <c r="C99" s="167">
        <f t="shared" si="28"/>
        <v>218843847.28530589</v>
      </c>
      <c r="D99" s="167"/>
      <c r="E99" s="168">
        <f>Additions!J99*$E$5</f>
        <v>10062.001550000001</v>
      </c>
      <c r="F99" s="168">
        <f t="shared" si="34"/>
        <v>1367774.0455331616</v>
      </c>
      <c r="G99" s="168">
        <v>2005857.7834442272</v>
      </c>
      <c r="H99" s="171">
        <f t="shared" si="29"/>
        <v>-628021.73636106565</v>
      </c>
      <c r="I99" s="169">
        <f t="shared" si="30"/>
        <v>288572434.5724799</v>
      </c>
      <c r="J99" s="169"/>
      <c r="K99" s="169">
        <f>-Additions!L99*0.21</f>
        <v>-2113.02</v>
      </c>
      <c r="L99" s="169">
        <v>801591.38</v>
      </c>
      <c r="M99" s="165">
        <f t="shared" si="36"/>
        <v>-69423133.07857351</v>
      </c>
      <c r="N99" s="167">
        <f t="shared" si="37"/>
        <v>219149301.49390611</v>
      </c>
      <c r="O99" s="170">
        <f t="shared" si="25"/>
        <v>-638083.73791106557</v>
      </c>
    </row>
    <row r="100" spans="1:15">
      <c r="A100" s="144">
        <v>82</v>
      </c>
      <c r="B100" s="166">
        <v>44958</v>
      </c>
      <c r="C100" s="167">
        <f t="shared" si="28"/>
        <v>219149301.49390611</v>
      </c>
      <c r="D100" s="167"/>
      <c r="E100" s="168">
        <f>Additions!J100*$E$5</f>
        <v>3042.5468000000001</v>
      </c>
      <c r="F100" s="168">
        <f t="shared" si="34"/>
        <v>1369683.134336913</v>
      </c>
      <c r="G100" s="168">
        <v>2492231.5520669483</v>
      </c>
      <c r="H100" s="171">
        <f t="shared" si="29"/>
        <v>-1119505.8709300354</v>
      </c>
      <c r="I100" s="169">
        <f t="shared" si="30"/>
        <v>287452928.70154989</v>
      </c>
      <c r="J100" s="169"/>
      <c r="K100" s="169">
        <f>-Additions!L100*0.21</f>
        <v>-639.03</v>
      </c>
      <c r="L100" s="169">
        <v>801591.38</v>
      </c>
      <c r="M100" s="165">
        <f t="shared" si="36"/>
        <v>-68386445.560850203</v>
      </c>
      <c r="N100" s="167">
        <f t="shared" si="37"/>
        <v>219066483.14069936</v>
      </c>
      <c r="O100" s="170">
        <f t="shared" si="25"/>
        <v>-1122548.4177300353</v>
      </c>
    </row>
    <row r="101" spans="1:15">
      <c r="A101" s="144">
        <v>83</v>
      </c>
      <c r="B101" s="163">
        <v>44986</v>
      </c>
      <c r="C101" s="167">
        <f t="shared" si="28"/>
        <v>219066483.14069936</v>
      </c>
      <c r="D101" s="167"/>
      <c r="E101" s="168">
        <f>Additions!J101*$E$5</f>
        <v>1184.9156</v>
      </c>
      <c r="F101" s="168">
        <f t="shared" si="34"/>
        <v>1369165.5196293709</v>
      </c>
      <c r="G101" s="168">
        <v>1459382.0218524863</v>
      </c>
      <c r="H101" s="171">
        <f t="shared" si="29"/>
        <v>-89031.586623115465</v>
      </c>
      <c r="I101" s="169">
        <f t="shared" si="30"/>
        <v>287363897.11492676</v>
      </c>
      <c r="J101" s="169"/>
      <c r="K101" s="169">
        <f>-Additions!L101*0.21</f>
        <v>-248.85</v>
      </c>
      <c r="L101" s="169">
        <v>801591.38</v>
      </c>
      <c r="M101" s="165">
        <f t="shared" si="36"/>
        <v>-67566157.565383345</v>
      </c>
      <c r="N101" s="167">
        <f t="shared" si="37"/>
        <v>219797739.54954308</v>
      </c>
      <c r="O101" s="170">
        <f t="shared" si="25"/>
        <v>-90216.502223115414</v>
      </c>
    </row>
    <row r="102" spans="1:15">
      <c r="A102" s="144">
        <v>84</v>
      </c>
      <c r="B102" s="166">
        <v>45017</v>
      </c>
      <c r="C102" s="167">
        <f t="shared" si="28"/>
        <v>219797739.54954308</v>
      </c>
      <c r="D102" s="167"/>
      <c r="E102" s="168">
        <f>Additions!J102*$E$5</f>
        <v>-10886.023000000001</v>
      </c>
      <c r="F102" s="168">
        <f t="shared" si="34"/>
        <v>1373735.8721846442</v>
      </c>
      <c r="G102" s="168">
        <v>2119565.6753591625</v>
      </c>
      <c r="H102" s="171">
        <f t="shared" si="29"/>
        <v>-756715.82617451833</v>
      </c>
      <c r="I102" s="169">
        <f t="shared" si="30"/>
        <v>286607181.28875226</v>
      </c>
      <c r="J102" s="169"/>
      <c r="K102" s="169">
        <f>-Additions!L102*0.21</f>
        <v>2286.06</v>
      </c>
      <c r="L102" s="169">
        <v>801591.38</v>
      </c>
      <c r="M102" s="165">
        <f t="shared" si="36"/>
        <v>-66605655.86671669</v>
      </c>
      <c r="N102" s="167">
        <f t="shared" si="37"/>
        <v>220001525.42203519</v>
      </c>
      <c r="O102" s="170">
        <f t="shared" si="25"/>
        <v>-745829.80317451828</v>
      </c>
    </row>
    <row r="103" spans="1:15">
      <c r="A103" s="144">
        <v>85</v>
      </c>
      <c r="B103" s="163">
        <v>45047</v>
      </c>
      <c r="C103" s="167">
        <f t="shared" si="28"/>
        <v>220001525.42203519</v>
      </c>
      <c r="D103" s="167"/>
      <c r="E103" s="168">
        <f>Additions!J103*$E$5</f>
        <v>-23071.605749999999</v>
      </c>
      <c r="F103" s="168">
        <f t="shared" si="34"/>
        <v>1375009.5338877197</v>
      </c>
      <c r="G103" s="168">
        <v>1573890.2527854</v>
      </c>
      <c r="H103" s="171">
        <f t="shared" si="29"/>
        <v>-221952.32464768039</v>
      </c>
      <c r="I103" s="169">
        <f t="shared" si="30"/>
        <v>286385228.96410459</v>
      </c>
      <c r="J103" s="169"/>
      <c r="K103" s="169">
        <f>-Additions!L103*0.21</f>
        <v>4845.12</v>
      </c>
      <c r="L103" s="169">
        <v>801591.38</v>
      </c>
      <c r="M103" s="165">
        <f t="shared" si="36"/>
        <v>-65757454.415748179</v>
      </c>
      <c r="N103" s="167">
        <f t="shared" si="37"/>
        <v>220627774.548356</v>
      </c>
      <c r="O103" s="170">
        <f t="shared" si="25"/>
        <v>-198880.71889768029</v>
      </c>
    </row>
    <row r="104" spans="1:15">
      <c r="A104" s="144">
        <v>86</v>
      </c>
      <c r="B104" s="166">
        <v>45078</v>
      </c>
      <c r="C104" s="167">
        <f t="shared" si="28"/>
        <v>220627774.548356</v>
      </c>
      <c r="D104" s="167"/>
      <c r="E104" s="168">
        <f>Additions!J104*$E$5</f>
        <v>490.60879999999997</v>
      </c>
      <c r="F104" s="168">
        <f t="shared" si="34"/>
        <v>1378923.5909272248</v>
      </c>
      <c r="G104" s="168">
        <v>2418323</v>
      </c>
      <c r="H104" s="171">
        <f t="shared" si="29"/>
        <v>-1038908.8002727751</v>
      </c>
      <c r="I104" s="169">
        <f t="shared" si="30"/>
        <v>285346320.16383183</v>
      </c>
      <c r="J104" s="169"/>
      <c r="K104" s="169">
        <f>-Additions!L104*0.21</f>
        <v>-103.11</v>
      </c>
      <c r="L104" s="169">
        <v>801591.38</v>
      </c>
      <c r="M104" s="165">
        <f t="shared" si="36"/>
        <v>-64737692.269842893</v>
      </c>
      <c r="N104" s="167">
        <f t="shared" si="37"/>
        <v>220608627.89398846</v>
      </c>
      <c r="O104" s="170">
        <f t="shared" si="25"/>
        <v>-1039399.4090727752</v>
      </c>
    </row>
    <row r="105" spans="1:15">
      <c r="B105" s="144" t="s">
        <v>62</v>
      </c>
      <c r="C105" s="162"/>
      <c r="D105" s="162"/>
      <c r="E105" s="146">
        <f>SUM(E8:E104)</f>
        <v>147264661.74293998</v>
      </c>
      <c r="F105" s="146">
        <f>SUM(F8:F104)</f>
        <v>121231817.66309592</v>
      </c>
      <c r="G105" s="146">
        <f>SUM(G8:G104)</f>
        <v>176358732.60276401</v>
      </c>
      <c r="H105" s="229">
        <f>SUM(H8:H104)</f>
        <v>92137746.803271845</v>
      </c>
      <c r="I105" s="153"/>
      <c r="J105" s="153"/>
      <c r="K105" s="229">
        <f>SUM(K8:K104)</f>
        <v>-40770034.98029723</v>
      </c>
      <c r="L105" s="153">
        <f>SUM(L45:L104)</f>
        <v>29563912.80160176</v>
      </c>
      <c r="M105" s="153"/>
      <c r="N105" s="144" t="s">
        <v>69</v>
      </c>
      <c r="O105" s="229">
        <f>SUM(O8:O104)</f>
        <v>-55126914.939668134</v>
      </c>
    </row>
    <row r="106" spans="1:15">
      <c r="C106" s="162"/>
      <c r="D106" s="162"/>
      <c r="E106" s="146"/>
      <c r="F106" s="146"/>
      <c r="G106" s="149"/>
      <c r="H106" s="153"/>
      <c r="I106" s="153"/>
      <c r="J106" s="153"/>
      <c r="K106" s="153"/>
      <c r="L106" s="153"/>
      <c r="M106" s="153"/>
      <c r="N106" s="162"/>
      <c r="O106" s="172"/>
    </row>
    <row r="107" spans="1:15">
      <c r="C107" s="162"/>
      <c r="D107" s="162"/>
      <c r="E107" s="146"/>
      <c r="F107" s="146"/>
      <c r="G107" s="149"/>
      <c r="H107" s="153"/>
      <c r="I107" s="153"/>
      <c r="J107" s="153"/>
      <c r="K107" s="153"/>
      <c r="L107" s="153"/>
      <c r="M107" s="153"/>
      <c r="O107" s="172"/>
    </row>
    <row r="108" spans="1:15">
      <c r="A108" s="144" t="s">
        <v>73</v>
      </c>
      <c r="I108" s="153"/>
      <c r="L108" s="153"/>
      <c r="M108" s="153"/>
      <c r="O108" s="149"/>
    </row>
    <row r="109" spans="1:15">
      <c r="E109" s="149"/>
      <c r="M109" s="153"/>
    </row>
  </sheetData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/>
  </sheetPr>
  <dimension ref="A1:Y59"/>
  <sheetViews>
    <sheetView zoomScaleNormal="100" workbookViewId="0">
      <pane ySplit="8" topLeftCell="A9" activePane="bottomLeft" state="frozen"/>
      <selection activeCell="C10" sqref="C10"/>
      <selection pane="bottomLeft" activeCell="C10" sqref="C10"/>
    </sheetView>
  </sheetViews>
  <sheetFormatPr defaultColWidth="8.7109375" defaultRowHeight="12.75"/>
  <cols>
    <col min="1" max="1" width="10.7109375" style="51" customWidth="1"/>
    <col min="2" max="2" width="5" style="50" bestFit="1" customWidth="1"/>
    <col min="3" max="3" width="0.28515625" style="51" customWidth="1"/>
    <col min="4" max="4" width="12.7109375" style="51" customWidth="1"/>
    <col min="5" max="5" width="0.28515625" style="51" customWidth="1"/>
    <col min="6" max="6" width="15.7109375" style="51" customWidth="1"/>
    <col min="7" max="7" width="0.28515625" style="51" customWidth="1"/>
    <col min="8" max="8" width="12.7109375" style="51" customWidth="1"/>
    <col min="9" max="9" width="0.28515625" style="51" customWidth="1"/>
    <col min="10" max="10" width="12.7109375" style="51" customWidth="1"/>
    <col min="11" max="11" width="3.7109375" style="51" customWidth="1"/>
    <col min="12" max="12" width="0.28515625" style="51" customWidth="1"/>
    <col min="13" max="13" width="12.7109375" style="51" customWidth="1"/>
    <col min="14" max="14" width="0.28515625" style="51" customWidth="1"/>
    <col min="15" max="15" width="10.28515625" style="51" bestFit="1" customWidth="1"/>
    <col min="16" max="16" width="0.28515625" style="51" customWidth="1"/>
    <col min="17" max="17" width="3.7109375" style="51" customWidth="1"/>
    <col min="18" max="18" width="0.28515625" style="51" customWidth="1"/>
    <col min="19" max="19" width="12" style="51" bestFit="1" customWidth="1"/>
    <col min="20" max="20" width="2.28515625" style="51" customWidth="1"/>
    <col min="21" max="16384" width="8.7109375" style="51"/>
  </cols>
  <sheetData>
    <row r="1" spans="2:25" ht="15" customHeight="1"/>
    <row r="4" spans="2:25">
      <c r="F4" s="52"/>
    </row>
    <row r="6" spans="2:25">
      <c r="H6" s="53" t="s">
        <v>8</v>
      </c>
    </row>
    <row r="8" spans="2:25">
      <c r="J8" s="50"/>
    </row>
    <row r="9" spans="2:25" ht="13.5" thickBot="1">
      <c r="B9" s="54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</row>
    <row r="10" spans="2:25" ht="30" customHeight="1" thickBot="1">
      <c r="B10" s="56" t="s">
        <v>152</v>
      </c>
      <c r="C10" s="57"/>
      <c r="D10" s="58" t="s">
        <v>153</v>
      </c>
      <c r="E10" s="59"/>
      <c r="F10" s="60" t="s">
        <v>154</v>
      </c>
      <c r="G10" s="59"/>
      <c r="H10" s="60" t="s">
        <v>155</v>
      </c>
      <c r="I10" s="59"/>
      <c r="J10" s="60" t="s">
        <v>156</v>
      </c>
      <c r="K10" s="61"/>
      <c r="L10" s="59"/>
      <c r="M10" s="60" t="s">
        <v>157</v>
      </c>
      <c r="N10" s="62"/>
      <c r="O10" s="63" t="s">
        <v>158</v>
      </c>
      <c r="P10" s="64"/>
      <c r="Q10" s="65"/>
      <c r="R10" s="62"/>
      <c r="S10" s="66" t="s">
        <v>159</v>
      </c>
      <c r="T10" s="67"/>
    </row>
    <row r="11" spans="2:25" ht="30" customHeight="1" thickBot="1">
      <c r="B11" s="68"/>
      <c r="C11" s="69"/>
      <c r="D11" s="70"/>
      <c r="E11" s="69"/>
      <c r="F11" s="71"/>
      <c r="G11" s="69"/>
      <c r="H11" s="70"/>
      <c r="I11" s="69"/>
      <c r="J11" s="70"/>
      <c r="K11" s="72"/>
      <c r="L11" s="69"/>
      <c r="M11" s="70"/>
      <c r="N11" s="73"/>
      <c r="O11" s="74"/>
      <c r="P11" s="75"/>
      <c r="Q11" s="76"/>
      <c r="R11" s="73"/>
      <c r="S11" s="77"/>
      <c r="T11" s="67"/>
    </row>
    <row r="12" spans="2:25" ht="12.75" customHeight="1">
      <c r="B12" s="78"/>
      <c r="C12" s="79"/>
      <c r="D12" s="80"/>
      <c r="E12" s="79"/>
      <c r="F12" s="80"/>
      <c r="G12" s="79"/>
      <c r="H12" s="80"/>
      <c r="I12" s="79"/>
      <c r="J12" s="80"/>
      <c r="K12" s="81"/>
      <c r="L12" s="79"/>
      <c r="M12" s="80"/>
      <c r="N12" s="79"/>
      <c r="O12" s="80"/>
      <c r="P12" s="79"/>
      <c r="Q12" s="80"/>
      <c r="R12" s="79"/>
      <c r="S12" s="82"/>
      <c r="T12" s="55"/>
    </row>
    <row r="13" spans="2:25" ht="15" customHeight="1">
      <c r="B13" s="83">
        <v>1</v>
      </c>
      <c r="C13" s="73"/>
      <c r="D13" s="76" t="s">
        <v>160</v>
      </c>
      <c r="E13" s="73"/>
      <c r="F13" s="84">
        <v>752127351</v>
      </c>
      <c r="G13" s="73"/>
      <c r="H13" s="85">
        <v>0.5373</v>
      </c>
      <c r="I13" s="73"/>
      <c r="J13" s="86">
        <v>3.8899999999999997E-2</v>
      </c>
      <c r="K13" s="87"/>
      <c r="L13" s="73"/>
      <c r="M13" s="85">
        <f>ROUND(H13*J13,4)</f>
        <v>2.0899999999999998E-2</v>
      </c>
      <c r="N13" s="73"/>
      <c r="O13" s="88">
        <f>O42</f>
        <v>1.0060929999999999</v>
      </c>
      <c r="P13" s="73"/>
      <c r="Q13" s="89"/>
      <c r="R13" s="73"/>
      <c r="S13" s="90">
        <f>ROUND(M13*O13,6)</f>
        <v>2.1027000000000001E-2</v>
      </c>
      <c r="T13" s="91"/>
      <c r="Y13" s="92"/>
    </row>
    <row r="14" spans="2:25" ht="15">
      <c r="B14" s="83">
        <f>+B13+1</f>
        <v>2</v>
      </c>
      <c r="C14" s="73"/>
      <c r="D14" s="76" t="s">
        <v>161</v>
      </c>
      <c r="E14" s="73"/>
      <c r="F14" s="84">
        <v>0</v>
      </c>
      <c r="G14" s="73"/>
      <c r="H14" s="85">
        <v>0</v>
      </c>
      <c r="I14" s="73"/>
      <c r="J14" s="86">
        <v>2.23E-2</v>
      </c>
      <c r="K14" s="87"/>
      <c r="L14" s="73"/>
      <c r="M14" s="85">
        <f>ROUND(H14*J14,4)</f>
        <v>0</v>
      </c>
      <c r="N14" s="73"/>
      <c r="O14" s="88">
        <f>O42</f>
        <v>1.0060929999999999</v>
      </c>
      <c r="P14" s="73"/>
      <c r="Q14" s="76"/>
      <c r="R14" s="73"/>
      <c r="S14" s="90">
        <f>ROUND(M14*O14,6)</f>
        <v>0</v>
      </c>
      <c r="T14" s="91"/>
      <c r="Y14" s="92"/>
    </row>
    <row r="15" spans="2:25" ht="26.25">
      <c r="B15" s="83">
        <f>+B14+1</f>
        <v>3</v>
      </c>
      <c r="C15" s="73"/>
      <c r="D15" s="93" t="s">
        <v>162</v>
      </c>
      <c r="E15" s="73"/>
      <c r="F15" s="84">
        <v>42248832</v>
      </c>
      <c r="G15" s="73"/>
      <c r="H15" s="85">
        <v>3.0200000000000001E-2</v>
      </c>
      <c r="I15" s="73"/>
      <c r="J15" s="86">
        <v>2.8000000000000001E-2</v>
      </c>
      <c r="K15" s="87"/>
      <c r="L15" s="73"/>
      <c r="M15" s="85">
        <f>ROUND(H15*J15,4)</f>
        <v>8.0000000000000004E-4</v>
      </c>
      <c r="N15" s="73"/>
      <c r="O15" s="88">
        <f>O42</f>
        <v>1.0060929999999999</v>
      </c>
      <c r="P15" s="73"/>
      <c r="Q15" s="76"/>
      <c r="R15" s="73"/>
      <c r="S15" s="90">
        <f>ROUND(M15*O15,6)</f>
        <v>8.0500000000000005E-4</v>
      </c>
      <c r="T15" s="91"/>
      <c r="Y15" s="92"/>
    </row>
    <row r="16" spans="2:25" ht="15">
      <c r="B16" s="83">
        <f>+B15+1</f>
        <v>4</v>
      </c>
      <c r="C16" s="73"/>
      <c r="D16" s="76" t="s">
        <v>163</v>
      </c>
      <c r="E16" s="73"/>
      <c r="F16" s="84">
        <v>605509950</v>
      </c>
      <c r="G16" s="73"/>
      <c r="H16" s="85">
        <v>0.4325</v>
      </c>
      <c r="I16" s="73"/>
      <c r="J16" s="94">
        <v>9.0999999999999998E-2</v>
      </c>
      <c r="K16" s="95" t="s">
        <v>69</v>
      </c>
      <c r="L16" s="73"/>
      <c r="M16" s="85">
        <f>ROUND(H16*J16,4)</f>
        <v>3.9399999999999998E-2</v>
      </c>
      <c r="N16" s="73"/>
      <c r="O16" s="96">
        <f>S42</f>
        <v>1.3527309999999999</v>
      </c>
      <c r="P16" s="73"/>
      <c r="Q16" s="97"/>
      <c r="R16" s="73"/>
      <c r="S16" s="90">
        <f>ROUND(M16*O16,6)</f>
        <v>5.3297999999999998E-2</v>
      </c>
      <c r="T16" s="91"/>
      <c r="Y16" s="92"/>
    </row>
    <row r="17" spans="2:21" ht="15">
      <c r="B17" s="83"/>
      <c r="C17" s="73"/>
      <c r="D17" s="76"/>
      <c r="E17" s="73"/>
      <c r="F17" s="84"/>
      <c r="G17" s="73"/>
      <c r="H17" s="98"/>
      <c r="I17" s="73"/>
      <c r="J17" s="99"/>
      <c r="K17" s="87"/>
      <c r="L17" s="73"/>
      <c r="M17" s="98"/>
      <c r="N17" s="73"/>
      <c r="O17" s="74"/>
      <c r="P17" s="73"/>
      <c r="Q17" s="76"/>
      <c r="R17" s="73"/>
      <c r="S17" s="90"/>
      <c r="T17" s="100"/>
    </row>
    <row r="18" spans="2:21" ht="15">
      <c r="B18" s="83">
        <f>+B16+1</f>
        <v>5</v>
      </c>
      <c r="C18" s="73"/>
      <c r="D18" s="76" t="s">
        <v>164</v>
      </c>
      <c r="E18" s="73"/>
      <c r="F18" s="101">
        <f>SUM(F13:F16)</f>
        <v>1399886133</v>
      </c>
      <c r="G18" s="73"/>
      <c r="H18" s="102">
        <f>SUM(H13:H16)</f>
        <v>1</v>
      </c>
      <c r="I18" s="73"/>
      <c r="J18" s="99"/>
      <c r="K18" s="87"/>
      <c r="L18" s="73"/>
      <c r="M18" s="102" t="s">
        <v>2</v>
      </c>
      <c r="N18" s="73"/>
      <c r="O18" s="76"/>
      <c r="P18" s="73"/>
      <c r="Q18" s="76"/>
      <c r="R18" s="73"/>
      <c r="S18" s="103">
        <f>ROUND(SUM(S13:S17),3)</f>
        <v>7.4999999999999997E-2</v>
      </c>
      <c r="T18" s="104"/>
    </row>
    <row r="19" spans="2:21" ht="15">
      <c r="B19" s="83"/>
      <c r="C19" s="73"/>
      <c r="D19" s="76"/>
      <c r="E19" s="73"/>
      <c r="F19" s="76"/>
      <c r="G19" s="73"/>
      <c r="H19" s="76"/>
      <c r="I19" s="73"/>
      <c r="J19" s="76"/>
      <c r="K19" s="87"/>
      <c r="L19" s="73"/>
      <c r="M19" s="76"/>
      <c r="N19" s="73"/>
      <c r="O19" s="76"/>
      <c r="P19" s="73"/>
      <c r="Q19" s="76"/>
      <c r="R19" s="73"/>
      <c r="S19" s="105"/>
      <c r="T19" s="55"/>
    </row>
    <row r="20" spans="2:21" ht="15.75" thickBot="1">
      <c r="B20" s="106"/>
      <c r="C20" s="107"/>
      <c r="D20" s="108"/>
      <c r="E20" s="107"/>
      <c r="F20" s="108"/>
      <c r="G20" s="107"/>
      <c r="H20" s="108"/>
      <c r="I20" s="107"/>
      <c r="J20" s="108"/>
      <c r="K20" s="109"/>
      <c r="L20" s="107"/>
      <c r="M20" s="108"/>
      <c r="N20" s="107"/>
      <c r="O20" s="108"/>
      <c r="P20" s="107"/>
      <c r="Q20" s="108"/>
      <c r="R20" s="107"/>
      <c r="S20" s="110"/>
      <c r="T20" s="55"/>
    </row>
    <row r="21" spans="2:21" hidden="1">
      <c r="B21" s="111"/>
      <c r="C21" s="112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112"/>
      <c r="O21" s="55"/>
      <c r="P21" s="113"/>
      <c r="Q21" s="55"/>
      <c r="R21" s="55"/>
      <c r="S21" s="114"/>
      <c r="T21" s="55"/>
    </row>
    <row r="22" spans="2:21" ht="12" hidden="1" customHeight="1">
      <c r="B22" s="111"/>
      <c r="C22" s="112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112"/>
      <c r="O22" s="55"/>
      <c r="P22" s="113"/>
      <c r="Q22" s="55"/>
      <c r="R22" s="55"/>
      <c r="S22" s="114"/>
      <c r="T22" s="55"/>
    </row>
    <row r="23" spans="2:21" s="117" customFormat="1" ht="12" customHeight="1">
      <c r="B23" s="115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5"/>
      <c r="Q23" s="116"/>
      <c r="R23" s="116"/>
      <c r="S23" s="116"/>
      <c r="T23" s="116"/>
    </row>
    <row r="24" spans="2:21" s="117" customFormat="1" ht="12" customHeight="1">
      <c r="B24" s="115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5"/>
      <c r="Q24" s="116"/>
      <c r="R24" s="116"/>
      <c r="S24" s="116"/>
      <c r="T24" s="116"/>
    </row>
    <row r="25" spans="2:21" s="117" customFormat="1" ht="12" customHeight="1">
      <c r="B25" s="115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8" t="s">
        <v>165</v>
      </c>
      <c r="P25" s="118"/>
      <c r="S25" s="118" t="s">
        <v>166</v>
      </c>
      <c r="T25" s="116"/>
    </row>
    <row r="26" spans="2:21" ht="15">
      <c r="B26" s="97">
        <v>6</v>
      </c>
      <c r="C26" s="76"/>
      <c r="D26" s="89" t="s">
        <v>46</v>
      </c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119">
        <v>100</v>
      </c>
      <c r="P26" s="76"/>
      <c r="Q26" s="76"/>
      <c r="R26" s="76"/>
      <c r="S26" s="119">
        <f>O26</f>
        <v>100</v>
      </c>
      <c r="T26" s="76"/>
      <c r="U26" s="120"/>
    </row>
    <row r="27" spans="2:21" ht="15">
      <c r="B27" s="97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1"/>
      <c r="T27" s="120"/>
      <c r="U27" s="120"/>
    </row>
    <row r="28" spans="2:21" ht="15">
      <c r="B28" s="97">
        <v>7</v>
      </c>
      <c r="C28" s="120"/>
      <c r="D28" s="122" t="s">
        <v>167</v>
      </c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3">
        <v>0.41</v>
      </c>
      <c r="P28" s="120"/>
      <c r="Q28" s="120"/>
      <c r="R28" s="120"/>
      <c r="S28" s="121">
        <f>O28</f>
        <v>0.41</v>
      </c>
      <c r="T28" s="120"/>
      <c r="U28" s="120"/>
    </row>
    <row r="29" spans="2:21" ht="15">
      <c r="B29" s="97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1"/>
      <c r="T29" s="120"/>
      <c r="U29" s="120"/>
    </row>
    <row r="30" spans="2:21" ht="15">
      <c r="B30" s="97">
        <v>8</v>
      </c>
      <c r="C30" s="120"/>
      <c r="D30" s="122" t="s">
        <v>168</v>
      </c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>
        <v>0.1956</v>
      </c>
      <c r="P30" s="120"/>
      <c r="Q30" s="120"/>
      <c r="R30" s="120"/>
      <c r="S30" s="121">
        <f>O30</f>
        <v>0.1956</v>
      </c>
      <c r="T30" s="120"/>
      <c r="U30" s="120"/>
    </row>
    <row r="31" spans="2:21" ht="15">
      <c r="B31" s="97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2" t="s">
        <v>2</v>
      </c>
      <c r="P31" s="120"/>
      <c r="Q31" s="120"/>
      <c r="R31" s="120"/>
      <c r="S31" s="121"/>
      <c r="T31" s="120"/>
      <c r="U31" s="120"/>
    </row>
    <row r="32" spans="2:21" ht="15">
      <c r="B32" s="97">
        <v>9</v>
      </c>
      <c r="C32" s="120"/>
      <c r="D32" s="122" t="s">
        <v>169</v>
      </c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3">
        <f>O26-O28-O30</f>
        <v>99.394400000000005</v>
      </c>
      <c r="P32" s="120"/>
      <c r="Q32" s="120"/>
      <c r="R32" s="120"/>
      <c r="S32" s="121">
        <f>S26-S28-S30</f>
        <v>99.394400000000005</v>
      </c>
      <c r="T32" s="120"/>
      <c r="U32" s="120"/>
    </row>
    <row r="33" spans="1:23" ht="15">
      <c r="B33" s="97"/>
      <c r="C33" s="120"/>
      <c r="D33" s="122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1"/>
      <c r="T33" s="120"/>
      <c r="U33" s="120"/>
    </row>
    <row r="34" spans="1:23" ht="15">
      <c r="B34" s="97">
        <v>10</v>
      </c>
      <c r="C34" s="120"/>
      <c r="D34" s="124" t="s">
        <v>170</v>
      </c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5"/>
      <c r="P34" s="120"/>
      <c r="Q34" s="120"/>
      <c r="R34" s="120"/>
      <c r="S34" s="121">
        <f>S32*0.058545</f>
        <v>5.8190451479999998</v>
      </c>
      <c r="T34" s="120"/>
      <c r="U34" s="126"/>
    </row>
    <row r="35" spans="1:23" ht="15">
      <c r="B35" s="97"/>
      <c r="C35" s="120"/>
      <c r="D35" s="122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7"/>
      <c r="P35" s="120"/>
      <c r="Q35" s="120"/>
      <c r="R35" s="120"/>
      <c r="S35" s="121"/>
      <c r="T35" s="120"/>
      <c r="U35" s="120"/>
    </row>
    <row r="36" spans="1:23" ht="15">
      <c r="B36" s="97">
        <v>11</v>
      </c>
      <c r="C36" s="120"/>
      <c r="D36" s="124" t="s">
        <v>171</v>
      </c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7"/>
      <c r="P36" s="120"/>
      <c r="Q36" s="120"/>
      <c r="R36" s="120"/>
      <c r="S36" s="121">
        <f>S32-S34</f>
        <v>93.575354852000004</v>
      </c>
      <c r="T36" s="120"/>
      <c r="U36" s="120"/>
    </row>
    <row r="37" spans="1:23" ht="15">
      <c r="B37" s="97"/>
      <c r="C37" s="120"/>
      <c r="D37" s="124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8"/>
      <c r="T37" s="120"/>
      <c r="U37" s="120"/>
    </row>
    <row r="38" spans="1:23" ht="15">
      <c r="B38" s="97">
        <v>12</v>
      </c>
      <c r="C38" s="120"/>
      <c r="D38" s="124" t="s">
        <v>172</v>
      </c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8">
        <f>S36*0.21</f>
        <v>19.65082451892</v>
      </c>
      <c r="T38" s="120"/>
      <c r="U38" s="126"/>
    </row>
    <row r="39" spans="1:23" ht="15">
      <c r="B39" s="97"/>
      <c r="C39" s="120"/>
      <c r="D39" s="124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1"/>
      <c r="T39" s="120"/>
      <c r="U39" s="120"/>
    </row>
    <row r="40" spans="1:23" ht="15">
      <c r="B40" s="97">
        <v>13</v>
      </c>
      <c r="C40" s="120"/>
      <c r="D40" s="124" t="s">
        <v>173</v>
      </c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1">
        <f>S36-S38</f>
        <v>73.92453033308</v>
      </c>
      <c r="T40" s="120"/>
      <c r="U40" s="120"/>
    </row>
    <row r="41" spans="1:23" ht="15">
      <c r="B41" s="97"/>
      <c r="C41" s="120"/>
      <c r="D41" s="124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</row>
    <row r="42" spans="1:23" ht="15">
      <c r="B42" s="97">
        <v>14</v>
      </c>
      <c r="C42" s="120"/>
      <c r="D42" s="124" t="s">
        <v>174</v>
      </c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9">
        <f>ROUND(100/O32,6)</f>
        <v>1.0060929999999999</v>
      </c>
      <c r="P42" s="120"/>
      <c r="Q42" s="120"/>
      <c r="R42" s="120"/>
      <c r="S42" s="120">
        <f>ROUND(100/S40,6)</f>
        <v>1.3527309999999999</v>
      </c>
      <c r="T42" s="120"/>
      <c r="U42" s="120"/>
    </row>
    <row r="43" spans="1:23" ht="15">
      <c r="B43" s="97"/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</row>
    <row r="44" spans="1:23">
      <c r="A44" s="53"/>
      <c r="B44" s="130"/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4"/>
      <c r="V44" s="53"/>
      <c r="W44" s="53"/>
    </row>
    <row r="45" spans="1:23" ht="30.75" customHeight="1">
      <c r="A45" s="131" t="s">
        <v>69</v>
      </c>
      <c r="B45" s="130"/>
      <c r="C45" s="124"/>
      <c r="D45" s="240" t="s">
        <v>175</v>
      </c>
      <c r="E45" s="240"/>
      <c r="F45" s="240"/>
      <c r="G45" s="240"/>
      <c r="H45" s="240"/>
      <c r="I45" s="240"/>
      <c r="J45" s="240"/>
      <c r="K45" s="240"/>
      <c r="L45" s="240"/>
      <c r="M45" s="240"/>
      <c r="N45" s="240"/>
      <c r="O45" s="240"/>
      <c r="P45" s="240"/>
      <c r="Q45" s="240"/>
      <c r="R45" s="240"/>
      <c r="S45" s="240"/>
      <c r="T45" s="124"/>
      <c r="U45" s="124"/>
      <c r="V45" s="53"/>
      <c r="W45" s="53"/>
    </row>
    <row r="46" spans="1:23" ht="3.75" customHeight="1">
      <c r="A46" s="131"/>
      <c r="B46" s="130"/>
      <c r="C46" s="124"/>
      <c r="D46" s="132"/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24"/>
      <c r="U46" s="124"/>
      <c r="V46" s="53"/>
      <c r="W46" s="53"/>
    </row>
    <row r="47" spans="1:23" ht="27.75" customHeight="1">
      <c r="A47" s="133"/>
      <c r="B47" s="134"/>
      <c r="C47" s="135"/>
      <c r="D47" s="241"/>
      <c r="E47" s="241"/>
      <c r="F47" s="241"/>
      <c r="G47" s="241"/>
      <c r="H47" s="241"/>
      <c r="I47" s="241"/>
      <c r="J47" s="241"/>
      <c r="K47" s="241"/>
      <c r="L47" s="241"/>
      <c r="M47" s="241"/>
      <c r="N47" s="241"/>
      <c r="O47" s="241"/>
      <c r="P47" s="241"/>
      <c r="Q47" s="241"/>
      <c r="R47" s="241"/>
      <c r="S47" s="241"/>
      <c r="T47" s="124"/>
      <c r="U47" s="124"/>
      <c r="V47" s="53"/>
      <c r="W47" s="53"/>
    </row>
    <row r="48" spans="1:23">
      <c r="B48" s="127"/>
      <c r="C48" s="120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</row>
    <row r="49" spans="2:21">
      <c r="B49" s="127"/>
      <c r="C49" s="120"/>
      <c r="D49" s="120"/>
      <c r="E49" s="120"/>
      <c r="F49" s="120"/>
      <c r="G49" s="120"/>
      <c r="H49" s="120"/>
      <c r="I49" s="136"/>
      <c r="J49" s="136" t="s">
        <v>176</v>
      </c>
      <c r="K49" s="136"/>
      <c r="L49" s="136"/>
      <c r="M49" s="136"/>
      <c r="N49" s="136"/>
      <c r="O49" s="137"/>
      <c r="P49" s="138"/>
      <c r="Q49" s="136"/>
      <c r="R49" s="136"/>
      <c r="S49" s="136"/>
      <c r="T49" s="136"/>
      <c r="U49" s="139"/>
    </row>
    <row r="50" spans="2:21">
      <c r="B50" s="127"/>
      <c r="C50" s="120"/>
      <c r="D50" s="120"/>
      <c r="E50" s="120"/>
      <c r="F50" s="120"/>
      <c r="G50" s="120"/>
      <c r="H50" s="120"/>
      <c r="I50" s="136"/>
      <c r="J50" s="136"/>
      <c r="K50" s="136"/>
      <c r="L50" s="136"/>
      <c r="M50" s="136"/>
      <c r="N50" s="136"/>
      <c r="O50" s="136"/>
      <c r="P50" s="138"/>
      <c r="Q50" s="136"/>
      <c r="R50" s="136"/>
      <c r="S50" s="136"/>
      <c r="T50" s="136"/>
      <c r="U50" s="139"/>
    </row>
    <row r="51" spans="2:21">
      <c r="B51" s="127"/>
      <c r="C51" s="120"/>
      <c r="D51" s="120"/>
      <c r="E51" s="120"/>
      <c r="F51" s="120"/>
      <c r="G51" s="120"/>
      <c r="H51" s="120"/>
      <c r="I51" s="136"/>
      <c r="J51" s="136"/>
      <c r="K51" s="136"/>
      <c r="L51" s="136"/>
      <c r="M51" s="136"/>
      <c r="N51" s="136"/>
      <c r="O51" s="136"/>
      <c r="P51" s="138"/>
      <c r="Q51" s="136"/>
      <c r="R51" s="136"/>
      <c r="S51" s="136"/>
      <c r="T51" s="136"/>
      <c r="U51" s="139"/>
    </row>
    <row r="52" spans="2:21">
      <c r="B52" s="127"/>
      <c r="C52" s="120"/>
      <c r="D52" s="120"/>
      <c r="E52" s="120"/>
      <c r="F52" s="120"/>
      <c r="G52" s="120"/>
      <c r="H52" s="120"/>
      <c r="I52" s="136"/>
      <c r="J52" s="136"/>
      <c r="K52" s="136"/>
      <c r="L52" s="136"/>
      <c r="M52" s="136"/>
      <c r="N52" s="136"/>
      <c r="O52" s="136"/>
      <c r="P52" s="138"/>
      <c r="Q52" s="136"/>
      <c r="R52" s="136"/>
      <c r="S52" s="136"/>
      <c r="T52" s="136"/>
      <c r="U52" s="139"/>
    </row>
    <row r="53" spans="2:21">
      <c r="B53" s="127"/>
      <c r="C53" s="120"/>
      <c r="D53" s="120"/>
      <c r="E53" s="120"/>
      <c r="F53" s="120"/>
      <c r="G53" s="120"/>
      <c r="H53" s="120"/>
      <c r="I53" s="136"/>
      <c r="J53" s="136"/>
      <c r="K53" s="136"/>
      <c r="L53" s="136"/>
      <c r="M53" s="136"/>
      <c r="N53" s="136"/>
      <c r="O53" s="136"/>
      <c r="P53" s="138"/>
      <c r="Q53" s="136"/>
      <c r="R53" s="136"/>
      <c r="S53" s="136"/>
      <c r="T53" s="136"/>
      <c r="U53" s="139"/>
    </row>
    <row r="54" spans="2:21">
      <c r="B54" s="127"/>
      <c r="C54" s="120"/>
      <c r="D54" s="120"/>
      <c r="E54" s="120"/>
      <c r="F54" s="120"/>
      <c r="G54" s="120"/>
      <c r="H54" s="120"/>
      <c r="I54" s="136"/>
      <c r="J54" s="136"/>
      <c r="K54" s="136"/>
      <c r="L54" s="136"/>
      <c r="M54" s="136"/>
      <c r="N54" s="136"/>
      <c r="O54" s="136"/>
      <c r="P54" s="138"/>
      <c r="Q54" s="136"/>
      <c r="R54" s="136"/>
      <c r="S54" s="136"/>
      <c r="T54" s="136"/>
      <c r="U54" s="139"/>
    </row>
    <row r="55" spans="2:21">
      <c r="B55" s="127"/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</row>
    <row r="56" spans="2:21">
      <c r="B56" s="140" t="s">
        <v>2</v>
      </c>
      <c r="C56" s="141"/>
      <c r="D56" s="136"/>
      <c r="E56" s="136"/>
      <c r="F56" s="136"/>
      <c r="G56" s="136"/>
      <c r="H56" s="136"/>
    </row>
    <row r="58" spans="2:21">
      <c r="B58" s="141"/>
      <c r="C58" s="141"/>
      <c r="D58" s="136"/>
      <c r="E58" s="136"/>
      <c r="F58" s="136"/>
      <c r="G58" s="136"/>
      <c r="H58" s="136"/>
    </row>
    <row r="59" spans="2:21">
      <c r="B59" s="127"/>
      <c r="C59" s="120"/>
      <c r="D59" s="120"/>
      <c r="E59" s="120"/>
      <c r="F59" s="120"/>
      <c r="G59" s="120"/>
      <c r="H59" s="120"/>
    </row>
  </sheetData>
  <mergeCells count="2">
    <mergeCell ref="D45:S45"/>
    <mergeCell ref="D47:S47"/>
  </mergeCells>
  <printOptions horizontalCentered="1" verticalCentered="1"/>
  <pageMargins left="0" right="0" top="0" bottom="0.2" header="0" footer="0"/>
  <pageSetup scale="7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/>
  <dimension ref="A1:S33"/>
  <sheetViews>
    <sheetView zoomScaleNormal="100" workbookViewId="0">
      <selection activeCell="C10" sqref="C10"/>
    </sheetView>
  </sheetViews>
  <sheetFormatPr defaultRowHeight="15"/>
  <cols>
    <col min="2" max="2" width="2.7109375" bestFit="1" customWidth="1"/>
    <col min="3" max="3" width="9.28515625" customWidth="1"/>
    <col min="4" max="4" width="19.5703125" customWidth="1"/>
    <col min="5" max="5" width="14.7109375" bestFit="1" customWidth="1"/>
    <col min="6" max="6" width="2.7109375" customWidth="1"/>
    <col min="8" max="8" width="3.7109375" customWidth="1"/>
    <col min="10" max="10" width="2.7109375" customWidth="1"/>
    <col min="12" max="12" width="3.28515625" customWidth="1"/>
    <col min="14" max="14" width="1.5703125" customWidth="1"/>
    <col min="15" max="15" width="13.7109375" bestFit="1" customWidth="1"/>
    <col min="17" max="17" width="10.7109375" customWidth="1"/>
  </cols>
  <sheetData>
    <row r="1" spans="1:19">
      <c r="A1" s="40"/>
      <c r="B1" s="34"/>
      <c r="C1" s="34"/>
      <c r="D1" s="34"/>
      <c r="E1" s="34"/>
      <c r="F1" s="34" t="s">
        <v>6</v>
      </c>
      <c r="G1" s="34"/>
      <c r="H1" s="34"/>
      <c r="I1" s="34"/>
      <c r="J1" s="34"/>
      <c r="K1" s="34" t="s">
        <v>7</v>
      </c>
      <c r="L1" s="34"/>
      <c r="M1" s="34"/>
      <c r="N1" s="34"/>
      <c r="O1" s="34"/>
    </row>
    <row r="2" spans="1:19">
      <c r="A2" s="34"/>
      <c r="B2" s="34"/>
      <c r="C2" s="34"/>
      <c r="D2" s="34"/>
      <c r="E2" s="34"/>
      <c r="F2" s="34" t="s">
        <v>8</v>
      </c>
      <c r="G2" s="34"/>
      <c r="H2" s="34"/>
      <c r="I2" s="34"/>
      <c r="J2" s="34"/>
      <c r="K2" s="34" t="s">
        <v>9</v>
      </c>
      <c r="L2" s="34"/>
      <c r="M2" s="34"/>
      <c r="N2" s="34"/>
      <c r="O2" s="34"/>
    </row>
    <row r="3" spans="1:19">
      <c r="A3" s="34"/>
      <c r="B3" s="34"/>
      <c r="C3" s="34"/>
      <c r="D3" s="34"/>
      <c r="E3" s="34"/>
      <c r="F3" s="34" t="s">
        <v>135</v>
      </c>
      <c r="G3" s="34"/>
      <c r="H3" s="34"/>
      <c r="I3" s="34"/>
      <c r="J3" s="34"/>
      <c r="K3" s="34" t="s">
        <v>10</v>
      </c>
      <c r="L3" s="34"/>
      <c r="M3" s="34"/>
      <c r="N3" s="34"/>
      <c r="O3" s="34"/>
    </row>
    <row r="5" spans="1:19">
      <c r="E5" t="s">
        <v>11</v>
      </c>
      <c r="I5" t="s">
        <v>12</v>
      </c>
      <c r="K5" t="s">
        <v>13</v>
      </c>
    </row>
    <row r="6" spans="1:19">
      <c r="E6" t="s">
        <v>14</v>
      </c>
      <c r="G6" t="s">
        <v>15</v>
      </c>
      <c r="I6" t="s">
        <v>16</v>
      </c>
      <c r="K6" t="s">
        <v>17</v>
      </c>
    </row>
    <row r="7" spans="1:19">
      <c r="A7" t="s">
        <v>18</v>
      </c>
      <c r="E7" t="s">
        <v>19</v>
      </c>
      <c r="G7" t="s">
        <v>20</v>
      </c>
      <c r="I7" t="s">
        <v>15</v>
      </c>
      <c r="K7" t="s">
        <v>16</v>
      </c>
      <c r="M7" t="s">
        <v>5</v>
      </c>
      <c r="O7" t="s">
        <v>58</v>
      </c>
    </row>
    <row r="8" spans="1:19">
      <c r="A8" t="s">
        <v>21</v>
      </c>
      <c r="C8" t="s">
        <v>22</v>
      </c>
      <c r="E8" t="s">
        <v>23</v>
      </c>
      <c r="G8" t="s">
        <v>4</v>
      </c>
      <c r="I8" t="s">
        <v>24</v>
      </c>
      <c r="K8" t="s">
        <v>25</v>
      </c>
      <c r="M8" t="s">
        <v>66</v>
      </c>
      <c r="O8" t="s">
        <v>5</v>
      </c>
    </row>
    <row r="9" spans="1:19">
      <c r="A9" s="4">
        <v>-1</v>
      </c>
      <c r="B9" s="4"/>
      <c r="C9" s="4">
        <v>-2</v>
      </c>
      <c r="D9" s="4"/>
      <c r="E9" s="4">
        <v>-3</v>
      </c>
      <c r="F9" s="4"/>
      <c r="G9" s="4">
        <v>-4</v>
      </c>
      <c r="H9" s="4"/>
      <c r="I9" s="4">
        <v>-5</v>
      </c>
      <c r="J9" s="4"/>
      <c r="K9" s="3" t="s">
        <v>26</v>
      </c>
      <c r="L9" s="4"/>
      <c r="M9" s="4"/>
      <c r="N9" s="4"/>
      <c r="O9" s="4"/>
      <c r="P9" s="4"/>
      <c r="Q9" s="4"/>
      <c r="R9" s="4"/>
      <c r="S9" s="4"/>
    </row>
    <row r="10" spans="1:19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>
      <c r="A11">
        <v>1</v>
      </c>
      <c r="C11" t="s">
        <v>27</v>
      </c>
      <c r="E11" s="43">
        <v>636995903</v>
      </c>
      <c r="F11" s="5"/>
      <c r="G11" s="1">
        <f>ROUND(E11/$E$19,5)</f>
        <v>0.53449000000000002</v>
      </c>
      <c r="H11" s="5"/>
      <c r="I11" s="1">
        <v>4.36E-2</v>
      </c>
      <c r="J11" s="3" t="s">
        <v>28</v>
      </c>
      <c r="K11" s="8">
        <f>ROUND(G11*I11,4)</f>
        <v>2.3300000000000001E-2</v>
      </c>
      <c r="L11" s="5"/>
      <c r="M11" s="42">
        <f>ROUND(' GRCF previous'!$G$26,4)</f>
        <v>1.0054000000000001</v>
      </c>
      <c r="N11" s="5"/>
      <c r="O11" s="8">
        <f>ROUND((K11*M11),6)</f>
        <v>2.3425999999999999E-2</v>
      </c>
      <c r="P11" s="5"/>
      <c r="Q11" s="5"/>
      <c r="R11" s="5"/>
      <c r="S11" s="5"/>
    </row>
    <row r="12" spans="1:19">
      <c r="E12" s="43"/>
      <c r="F12" s="5"/>
      <c r="G12" s="1"/>
      <c r="H12" s="5"/>
      <c r="I12" s="5"/>
      <c r="J12" s="3"/>
      <c r="K12" s="1"/>
      <c r="L12" s="5"/>
      <c r="M12" s="5"/>
      <c r="N12" s="5"/>
      <c r="O12" s="1"/>
      <c r="P12" s="5"/>
      <c r="Q12" s="5"/>
      <c r="R12" s="5"/>
      <c r="S12" s="5"/>
    </row>
    <row r="13" spans="1:19">
      <c r="A13">
        <v>2</v>
      </c>
      <c r="C13" t="s">
        <v>29</v>
      </c>
      <c r="E13" s="44">
        <v>38120046</v>
      </c>
      <c r="F13" s="6"/>
      <c r="G13" s="1">
        <f>ROUND(E13/$E$19,5)</f>
        <v>3.1989999999999998E-2</v>
      </c>
      <c r="H13" s="6"/>
      <c r="I13" s="1">
        <v>1.2500000000000001E-2</v>
      </c>
      <c r="J13" s="3" t="s">
        <v>30</v>
      </c>
      <c r="K13" s="8">
        <f>ROUND(G13*I13,4)</f>
        <v>4.0000000000000002E-4</v>
      </c>
      <c r="L13" s="6"/>
      <c r="M13" s="42">
        <f>ROUND(' GRCF previous'!$G$26,4)</f>
        <v>1.0054000000000001</v>
      </c>
      <c r="N13" s="6"/>
      <c r="O13" s="8">
        <f>ROUND((K13*M13),6)</f>
        <v>4.0200000000000001E-4</v>
      </c>
      <c r="P13" s="6"/>
      <c r="Q13" s="6"/>
      <c r="R13" s="6"/>
      <c r="S13" s="6"/>
    </row>
    <row r="14" spans="1:19">
      <c r="E14" s="44"/>
      <c r="F14" s="6"/>
      <c r="G14" s="1"/>
      <c r="H14" s="6"/>
      <c r="I14" s="6"/>
      <c r="J14" s="3"/>
      <c r="K14" s="1"/>
      <c r="L14" s="6"/>
      <c r="M14" s="6"/>
      <c r="N14" s="6"/>
      <c r="O14" s="1"/>
      <c r="P14" s="6"/>
      <c r="Q14" s="6"/>
      <c r="R14" s="6"/>
      <c r="S14" s="6"/>
    </row>
    <row r="15" spans="1:19">
      <c r="A15">
        <v>3</v>
      </c>
      <c r="C15" t="s">
        <v>31</v>
      </c>
      <c r="E15" s="44">
        <v>19902818</v>
      </c>
      <c r="F15" s="6"/>
      <c r="G15" s="1">
        <f>ROUND(E15/$E$19,5)</f>
        <v>1.67E-2</v>
      </c>
      <c r="H15" s="6"/>
      <c r="I15" s="1">
        <v>1.95E-2</v>
      </c>
      <c r="J15" s="3" t="s">
        <v>32</v>
      </c>
      <c r="K15" s="8">
        <f>ROUND(G15*I15,4)</f>
        <v>2.9999999999999997E-4</v>
      </c>
      <c r="L15" s="6"/>
      <c r="M15" s="42">
        <f>ROUND(' GRCF previous'!$G$26,4)</f>
        <v>1.0054000000000001</v>
      </c>
      <c r="N15" s="6"/>
      <c r="O15" s="8">
        <f>ROUND((K15*M15),6)</f>
        <v>3.0200000000000002E-4</v>
      </c>
      <c r="P15" s="6"/>
      <c r="Q15" s="6"/>
      <c r="R15" s="6"/>
      <c r="S15" s="6"/>
    </row>
    <row r="16" spans="1:19">
      <c r="E16" s="44"/>
      <c r="F16" s="6"/>
      <c r="G16" s="1"/>
      <c r="H16" s="6"/>
      <c r="I16" s="6"/>
      <c r="J16" s="3"/>
      <c r="K16" s="1"/>
      <c r="L16" s="6"/>
      <c r="M16" s="6"/>
      <c r="N16" s="6"/>
      <c r="O16" s="1"/>
      <c r="P16" s="6"/>
      <c r="Q16" s="6"/>
      <c r="R16" s="6"/>
      <c r="S16" s="6"/>
    </row>
    <row r="17" spans="1:19">
      <c r="A17">
        <v>4</v>
      </c>
      <c r="C17" t="s">
        <v>33</v>
      </c>
      <c r="E17" s="44">
        <v>496766726</v>
      </c>
      <c r="F17" s="6"/>
      <c r="G17" s="1">
        <f>ROUND(E17/$E$19,5)</f>
        <v>0.41682999999999998</v>
      </c>
      <c r="H17" s="6"/>
      <c r="I17" s="1">
        <v>9.7000000000000003E-2</v>
      </c>
      <c r="J17" s="3" t="s">
        <v>34</v>
      </c>
      <c r="K17" s="8">
        <f>ROUND(G17*I17,4)</f>
        <v>4.0399999999999998E-2</v>
      </c>
      <c r="L17" s="6"/>
      <c r="M17" s="42">
        <f>ROUND(' GRCF previous'!G24,4)</f>
        <v>1.3521000000000001</v>
      </c>
      <c r="N17" s="6"/>
      <c r="O17" s="8">
        <f>ROUND((K17*M17),6)</f>
        <v>5.4625E-2</v>
      </c>
      <c r="P17" s="6"/>
      <c r="Q17" s="6"/>
      <c r="R17" s="6"/>
      <c r="S17" s="6"/>
    </row>
    <row r="18" spans="1:19">
      <c r="E18" s="3" t="s">
        <v>35</v>
      </c>
      <c r="F18" s="5"/>
      <c r="G18" s="3" t="s">
        <v>35</v>
      </c>
      <c r="H18" s="5"/>
      <c r="I18" s="3"/>
      <c r="J18" s="3"/>
      <c r="K18" s="3" t="s">
        <v>35</v>
      </c>
      <c r="L18" s="5"/>
      <c r="M18" s="3"/>
      <c r="N18" s="5"/>
      <c r="O18" s="3" t="s">
        <v>35</v>
      </c>
      <c r="P18" s="5"/>
      <c r="Q18" s="3"/>
      <c r="R18" s="5"/>
      <c r="S18" s="3"/>
    </row>
    <row r="19" spans="1:19">
      <c r="A19">
        <v>5</v>
      </c>
      <c r="C19" t="s">
        <v>4</v>
      </c>
      <c r="E19" s="5">
        <f>SUM(E11:E17)</f>
        <v>1191785493</v>
      </c>
      <c r="F19" s="6"/>
      <c r="G19" s="1">
        <f>SUM(G11:G17)</f>
        <v>1.0000100000000001</v>
      </c>
      <c r="H19" s="6"/>
      <c r="I19" s="6"/>
      <c r="J19" s="3"/>
      <c r="K19" s="13">
        <f>SUM(K11:K17)</f>
        <v>6.4399999999999999E-2</v>
      </c>
      <c r="L19" s="6"/>
      <c r="M19" s="6"/>
      <c r="N19" s="6"/>
      <c r="O19" s="1">
        <v>7.8799999999999995E-2</v>
      </c>
      <c r="P19" s="6"/>
      <c r="Q19" s="8"/>
      <c r="R19" s="6"/>
      <c r="S19" s="6"/>
    </row>
    <row r="20" spans="1:19">
      <c r="E20" s="3" t="s">
        <v>36</v>
      </c>
      <c r="F20" s="6"/>
      <c r="G20" s="3" t="s">
        <v>36</v>
      </c>
      <c r="H20" s="6"/>
      <c r="I20" s="6"/>
      <c r="J20" s="3"/>
      <c r="K20" s="3" t="s">
        <v>36</v>
      </c>
      <c r="L20" s="6"/>
      <c r="M20" s="6"/>
      <c r="N20" s="6"/>
      <c r="O20" s="3" t="s">
        <v>36</v>
      </c>
      <c r="P20" s="6"/>
      <c r="Q20" s="6"/>
      <c r="R20" s="6"/>
      <c r="S20" s="6"/>
    </row>
    <row r="21" spans="1:19">
      <c r="E21" s="6"/>
      <c r="F21" s="6"/>
      <c r="G21" s="1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1:19">
      <c r="E22" s="3"/>
      <c r="F22" s="5"/>
      <c r="G22" s="1"/>
      <c r="H22" s="5"/>
      <c r="I22" s="3"/>
      <c r="J22" s="5"/>
      <c r="K22" s="3"/>
      <c r="L22" s="5"/>
      <c r="M22" s="3"/>
      <c r="N22" s="5"/>
      <c r="O22" s="3"/>
      <c r="P22" s="5"/>
      <c r="Q22" s="3"/>
      <c r="R22" s="5"/>
      <c r="S22" s="3"/>
    </row>
    <row r="23" spans="1:19">
      <c r="B23" s="3" t="s">
        <v>37</v>
      </c>
      <c r="C23" t="s">
        <v>137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</row>
    <row r="24" spans="1:19">
      <c r="B24" s="3" t="s">
        <v>28</v>
      </c>
      <c r="C24" t="s">
        <v>138</v>
      </c>
      <c r="E24" s="3"/>
      <c r="G24" s="3"/>
      <c r="I24" s="3"/>
      <c r="K24" s="3"/>
      <c r="M24" s="3"/>
      <c r="O24" s="3"/>
      <c r="Q24" s="3"/>
      <c r="S24" s="3"/>
    </row>
    <row r="25" spans="1:19">
      <c r="B25" s="3" t="s">
        <v>30</v>
      </c>
      <c r="C25" t="s">
        <v>38</v>
      </c>
      <c r="E25" s="3"/>
      <c r="G25" s="3"/>
      <c r="I25" s="3"/>
      <c r="K25" s="3"/>
      <c r="M25" s="3"/>
      <c r="O25" s="3"/>
      <c r="Q25" s="3"/>
      <c r="S25" s="3"/>
    </row>
    <row r="26" spans="1:19">
      <c r="B26" s="3" t="s">
        <v>39</v>
      </c>
      <c r="C26" t="s">
        <v>139</v>
      </c>
      <c r="E26" s="7"/>
    </row>
    <row r="27" spans="1:19">
      <c r="B27" s="3" t="s">
        <v>32</v>
      </c>
      <c r="C27" t="s">
        <v>40</v>
      </c>
    </row>
    <row r="28" spans="1:19">
      <c r="B28" s="3" t="s">
        <v>34</v>
      </c>
      <c r="C28" t="s">
        <v>41</v>
      </c>
    </row>
    <row r="29" spans="1:19">
      <c r="A29" s="6" t="s">
        <v>87</v>
      </c>
      <c r="B29" s="3"/>
    </row>
    <row r="30" spans="1:19">
      <c r="B30" s="3"/>
    </row>
    <row r="31" spans="1:19">
      <c r="B31" s="3"/>
    </row>
    <row r="32" spans="1:19">
      <c r="B32" s="3"/>
    </row>
    <row r="33" spans="2:2">
      <c r="B33" s="3"/>
    </row>
  </sheetData>
  <pageMargins left="0.45" right="0.45" top="0.5" bottom="0.5" header="0.3" footer="0.3"/>
  <pageSetup scale="85" firstPageNumber="12" orientation="portrait" useFirstPageNumber="1" r:id="rId1"/>
  <headerFooter>
    <oddHeader>&amp;RUpdated KIUC_1_17_Attachment71_Retirement_Cost_Calculation
Page  &amp;P of 18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"/>
  <dimension ref="A1:L66"/>
  <sheetViews>
    <sheetView workbookViewId="0">
      <selection activeCell="C10" sqref="C10"/>
    </sheetView>
  </sheetViews>
  <sheetFormatPr defaultRowHeight="15"/>
  <cols>
    <col min="6" max="6" width="14.28515625" customWidth="1"/>
    <col min="7" max="7" width="12" bestFit="1" customWidth="1"/>
    <col min="9" max="9" width="10.28515625" bestFit="1" customWidth="1"/>
    <col min="10" max="11" width="12.5703125" bestFit="1" customWidth="1"/>
    <col min="12" max="12" width="15.7109375" bestFit="1" customWidth="1"/>
  </cols>
  <sheetData>
    <row r="1" spans="1:12">
      <c r="A1" s="40"/>
      <c r="B1" s="34"/>
      <c r="C1" s="41" t="s">
        <v>0</v>
      </c>
      <c r="D1" s="41"/>
      <c r="E1" s="41"/>
      <c r="F1" s="41"/>
      <c r="G1" s="34" t="s">
        <v>7</v>
      </c>
      <c r="H1" s="34"/>
      <c r="I1" s="34"/>
    </row>
    <row r="2" spans="1:12">
      <c r="A2" s="34"/>
      <c r="B2" s="34"/>
      <c r="C2" s="41" t="s">
        <v>42</v>
      </c>
      <c r="D2" s="41"/>
      <c r="E2" s="41"/>
      <c r="F2" s="41"/>
      <c r="G2" s="34" t="s">
        <v>9</v>
      </c>
      <c r="H2" s="34"/>
      <c r="I2" s="34"/>
    </row>
    <row r="3" spans="1:12">
      <c r="A3" s="34"/>
      <c r="B3" s="34"/>
      <c r="C3" s="41" t="s">
        <v>43</v>
      </c>
      <c r="D3" s="41"/>
      <c r="E3" s="41"/>
      <c r="F3" s="41"/>
      <c r="G3" s="34" t="s">
        <v>44</v>
      </c>
      <c r="H3" s="34"/>
      <c r="I3" s="34"/>
    </row>
    <row r="4" spans="1:12">
      <c r="C4" s="3" t="s">
        <v>136</v>
      </c>
      <c r="D4" s="3"/>
      <c r="E4" s="3"/>
      <c r="F4" s="3"/>
    </row>
    <row r="5" spans="1:12">
      <c r="D5" s="3"/>
    </row>
    <row r="6" spans="1:12">
      <c r="A6" s="3" t="s">
        <v>45</v>
      </c>
      <c r="C6" t="s">
        <v>22</v>
      </c>
      <c r="D6" s="3"/>
      <c r="E6" s="3"/>
      <c r="F6" s="3"/>
      <c r="G6" s="3" t="s">
        <v>65</v>
      </c>
    </row>
    <row r="7" spans="1:12">
      <c r="A7" s="6">
        <v>-1</v>
      </c>
      <c r="C7" s="6">
        <v>-2</v>
      </c>
      <c r="D7" s="3"/>
      <c r="E7" s="6"/>
      <c r="F7" s="6"/>
      <c r="G7" s="6">
        <v>-3</v>
      </c>
    </row>
    <row r="8" spans="1:12">
      <c r="A8" s="6"/>
      <c r="D8" s="3"/>
    </row>
    <row r="9" spans="1:12">
      <c r="A9" s="6">
        <v>1</v>
      </c>
      <c r="C9" t="s">
        <v>46</v>
      </c>
      <c r="D9" s="3"/>
      <c r="E9" s="5"/>
      <c r="F9" s="5"/>
      <c r="G9" s="1">
        <v>1</v>
      </c>
    </row>
    <row r="10" spans="1:12">
      <c r="A10" s="6"/>
      <c r="D10" s="3"/>
      <c r="E10" s="5"/>
      <c r="F10" s="5"/>
      <c r="G10" s="1"/>
      <c r="K10" s="14"/>
    </row>
    <row r="11" spans="1:12">
      <c r="A11" s="6">
        <v>2</v>
      </c>
      <c r="C11" t="s">
        <v>47</v>
      </c>
      <c r="D11" s="3"/>
      <c r="E11" s="5"/>
      <c r="F11" s="5"/>
      <c r="G11" s="10">
        <v>3.3999999999999998E-3</v>
      </c>
      <c r="J11" s="2"/>
    </row>
    <row r="12" spans="1:12">
      <c r="A12" s="6">
        <v>3</v>
      </c>
      <c r="C12" t="s">
        <v>48</v>
      </c>
      <c r="D12" s="3"/>
      <c r="E12" s="5"/>
      <c r="F12" s="5"/>
      <c r="G12" s="10">
        <v>1.9959999999999999E-3</v>
      </c>
      <c r="J12" s="10"/>
      <c r="L12" s="15"/>
    </row>
    <row r="13" spans="1:12">
      <c r="A13" s="6"/>
      <c r="D13" s="3"/>
      <c r="E13" s="5"/>
      <c r="F13" s="5"/>
      <c r="G13" s="1" t="s">
        <v>49</v>
      </c>
      <c r="J13" s="14"/>
      <c r="L13" s="15"/>
    </row>
    <row r="14" spans="1:12">
      <c r="A14" s="6">
        <v>4</v>
      </c>
      <c r="C14" t="s">
        <v>50</v>
      </c>
      <c r="D14" s="3"/>
      <c r="E14" s="5"/>
      <c r="F14" s="5"/>
      <c r="G14" s="10">
        <f>G9-G11-G12</f>
        <v>0.99460400000000004</v>
      </c>
      <c r="I14" s="11"/>
      <c r="J14" s="2"/>
    </row>
    <row r="15" spans="1:12">
      <c r="A15" s="6"/>
      <c r="D15" s="3"/>
      <c r="E15" s="3"/>
      <c r="F15" s="3"/>
      <c r="G15" s="1"/>
    </row>
    <row r="16" spans="1:12">
      <c r="A16" s="6">
        <v>5</v>
      </c>
      <c r="C16" t="s">
        <v>51</v>
      </c>
      <c r="D16" s="3"/>
      <c r="E16" s="8">
        <v>5.8742210000000003E-2</v>
      </c>
      <c r="F16" s="8"/>
      <c r="G16" s="39">
        <f>ROUND(G14*E16,6)</f>
        <v>5.8424999999999998E-2</v>
      </c>
      <c r="I16" s="1"/>
    </row>
    <row r="17" spans="1:9">
      <c r="A17" s="6"/>
      <c r="D17" s="3"/>
      <c r="E17" s="3"/>
      <c r="F17" s="3"/>
      <c r="G17" s="1" t="s">
        <v>49</v>
      </c>
    </row>
    <row r="18" spans="1:9">
      <c r="A18" s="6">
        <v>6</v>
      </c>
      <c r="C18" t="s">
        <v>52</v>
      </c>
      <c r="D18" s="3"/>
      <c r="E18" s="5"/>
      <c r="F18" s="5"/>
      <c r="G18" s="8">
        <f>G14-G16</f>
        <v>0.93617900000000009</v>
      </c>
      <c r="H18" s="1"/>
      <c r="I18" s="8"/>
    </row>
    <row r="19" spans="1:9">
      <c r="A19" s="6"/>
      <c r="D19" s="3"/>
      <c r="E19" s="3"/>
      <c r="F19" s="3"/>
      <c r="G19" s="1"/>
    </row>
    <row r="20" spans="1:9">
      <c r="A20" s="6">
        <v>7</v>
      </c>
      <c r="C20" t="s">
        <v>53</v>
      </c>
      <c r="D20" s="3"/>
      <c r="E20" s="1">
        <v>0.21</v>
      </c>
      <c r="F20" s="1"/>
      <c r="G20" s="10">
        <f>ROUND(G18*E20,8)</f>
        <v>0.19659758999999999</v>
      </c>
    </row>
    <row r="21" spans="1:9">
      <c r="A21" s="6"/>
      <c r="D21" s="3"/>
      <c r="E21" s="5"/>
      <c r="F21" s="5"/>
      <c r="G21" s="1"/>
    </row>
    <row r="22" spans="1:9">
      <c r="A22" s="6">
        <v>8</v>
      </c>
      <c r="C22" t="s">
        <v>54</v>
      </c>
      <c r="D22" s="3"/>
      <c r="E22" s="5"/>
      <c r="F22" s="5"/>
      <c r="G22" s="11">
        <f>G18-G20</f>
        <v>0.73958141000000011</v>
      </c>
      <c r="I22" s="10"/>
    </row>
    <row r="23" spans="1:9">
      <c r="A23" s="6"/>
      <c r="D23" s="3"/>
      <c r="E23" s="5"/>
      <c r="F23" s="5"/>
      <c r="G23" s="1" t="s">
        <v>49</v>
      </c>
    </row>
    <row r="24" spans="1:9">
      <c r="A24" s="6">
        <v>9</v>
      </c>
      <c r="C24" t="s">
        <v>55</v>
      </c>
      <c r="D24" s="3"/>
      <c r="E24" s="5"/>
      <c r="F24" s="5"/>
      <c r="G24" s="12">
        <f>ROUND(100/G22/100,6)</f>
        <v>1.3521160000000001</v>
      </c>
    </row>
    <row r="25" spans="1:9">
      <c r="A25" s="6"/>
      <c r="D25" s="3"/>
      <c r="E25" s="5"/>
      <c r="F25" s="5"/>
      <c r="G25" s="1" t="s">
        <v>56</v>
      </c>
    </row>
    <row r="26" spans="1:9">
      <c r="A26" s="6">
        <v>10</v>
      </c>
      <c r="C26" t="s">
        <v>57</v>
      </c>
      <c r="D26" s="3"/>
      <c r="E26" s="5"/>
      <c r="F26" s="5"/>
      <c r="G26" s="9">
        <f>ROUND(100/G14/100,4)</f>
        <v>1.0054000000000001</v>
      </c>
    </row>
    <row r="27" spans="1:9">
      <c r="A27" s="6"/>
      <c r="D27" s="3"/>
      <c r="E27" s="5"/>
      <c r="F27" s="5"/>
      <c r="G27" s="1" t="s">
        <v>56</v>
      </c>
    </row>
    <row r="28" spans="1:9">
      <c r="A28" s="6" t="s">
        <v>86</v>
      </c>
      <c r="D28" s="3"/>
      <c r="E28" s="5"/>
      <c r="F28" s="5"/>
    </row>
    <row r="29" spans="1:9">
      <c r="A29" s="6"/>
      <c r="D29" s="3"/>
      <c r="E29" s="5"/>
      <c r="F29" s="5"/>
    </row>
    <row r="30" spans="1:9">
      <c r="A30" s="6"/>
      <c r="D30" s="3"/>
      <c r="E30" s="5"/>
      <c r="F30" s="5"/>
    </row>
    <row r="31" spans="1:9">
      <c r="A31" s="6"/>
      <c r="D31" s="3"/>
    </row>
    <row r="32" spans="1:9">
      <c r="A32" s="6"/>
      <c r="D32" s="3"/>
      <c r="E32" s="1"/>
    </row>
    <row r="33" spans="1:7">
      <c r="A33" s="6"/>
      <c r="D33" s="3"/>
      <c r="E33" s="8"/>
    </row>
    <row r="34" spans="1:7">
      <c r="A34" s="6"/>
      <c r="D34" s="3"/>
      <c r="E34" s="3"/>
    </row>
    <row r="35" spans="1:7">
      <c r="A35" s="6"/>
      <c r="D35" s="3"/>
      <c r="E35" s="1"/>
      <c r="G35" s="8"/>
    </row>
    <row r="36" spans="1:7">
      <c r="A36" s="6"/>
      <c r="D36" s="3"/>
      <c r="E36" s="1"/>
    </row>
    <row r="37" spans="1:7">
      <c r="A37" s="6"/>
      <c r="D37" s="3"/>
      <c r="E37" s="1"/>
    </row>
    <row r="38" spans="1:7">
      <c r="A38" s="6"/>
      <c r="D38" s="3"/>
      <c r="E38" s="8"/>
    </row>
    <row r="39" spans="1:7">
      <c r="A39" s="6"/>
      <c r="D39" s="3"/>
      <c r="E39" s="3"/>
    </row>
    <row r="40" spans="1:7">
      <c r="A40" s="6"/>
      <c r="D40" s="3"/>
      <c r="G40" s="8"/>
    </row>
    <row r="41" spans="1:7">
      <c r="A41" s="6"/>
      <c r="D41" s="3"/>
    </row>
    <row r="42" spans="1:7">
      <c r="A42" s="6"/>
      <c r="D42" s="3"/>
      <c r="E42" s="1"/>
      <c r="F42" s="1"/>
      <c r="G42" s="1"/>
    </row>
    <row r="43" spans="1:7">
      <c r="A43" s="6"/>
      <c r="D43" s="3"/>
      <c r="E43" s="8"/>
      <c r="F43" s="1"/>
      <c r="G43" s="1"/>
    </row>
    <row r="44" spans="1:7">
      <c r="A44" s="6"/>
      <c r="D44" s="3"/>
      <c r="E44" s="3"/>
      <c r="F44" s="3"/>
      <c r="G44" s="1"/>
    </row>
    <row r="45" spans="1:7">
      <c r="A45" s="6"/>
      <c r="D45" s="3"/>
      <c r="E45" s="1"/>
      <c r="F45" s="1"/>
      <c r="G45" s="8"/>
    </row>
    <row r="46" spans="1:7">
      <c r="A46" s="6"/>
      <c r="D46" s="3"/>
      <c r="E46" s="1"/>
      <c r="F46" s="1"/>
      <c r="G46" s="8"/>
    </row>
    <row r="47" spans="1:7">
      <c r="A47" s="6"/>
      <c r="D47" s="3"/>
      <c r="E47" s="1"/>
      <c r="F47" s="1"/>
      <c r="G47" s="8"/>
    </row>
    <row r="48" spans="1:7">
      <c r="A48" s="6"/>
      <c r="D48" s="3"/>
      <c r="E48" s="8"/>
      <c r="F48" s="8"/>
      <c r="G48" s="8"/>
    </row>
    <row r="49" spans="1:7">
      <c r="A49" s="6"/>
      <c r="D49" s="3"/>
      <c r="E49" s="3"/>
      <c r="F49" s="3"/>
      <c r="G49" s="8"/>
    </row>
    <row r="50" spans="1:7">
      <c r="A50" s="6"/>
      <c r="D50" s="3"/>
      <c r="E50" s="1"/>
      <c r="F50" s="1"/>
      <c r="G50" s="8"/>
    </row>
    <row r="51" spans="1:7">
      <c r="D51" s="3"/>
      <c r="E51" s="1"/>
      <c r="F51" s="1"/>
      <c r="G51" s="8"/>
    </row>
    <row r="52" spans="1:7">
      <c r="D52" s="3"/>
      <c r="E52" s="1"/>
      <c r="F52" s="1"/>
      <c r="G52" s="8"/>
    </row>
    <row r="53" spans="1:7">
      <c r="D53" s="3"/>
      <c r="E53" s="1"/>
      <c r="F53" s="1"/>
      <c r="G53" s="3"/>
    </row>
    <row r="54" spans="1:7">
      <c r="D54" s="3"/>
      <c r="E54" s="1"/>
      <c r="F54" s="1"/>
      <c r="G54" s="1"/>
    </row>
    <row r="55" spans="1:7">
      <c r="D55" s="3"/>
      <c r="E55" s="1"/>
      <c r="F55" s="1"/>
      <c r="G55" s="1"/>
    </row>
    <row r="56" spans="1:7">
      <c r="D56" s="3"/>
      <c r="E56" s="1"/>
      <c r="F56" s="1"/>
      <c r="G56" s="1"/>
    </row>
    <row r="57" spans="1:7">
      <c r="D57" s="3"/>
      <c r="E57" s="1"/>
      <c r="F57" s="1"/>
      <c r="G57" s="1"/>
    </row>
    <row r="58" spans="1:7">
      <c r="D58" s="3"/>
      <c r="E58" s="1"/>
      <c r="F58" s="1"/>
      <c r="G58" s="1"/>
    </row>
    <row r="59" spans="1:7">
      <c r="D59" s="3"/>
      <c r="E59" s="1"/>
      <c r="F59" s="1"/>
      <c r="G59" s="1"/>
    </row>
    <row r="60" spans="1:7">
      <c r="D60" s="3"/>
      <c r="E60" s="1"/>
      <c r="F60" s="1"/>
      <c r="G60" s="1"/>
    </row>
    <row r="61" spans="1:7">
      <c r="D61" s="3"/>
      <c r="E61" s="1"/>
      <c r="F61" s="1"/>
      <c r="G61" s="1"/>
    </row>
    <row r="62" spans="1:7">
      <c r="D62" s="3"/>
      <c r="E62" s="1"/>
      <c r="F62" s="1"/>
      <c r="G62" s="1"/>
    </row>
    <row r="63" spans="1:7">
      <c r="D63" s="3"/>
      <c r="E63" s="1"/>
      <c r="F63" s="1"/>
      <c r="G63" s="1"/>
    </row>
    <row r="64" spans="1:7">
      <c r="D64" s="3"/>
      <c r="E64" s="1"/>
      <c r="F64" s="1"/>
      <c r="G64" s="1"/>
    </row>
    <row r="65" spans="4:7">
      <c r="D65" s="3"/>
      <c r="E65" s="1"/>
      <c r="F65" s="1"/>
      <c r="G65" s="1"/>
    </row>
    <row r="66" spans="4:7">
      <c r="D66" s="3"/>
      <c r="E66" s="1"/>
      <c r="F66" s="1"/>
      <c r="G66" s="1"/>
    </row>
  </sheetData>
  <pageMargins left="0.7" right="0.7" top="0.75" bottom="0.75" header="0.3" footer="0.3"/>
  <pageSetup firstPageNumber="13" orientation="portrait" useFirstPageNumber="1" r:id="rId1"/>
  <headerFooter>
    <oddHeader>&amp;RUpdated KIUC_1_17_Attachment71_Retirement_Cost_Calculation
Page  &amp;P of 18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YXV0b1NlbGVjdGVkU3VnZ2VzdGlvbiI+PGVsZW1lbnQgdWlkPSI1MGMzMTgyNC0wNzgwLTQ5MTAtODdkMS1lYWFmZmQxODJkNDIiIHZhbHVlPSIiIHhtbG5zPSJodHRwOi8vd3d3LmJvbGRvbmphbWVzLmNvbS8yMDA4LzAxL3NpZS9pbnRlcm5hbC9sYWJlbCIgLz48ZWxlbWVudCB1aWQ9ImM2NDIxOGFiLWI4ZDEtNDBiNi1hNDc4LWNiOGJlMWUxMGVjYyIgdmFsdWU9IiIgeG1sbnM9Imh0dHA6Ly93d3cuYm9sZG9uamFtZXMuY29tLzIwMDgvMDEvc2llL2ludGVybmFsL2xhYmVsIiAvPjwvc2lzbD48VXNlck5hbWU+Q09SUFxzMjkwNzkyPC9Vc2VyTmFtZT48RGF0ZVRpbWU+OC8yLzIwMjIgNDozODoyOSBQTTwvRGF0ZVRpbWU+PExhYmVsU3RyaW5nPkFFUCBJbnRlcm5hbDwvTGFiZWxTdHJpbmc+PC9pdGVtPjxpdGVtPjxzaXNsIHNpc2xWZXJzaW9uPSIwIiBwb2xpY3k9ImU5YzBiOGQ3LWJkYjQtNGZkMy1iNjJhLWY1MDMyN2FhZWZjZSIgb3JpZ2luPSJ1c2VyU2VsZWN0ZWQiPjxlbGVtZW50IHVpZD0iNTBjMzE4MjQtMDc4MC00OTEwLTg3ZDEtZWFhZmZkMTgyZDQyIiB2YWx1ZT0iIiB4bWxucz0iaHR0cDovL3d3dy5ib2xkb25qYW1lcy5jb20vMjAwOC8wMS9zaWUvaW50ZXJuYWwvbGFiZWwiIC8+PC9zaXNsPjxVc2VyTmFtZT5DT1JQXHMyOTA3OTI8L1VzZXJOYW1lPjxEYXRlVGltZT44LzExLzIwMjIgNDoyMDowMCBQTTwvRGF0ZVRpbWU+PExhYmVsU3RyaW5nPkFFUCBJbnRlcm5hbDwvTGFiZWxTdHJpbmc+PC9pdGVtPjwvbGFiZWxIaXN0b3J5Pg=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50c31824-0780-4910-87d1-eaaffd182d42" value=""/>
</sisl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136CE24ED5F449BD16740FFC7FAF6F" ma:contentTypeVersion="31" ma:contentTypeDescription="Create a new document." ma:contentTypeScope="" ma:versionID="b6179feaad23018a41f76eaef5b4f43d">
  <xsd:schema xmlns:xsd="http://www.w3.org/2001/XMLSchema" xmlns:xs="http://www.w3.org/2001/XMLSchema" xmlns:p="http://schemas.microsoft.com/office/2006/metadata/properties" xmlns:ns1="http://schemas.microsoft.com/sharepoint/v3" xmlns:ns2="a1040523-5304-4b09-b6d4-64a124c994e2" xmlns:ns3="5b640fb8-5a34-41c1-9307-1b790ff29a8b" xmlns:ns4="51831b8d-857f-44dd-949b-652450d1a5df" targetNamespace="http://schemas.microsoft.com/office/2006/metadata/properties" ma:root="true" ma:fieldsID="b176c6d2b07027ee7343df1467fc3652" ns1:_="" ns2:_="" ns3:_="" ns4:_="">
    <xsd:import namespace="http://schemas.microsoft.com/sharepoint/v3"/>
    <xsd:import namespace="a1040523-5304-4b09-b6d4-64a124c994e2"/>
    <xsd:import namespace="5b640fb8-5a34-41c1-9307-1b790ff29a8b"/>
    <xsd:import namespace="51831b8d-857f-44dd-949b-652450d1a5df"/>
    <xsd:element name="properties">
      <xsd:complexType>
        <xsd:sequence>
          <xsd:element name="documentManagement">
            <xsd:complexType>
              <xsd:all>
                <xsd:element ref="ns2:Operating_x0020_Company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3:lcf76f155ced4ddcb4097134ff3c332f" minOccurs="0"/>
                <xsd:element ref="ns4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ObjectDetectorVersions" minOccurs="0"/>
                <xsd:element ref="ns3:_Flow_SignoffStatu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040523-5304-4b09-b6d4-64a124c994e2" elementFormDefault="qualified">
    <xsd:import namespace="http://schemas.microsoft.com/office/2006/documentManagement/types"/>
    <xsd:import namespace="http://schemas.microsoft.com/office/infopath/2007/PartnerControls"/>
    <xsd:element name="Operating_x0020_Company" ma:index="8" ma:displayName="Operating Company" ma:default="AEP Ohio" ma:format="Dropdown" ma:internalName="Operating_x0020_Company" ma:readOnly="false">
      <xsd:simpleType>
        <xsd:restriction base="dms:Choice">
          <xsd:enumeration value="AEP Ohio"/>
          <xsd:enumeration value="AEP Texas"/>
          <xsd:enumeration value="Appalachian Power - Tennessee"/>
          <xsd:enumeration value="Appalachian Power - Virginia"/>
          <xsd:enumeration value="Appalachian Power - West Virginia"/>
          <xsd:enumeration value="FERC"/>
          <xsd:enumeration value="Indiana &amp; Michigan Power - Indiana"/>
          <xsd:enumeration value="Indiana &amp; Michigan Power - Michigan"/>
          <xsd:enumeration value="Kentucky Power"/>
          <xsd:enumeration value="PSO"/>
          <xsd:enumeration value="SWEPCO - Arkansas"/>
          <xsd:enumeration value="SWEPCO - Louisiana"/>
          <xsd:enumeration value="SWEPCO - TEXAS"/>
          <xsd:enumeration value="SWEPCO - Peine"/>
          <xsd:enumeration value="ETT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40fb8-5a34-41c1-9307-1b790ff29a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efa54f2-5b03-49c6-9483-51c08a9736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831b8d-857f-44dd-949b-652450d1a5d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3b4476ce-ac5c-42b1-bccc-28ba47756ae8}" ma:internalName="TaxCatchAll" ma:showField="CatchAllData" ma:web="51831b8d-857f-44dd-949b-652450d1a5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5b640fb8-5a34-41c1-9307-1b790ff29a8b">
      <Terms xmlns="http://schemas.microsoft.com/office/infopath/2007/PartnerControls"/>
    </lcf76f155ced4ddcb4097134ff3c332f>
    <_Flow_SignoffStatus xmlns="5b640fb8-5a34-41c1-9307-1b790ff29a8b" xsi:nil="true"/>
    <_ip_UnifiedCompliancePolicyProperties xmlns="http://schemas.microsoft.com/sharepoint/v3" xsi:nil="true"/>
    <TaxCatchAll xmlns="51831b8d-857f-44dd-949b-652450d1a5df" xsi:nil="true"/>
    <Operating_x0020_Company xmlns="a1040523-5304-4b09-b6d4-64a124c994e2">AEP Ohio</Operating_x0020_Company>
  </documentManagement>
</p:properties>
</file>

<file path=customXml/itemProps1.xml><?xml version="1.0" encoding="utf-8"?>
<ds:datastoreItem xmlns:ds="http://schemas.openxmlformats.org/officeDocument/2006/customXml" ds:itemID="{FFE0183A-E7B0-42F4-AE77-2660945DE625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A2A95B33-6AE5-43A8-AC17-D964BF7F557B}">
  <ds:schemaRefs>
    <ds:schemaRef ds:uri="http://www.w3.org/2001/XMLSchema"/>
    <ds:schemaRef ds:uri="http://www.boldonjames.com/2008/01/sie/internal/label"/>
  </ds:schemaRefs>
</ds:datastoreItem>
</file>

<file path=customXml/itemProps3.xml><?xml version="1.0" encoding="utf-8"?>
<ds:datastoreItem xmlns:ds="http://schemas.openxmlformats.org/officeDocument/2006/customXml" ds:itemID="{437B0EF4-3954-464E-BD08-12D509EB35C1}"/>
</file>

<file path=customXml/itemProps4.xml><?xml version="1.0" encoding="utf-8"?>
<ds:datastoreItem xmlns:ds="http://schemas.openxmlformats.org/officeDocument/2006/customXml" ds:itemID="{4C6514A7-3588-45F1-B62A-2EFB8B1938DF}"/>
</file>

<file path=customXml/itemProps5.xml><?xml version="1.0" encoding="utf-8"?>
<ds:datastoreItem xmlns:ds="http://schemas.openxmlformats.org/officeDocument/2006/customXml" ds:itemID="{3A6F804D-6F9F-4CC6-8FF7-4A5EA56FF9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BSDR Summary</vt:lpstr>
      <vt:lpstr>Components</vt:lpstr>
      <vt:lpstr>Additions</vt:lpstr>
      <vt:lpstr>17 Yr Amortization</vt:lpstr>
      <vt:lpstr>Actual Yr 1-8 Amortization</vt:lpstr>
      <vt:lpstr>WACC</vt:lpstr>
      <vt:lpstr>WACC previous</vt:lpstr>
      <vt:lpstr> GRCF previous</vt:lpstr>
      <vt:lpstr>'17 Yr Amortization'!Print_Area</vt:lpstr>
      <vt:lpstr>Additions!Print_Area</vt:lpstr>
      <vt:lpstr>Components!Print_Area</vt:lpstr>
      <vt:lpstr>'17 Yr Amortization'!Print_Titles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JMY</dc:creator>
  <cp:keywords/>
  <cp:lastModifiedBy>s007506</cp:lastModifiedBy>
  <cp:lastPrinted>2019-08-09T17:42:52Z</cp:lastPrinted>
  <dcterms:created xsi:type="dcterms:W3CDTF">2014-11-07T20:12:13Z</dcterms:created>
  <dcterms:modified xsi:type="dcterms:W3CDTF">2023-07-27T15:02:23Z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19b0f21b-5257-4f49-814f-0c733cbb66c2</vt:lpwstr>
  </property>
  <property fmtid="{D5CDD505-2E9C-101B-9397-08002B2CF9AE}" pid="3" name="bjSaver">
    <vt:lpwstr>nAq6O+Hd8RexdVD7Ge2qGh60qJ4XO2rO</vt:lpwstr>
  </property>
  <property fmtid="{D5CDD505-2E9C-101B-9397-08002B2CF9AE}" pid="4" name="bjDocumentSecurityLabel">
    <vt:lpwstr>AEP Internal</vt:lpwstr>
  </property>
  <property fmtid="{D5CDD505-2E9C-101B-9397-08002B2CF9AE}" pid="5" name="Visual Markings Removed">
    <vt:lpwstr>No</vt:lpwstr>
  </property>
  <property fmtid="{D5CDD505-2E9C-101B-9397-08002B2CF9AE}" pid="6" name="MSIP_Label_69f43042-6bda-44b2-91eb-eca3d3d484f4_SiteId">
    <vt:lpwstr>15f3c881-6b03-4ff6-8559-77bf5177818f</vt:lpwstr>
  </property>
  <property fmtid="{D5CDD505-2E9C-101B-9397-08002B2CF9AE}" pid="7" name="MSIP_Label_69f43042-6bda-44b2-91eb-eca3d3d484f4_Name">
    <vt:lpwstr>AEP Internal</vt:lpwstr>
  </property>
  <property fmtid="{D5CDD505-2E9C-101B-9397-08002B2CF9AE}" pid="8" name="MSIP_Label_69f43042-6bda-44b2-91eb-eca3d3d484f4_Enabled">
    <vt:lpwstr>true</vt:lpwstr>
  </property>
  <property fmtid="{D5CDD505-2E9C-101B-9397-08002B2CF9AE}" pid="9" name="bjClsUserRVM">
    <vt:lpwstr>[]</vt:lpwstr>
  </property>
  <property fmtid="{D5CDD505-2E9C-101B-9397-08002B2CF9AE}" pid="10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11" name="bjDocumentLabelXML-0">
    <vt:lpwstr>ames.com/2008/01/sie/internal/label"&gt;&lt;element uid="50c31824-0780-4910-87d1-eaaffd182d42" value="" /&gt;&lt;/sisl&gt;</vt:lpwstr>
  </property>
  <property fmtid="{D5CDD505-2E9C-101B-9397-08002B2CF9AE}" pid="12" name="bjLabelHistoryID">
    <vt:lpwstr>{FFE0183A-E7B0-42F4-AE77-2660945DE625}</vt:lpwstr>
  </property>
  <property fmtid="{D5CDD505-2E9C-101B-9397-08002B2CF9AE}" pid="13" name="ContentTypeId">
    <vt:lpwstr>0x01010001136CE24ED5F449BD16740FFC7FAF6F</vt:lpwstr>
  </property>
</Properties>
</file>