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1_Recurring Filings\01_Annual\Decommissioning Rider\2023\"/>
    </mc:Choice>
  </mc:AlternateContent>
  <xr:revisionPtr revIDLastSave="0" documentId="13_ncr:1_{41EFF4C3-AB0A-4B4A-B666-9709075A60DD}" xr6:coauthVersionLast="47" xr6:coauthVersionMax="47" xr10:uidLastSave="{00000000-0000-0000-0000-000000000000}"/>
  <bookViews>
    <workbookView xWindow="28680" yWindow="-120" windowWidth="38640" windowHeight="21240" tabRatio="911" firstSheet="1" activeTab="3" xr2:uid="{00000000-000D-0000-FFFF-FFFF00000000}"/>
  </bookViews>
  <sheets>
    <sheet name="Fuel + SS Rev (Test)" sheetId="22" state="hidden" r:id="rId1"/>
    <sheet name="BSDR-Page 1" sheetId="7" r:id="rId2"/>
    <sheet name="BSDR-Page 2" sheetId="6" r:id="rId3"/>
    <sheet name="Calculation" sheetId="26" r:id="rId4"/>
  </sheets>
  <definedNames>
    <definedName name="_xlnm.Print_Area" localSheetId="1">'BSDR-Page 1'!$A$1:$I$43</definedName>
    <definedName name="_xlnm.Print_Area" localSheetId="2">'BSDR-Page 2'!$A$2:$K$51</definedName>
    <definedName name="_xlnm.Print_Titles" localSheetId="3">Calculation!$1:$8</definedName>
    <definedName name="tim" localSheetId="3">#REF!</definedName>
    <definedName name="t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5" i="26" l="1"/>
  <c r="L104" i="26"/>
  <c r="L103" i="26"/>
  <c r="L102" i="26"/>
  <c r="L101" i="26"/>
  <c r="L100" i="26"/>
  <c r="L99" i="26"/>
  <c r="L98" i="26"/>
  <c r="L97" i="26"/>
  <c r="L96" i="26"/>
  <c r="L95" i="26"/>
  <c r="L94" i="26"/>
  <c r="L93" i="26"/>
  <c r="J93" i="26"/>
  <c r="J94" i="26" s="1"/>
  <c r="J95" i="26" s="1"/>
  <c r="J96" i="26" s="1"/>
  <c r="J97" i="26" s="1"/>
  <c r="J98" i="26" s="1"/>
  <c r="J99" i="26" s="1"/>
  <c r="J100" i="26" s="1"/>
  <c r="J101" i="26" s="1"/>
  <c r="J102" i="26" s="1"/>
  <c r="J103" i="26" s="1"/>
  <c r="J104" i="26" s="1"/>
  <c r="J105" i="26" s="1"/>
  <c r="J92" i="26"/>
  <c r="J91" i="26"/>
  <c r="J90" i="26"/>
  <c r="J89" i="26"/>
  <c r="J88" i="26"/>
  <c r="J87" i="26"/>
  <c r="J86" i="26"/>
  <c r="J85" i="26"/>
  <c r="J84" i="26"/>
  <c r="J83" i="26"/>
  <c r="H39" i="6" l="1"/>
  <c r="H38" i="6" s="1"/>
  <c r="G76" i="26" l="1"/>
  <c r="F310" i="26" l="1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J34" i="26"/>
  <c r="J35" i="26" s="1"/>
  <c r="J36" i="26" s="1"/>
  <c r="J37" i="26" s="1"/>
  <c r="J38" i="26" s="1"/>
  <c r="J39" i="26" s="1"/>
  <c r="J40" i="26" s="1"/>
  <c r="J41" i="26" s="1"/>
  <c r="J42" i="26" s="1"/>
  <c r="J43" i="26" s="1"/>
  <c r="J44" i="26" s="1"/>
  <c r="J45" i="26" s="1"/>
  <c r="J46" i="26" s="1"/>
  <c r="J47" i="26" s="1"/>
  <c r="J48" i="26" s="1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J10" i="26"/>
  <c r="J11" i="26" s="1"/>
  <c r="J12" i="26" s="1"/>
  <c r="J13" i="26" s="1"/>
  <c r="J14" i="26" s="1"/>
  <c r="J15" i="26" s="1"/>
  <c r="J16" i="26" s="1"/>
  <c r="J17" i="26" s="1"/>
  <c r="J18" i="26" s="1"/>
  <c r="J19" i="26" s="1"/>
  <c r="J20" i="26" s="1"/>
  <c r="J21" i="26" s="1"/>
  <c r="G10" i="26"/>
  <c r="H10" i="26" s="1"/>
  <c r="L9" i="26"/>
  <c r="L10" i="26" s="1"/>
  <c r="L11" i="26" s="1"/>
  <c r="L12" i="26" s="1"/>
  <c r="L13" i="26" s="1"/>
  <c r="L14" i="26" s="1"/>
  <c r="L15" i="26" s="1"/>
  <c r="L16" i="26" s="1"/>
  <c r="L17" i="26" s="1"/>
  <c r="L18" i="26" s="1"/>
  <c r="L19" i="26" s="1"/>
  <c r="L20" i="26" s="1"/>
  <c r="L21" i="26" s="1"/>
  <c r="L22" i="26" s="1"/>
  <c r="L23" i="26" s="1"/>
  <c r="L24" i="26" s="1"/>
  <c r="L25" i="26" s="1"/>
  <c r="L26" i="26" s="1"/>
  <c r="L27" i="26" s="1"/>
  <c r="L28" i="26" s="1"/>
  <c r="L29" i="26" s="1"/>
  <c r="L30" i="26" s="1"/>
  <c r="L31" i="26" s="1"/>
  <c r="L32" i="26" s="1"/>
  <c r="L33" i="26" s="1"/>
  <c r="L34" i="26" s="1"/>
  <c r="L35" i="26" s="1"/>
  <c r="L36" i="26" s="1"/>
  <c r="L37" i="26" s="1"/>
  <c r="L38" i="26" s="1"/>
  <c r="L39" i="26" s="1"/>
  <c r="L40" i="26" s="1"/>
  <c r="L41" i="26" s="1"/>
  <c r="L42" i="26" s="1"/>
  <c r="L43" i="26" s="1"/>
  <c r="L44" i="26" s="1"/>
  <c r="L45" i="26" s="1"/>
  <c r="L46" i="26" s="1"/>
  <c r="L47" i="26" s="1"/>
  <c r="L48" i="26" s="1"/>
  <c r="L49" i="26" s="1"/>
  <c r="L50" i="26" s="1"/>
  <c r="L51" i="26" s="1"/>
  <c r="L52" i="26" s="1"/>
  <c r="L53" i="26" s="1"/>
  <c r="L54" i="26" s="1"/>
  <c r="L55" i="26" s="1"/>
  <c r="L56" i="26" s="1"/>
  <c r="L57" i="26" s="1"/>
  <c r="L58" i="26" s="1"/>
  <c r="L59" i="26" s="1"/>
  <c r="L60" i="26" s="1"/>
  <c r="L61" i="26" s="1"/>
  <c r="L62" i="26" s="1"/>
  <c r="L63" i="26" s="1"/>
  <c r="L64" i="26" s="1"/>
  <c r="L65" i="26" s="1"/>
  <c r="L66" i="26" s="1"/>
  <c r="L67" i="26" s="1"/>
  <c r="L68" i="26" s="1"/>
  <c r="L69" i="26" s="1"/>
  <c r="F17" i="6"/>
  <c r="D2" i="26"/>
  <c r="F311" i="26" l="1"/>
  <c r="J49" i="26"/>
  <c r="J50" i="26" s="1"/>
  <c r="J51" i="26" s="1"/>
  <c r="J52" i="26" s="1"/>
  <c r="J53" i="26" s="1"/>
  <c r="J54" i="26" s="1"/>
  <c r="J55" i="26" s="1"/>
  <c r="J56" i="26" s="1"/>
  <c r="J57" i="26" s="1"/>
  <c r="J58" i="26" s="1"/>
  <c r="J59" i="26" s="1"/>
  <c r="J60" i="26" s="1"/>
  <c r="J61" i="26" s="1"/>
  <c r="J62" i="26" s="1"/>
  <c r="J63" i="26" s="1"/>
  <c r="J64" i="26" s="1"/>
  <c r="J65" i="26" s="1"/>
  <c r="J66" i="26" s="1"/>
  <c r="J67" i="26" s="1"/>
  <c r="J68" i="26" s="1"/>
  <c r="J69" i="26" s="1"/>
  <c r="H11" i="26"/>
  <c r="H12" i="26" s="1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H24" i="26" s="1"/>
  <c r="H25" i="26" s="1"/>
  <c r="H26" i="26" s="1"/>
  <c r="H27" i="26" s="1"/>
  <c r="H28" i="26" s="1"/>
  <c r="H29" i="26" s="1"/>
  <c r="H30" i="26" s="1"/>
  <c r="H31" i="26" s="1"/>
  <c r="H32" i="26" s="1"/>
  <c r="H33" i="26" s="1"/>
  <c r="H34" i="26" s="1"/>
  <c r="H35" i="26" s="1"/>
  <c r="H36" i="26" s="1"/>
  <c r="H37" i="26" s="1"/>
  <c r="H38" i="26" s="1"/>
  <c r="H39" i="26" s="1"/>
  <c r="H40" i="26" s="1"/>
  <c r="H41" i="26" s="1"/>
  <c r="H42" i="26" s="1"/>
  <c r="H43" i="26" s="1"/>
  <c r="H44" i="26" s="1"/>
  <c r="H45" i="26" s="1"/>
  <c r="H46" i="26" s="1"/>
  <c r="H47" i="26" s="1"/>
  <c r="H48" i="26" s="1"/>
  <c r="H49" i="26" s="1"/>
  <c r="H50" i="26" s="1"/>
  <c r="H51" i="26" s="1"/>
  <c r="H52" i="26" s="1"/>
  <c r="H53" i="26" s="1"/>
  <c r="H54" i="26" s="1"/>
  <c r="H55" i="26" s="1"/>
  <c r="H56" i="26" s="1"/>
  <c r="H57" i="26" s="1"/>
  <c r="H58" i="26" s="1"/>
  <c r="H59" i="26" s="1"/>
  <c r="H60" i="26" s="1"/>
  <c r="H61" i="26" s="1"/>
  <c r="H62" i="26" s="1"/>
  <c r="H63" i="26" s="1"/>
  <c r="H64" i="26" s="1"/>
  <c r="H65" i="26" s="1"/>
  <c r="H66" i="26" s="1"/>
  <c r="H67" i="26" s="1"/>
  <c r="H68" i="26" s="1"/>
  <c r="H69" i="26" s="1"/>
  <c r="G70" i="26" l="1"/>
  <c r="H70" i="26" l="1"/>
  <c r="L70" i="26" l="1"/>
  <c r="J70" i="26"/>
  <c r="G71" i="26"/>
  <c r="K17" i="6"/>
  <c r="J71" i="26" l="1"/>
  <c r="H71" i="26"/>
  <c r="L71" i="26" l="1"/>
  <c r="G72" i="26" l="1"/>
  <c r="J72" i="26" l="1"/>
  <c r="H72" i="26"/>
  <c r="H23" i="6"/>
  <c r="F16" i="7" s="1"/>
  <c r="F38" i="6"/>
  <c r="H22" i="6"/>
  <c r="F15" i="7" s="1"/>
  <c r="F20" i="7"/>
  <c r="C23" i="22"/>
  <c r="C13" i="22"/>
  <c r="H24" i="22"/>
  <c r="I24" i="22" s="1"/>
  <c r="G24" i="22"/>
  <c r="H23" i="22"/>
  <c r="G23" i="22"/>
  <c r="J24" i="22" s="1"/>
  <c r="G14" i="22"/>
  <c r="G13" i="22"/>
  <c r="J14" i="22"/>
  <c r="I8" i="22"/>
  <c r="G8" i="22"/>
  <c r="E8" i="22"/>
  <c r="G7" i="22"/>
  <c r="E7" i="22"/>
  <c r="C7" i="22"/>
  <c r="I7" i="22" s="1"/>
  <c r="K8" i="22" s="1"/>
  <c r="D14" i="22"/>
  <c r="E14" i="22" s="1"/>
  <c r="H13" i="22"/>
  <c r="H14" i="22"/>
  <c r="I14" i="22" s="1"/>
  <c r="D13" i="22"/>
  <c r="D23" i="22" s="1"/>
  <c r="E23" i="22" s="1"/>
  <c r="E13" i="22"/>
  <c r="I13" i="22" l="1"/>
  <c r="K14" i="22" s="1"/>
  <c r="H16" i="7"/>
  <c r="L72" i="26"/>
  <c r="K22" i="6"/>
  <c r="L13" i="22"/>
  <c r="L14" i="22"/>
  <c r="I23" i="22"/>
  <c r="K24" i="22" s="1"/>
  <c r="K38" i="6"/>
  <c r="H43" i="6" s="1"/>
  <c r="K43" i="6" s="1"/>
  <c r="D24" i="22"/>
  <c r="E24" i="22" s="1"/>
  <c r="J8" i="22"/>
  <c r="L8" i="22" s="1"/>
  <c r="L7" i="22"/>
  <c r="L24" i="22" l="1"/>
  <c r="G73" i="26"/>
  <c r="F19" i="7"/>
  <c r="H19" i="7" s="1"/>
  <c r="L23" i="22"/>
  <c r="J73" i="26" l="1"/>
  <c r="H73" i="26"/>
  <c r="L73" i="26" l="1"/>
  <c r="G74" i="26" l="1"/>
  <c r="J74" i="26" l="1"/>
  <c r="H74" i="26"/>
  <c r="L74" i="26" l="1"/>
  <c r="G75" i="26" l="1"/>
  <c r="J75" i="26" l="1"/>
  <c r="H75" i="26"/>
  <c r="L75" i="26" l="1"/>
  <c r="J76" i="26" l="1"/>
  <c r="J77" i="26" s="1"/>
  <c r="H76" i="26"/>
  <c r="L76" i="26" l="1"/>
  <c r="G77" i="26" l="1"/>
  <c r="H77" i="26" l="1"/>
  <c r="L77" i="26" l="1"/>
  <c r="G78" i="26" l="1"/>
  <c r="J78" i="26" l="1"/>
  <c r="H78" i="26"/>
  <c r="L78" i="26" l="1"/>
  <c r="G79" i="26" l="1"/>
  <c r="J79" i="26" l="1"/>
  <c r="J80" i="26" s="1"/>
  <c r="H79" i="26"/>
  <c r="L79" i="26" l="1"/>
  <c r="G80" i="26" l="1"/>
  <c r="H80" i="26" l="1"/>
  <c r="L80" i="26" l="1"/>
  <c r="G81" i="26" l="1"/>
  <c r="J81" i="26" l="1"/>
  <c r="J82" i="26" s="1"/>
  <c r="H81" i="26"/>
  <c r="L81" i="26" l="1"/>
  <c r="L82" i="26" s="1"/>
  <c r="G82" i="26" l="1"/>
  <c r="H82" i="26" s="1"/>
  <c r="G83" i="26" l="1"/>
  <c r="H83" i="26" l="1"/>
  <c r="L83" i="26" l="1"/>
  <c r="G84" i="26" l="1"/>
  <c r="H84" i="26" l="1"/>
  <c r="L84" i="26" l="1"/>
  <c r="G85" i="26" l="1"/>
  <c r="H85" i="26" l="1"/>
  <c r="L85" i="26" l="1"/>
  <c r="G86" i="26" l="1"/>
  <c r="H86" i="26" l="1"/>
  <c r="L86" i="26" l="1"/>
  <c r="G87" i="26" l="1"/>
  <c r="H87" i="26" l="1"/>
  <c r="L87" i="26" l="1"/>
  <c r="G88" i="26" l="1"/>
  <c r="H88" i="26" l="1"/>
  <c r="L88" i="26" l="1"/>
  <c r="G89" i="26" l="1"/>
  <c r="H89" i="26" l="1"/>
  <c r="L89" i="26" l="1"/>
  <c r="G90" i="26" l="1"/>
  <c r="H90" i="26" l="1"/>
  <c r="L90" i="26" l="1"/>
  <c r="G91" i="26" l="1"/>
  <c r="H91" i="26" l="1"/>
  <c r="L91" i="26" l="1"/>
  <c r="G92" i="26" l="1"/>
  <c r="H92" i="26" l="1"/>
  <c r="L92" i="26" l="1"/>
  <c r="G93" i="26" l="1"/>
  <c r="H93" i="26" l="1"/>
  <c r="G94" i="26" l="1"/>
  <c r="H94" i="26" l="1"/>
  <c r="G95" i="26" l="1"/>
  <c r="H95" i="26" l="1"/>
  <c r="G96" i="26" l="1"/>
  <c r="H96" i="26" l="1"/>
  <c r="G97" i="26" l="1"/>
  <c r="H97" i="26" l="1"/>
  <c r="G98" i="26" l="1"/>
  <c r="H98" i="26" l="1"/>
  <c r="G99" i="26" l="1"/>
  <c r="H99" i="26" l="1"/>
  <c r="G100" i="26" l="1"/>
  <c r="H100" i="26" l="1"/>
  <c r="G101" i="26" l="1"/>
  <c r="H101" i="26" l="1"/>
  <c r="G102" i="26" l="1"/>
  <c r="H102" i="26" l="1"/>
  <c r="G103" i="26" l="1"/>
  <c r="H103" i="26" l="1"/>
  <c r="G104" i="26" l="1"/>
  <c r="H104" i="26" l="1"/>
  <c r="G105" i="26" l="1"/>
  <c r="H105" i="26" l="1"/>
  <c r="J106" i="26" l="1"/>
  <c r="L106" i="26" s="1"/>
  <c r="D107" i="26" s="1"/>
  <c r="G107" i="26" l="1"/>
  <c r="I107" i="26" l="1"/>
  <c r="H107" i="26"/>
  <c r="L107" i="26" l="1"/>
  <c r="J107" i="26"/>
  <c r="D108" i="26"/>
  <c r="G108" i="26" l="1"/>
  <c r="I108" i="26" l="1"/>
  <c r="H108" i="26"/>
  <c r="J108" i="26" l="1"/>
  <c r="L108" i="26"/>
  <c r="D109" i="26" s="1"/>
  <c r="G109" i="26" l="1"/>
  <c r="I109" i="26" l="1"/>
  <c r="H109" i="26"/>
  <c r="J109" i="26" l="1"/>
  <c r="L109" i="26"/>
  <c r="D110" i="26" s="1"/>
  <c r="G110" i="26" l="1"/>
  <c r="I110" i="26" l="1"/>
  <c r="J110" i="26" s="1"/>
  <c r="H110" i="26"/>
  <c r="L110" i="26" l="1"/>
  <c r="D111" i="26" s="1"/>
  <c r="G111" i="26" l="1"/>
  <c r="I111" i="26" l="1"/>
  <c r="J111" i="26" s="1"/>
  <c r="H111" i="26"/>
  <c r="L111" i="26" l="1"/>
  <c r="D112" i="26" s="1"/>
  <c r="G112" i="26" l="1"/>
  <c r="I112" i="26" l="1"/>
  <c r="J112" i="26" s="1"/>
  <c r="H112" i="26"/>
  <c r="L112" i="26" l="1"/>
  <c r="D113" i="26" s="1"/>
  <c r="G113" i="26" l="1"/>
  <c r="I113" i="26" l="1"/>
  <c r="J113" i="26" s="1"/>
  <c r="H113" i="26"/>
  <c r="L113" i="26" l="1"/>
  <c r="D114" i="26" s="1"/>
  <c r="G114" i="26" l="1"/>
  <c r="I114" i="26" l="1"/>
  <c r="J114" i="26" s="1"/>
  <c r="H114" i="26"/>
  <c r="L114" i="26" l="1"/>
  <c r="D115" i="26" s="1"/>
  <c r="G115" i="26" l="1"/>
  <c r="I115" i="26" l="1"/>
  <c r="J115" i="26" s="1"/>
  <c r="H115" i="26"/>
  <c r="L115" i="26" l="1"/>
  <c r="D116" i="26" s="1"/>
  <c r="G116" i="26" l="1"/>
  <c r="I116" i="26" l="1"/>
  <c r="J116" i="26" s="1"/>
  <c r="H116" i="26"/>
  <c r="L116" i="26" l="1"/>
  <c r="D117" i="26" s="1"/>
  <c r="G117" i="26" l="1"/>
  <c r="I117" i="26" l="1"/>
  <c r="J117" i="26" s="1"/>
  <c r="H117" i="26"/>
  <c r="L117" i="26" l="1"/>
  <c r="D118" i="26" s="1"/>
  <c r="G118" i="26" l="1"/>
  <c r="I118" i="26" l="1"/>
  <c r="J118" i="26" s="1"/>
  <c r="H118" i="26"/>
  <c r="L118" i="26" l="1"/>
  <c r="D119" i="26" s="1"/>
  <c r="G119" i="26" l="1"/>
  <c r="I119" i="26" l="1"/>
  <c r="J119" i="26" s="1"/>
  <c r="H119" i="26"/>
  <c r="L119" i="26" l="1"/>
  <c r="D120" i="26" s="1"/>
  <c r="G120" i="26" l="1"/>
  <c r="I120" i="26" l="1"/>
  <c r="J120" i="26" s="1"/>
  <c r="H120" i="26"/>
  <c r="L120" i="26" l="1"/>
  <c r="D121" i="26" s="1"/>
  <c r="G121" i="26" l="1"/>
  <c r="I121" i="26" l="1"/>
  <c r="J121" i="26" s="1"/>
  <c r="H121" i="26"/>
  <c r="L121" i="26" l="1"/>
  <c r="D122" i="26" s="1"/>
  <c r="G122" i="26" l="1"/>
  <c r="I122" i="26" l="1"/>
  <c r="J122" i="26" s="1"/>
  <c r="H122" i="26"/>
  <c r="L122" i="26" l="1"/>
  <c r="D123" i="26" s="1"/>
  <c r="G123" i="26" l="1"/>
  <c r="I123" i="26" l="1"/>
  <c r="J123" i="26" s="1"/>
  <c r="H123" i="26"/>
  <c r="L123" i="26" l="1"/>
  <c r="D124" i="26" s="1"/>
  <c r="G124" i="26" l="1"/>
  <c r="I124" i="26" l="1"/>
  <c r="J124" i="26" s="1"/>
  <c r="H124" i="26"/>
  <c r="L124" i="26" l="1"/>
  <c r="D125" i="26" s="1"/>
  <c r="G125" i="26" l="1"/>
  <c r="I125" i="26" l="1"/>
  <c r="J125" i="26" s="1"/>
  <c r="H125" i="26"/>
  <c r="L125" i="26" l="1"/>
  <c r="D126" i="26" s="1"/>
  <c r="G126" i="26" l="1"/>
  <c r="I126" i="26" l="1"/>
  <c r="J126" i="26" s="1"/>
  <c r="H126" i="26"/>
  <c r="L126" i="26" l="1"/>
  <c r="D127" i="26" s="1"/>
  <c r="G127" i="26" l="1"/>
  <c r="I127" i="26" l="1"/>
  <c r="J127" i="26" s="1"/>
  <c r="H127" i="26"/>
  <c r="L127" i="26" l="1"/>
  <c r="D128" i="26" s="1"/>
  <c r="G128" i="26" l="1"/>
  <c r="I128" i="26" l="1"/>
  <c r="J128" i="26" s="1"/>
  <c r="H128" i="26"/>
  <c r="L128" i="26" l="1"/>
  <c r="D129" i="26" s="1"/>
  <c r="G129" i="26" l="1"/>
  <c r="I129" i="26" l="1"/>
  <c r="J129" i="26" s="1"/>
  <c r="H129" i="26"/>
  <c r="L129" i="26" l="1"/>
  <c r="D130" i="26" s="1"/>
  <c r="G130" i="26" l="1"/>
  <c r="I130" i="26" l="1"/>
  <c r="J130" i="26" s="1"/>
  <c r="H130" i="26"/>
  <c r="L130" i="26" l="1"/>
  <c r="D131" i="26" s="1"/>
  <c r="G131" i="26" l="1"/>
  <c r="I131" i="26" l="1"/>
  <c r="J131" i="26" s="1"/>
  <c r="H131" i="26"/>
  <c r="L131" i="26" l="1"/>
  <c r="D132" i="26" s="1"/>
  <c r="G132" i="26" l="1"/>
  <c r="I132" i="26" l="1"/>
  <c r="J132" i="26" s="1"/>
  <c r="H132" i="26"/>
  <c r="L132" i="26" l="1"/>
  <c r="D133" i="26" s="1"/>
  <c r="G133" i="26" l="1"/>
  <c r="I133" i="26" l="1"/>
  <c r="J133" i="26" s="1"/>
  <c r="H133" i="26"/>
  <c r="L133" i="26" l="1"/>
  <c r="D134" i="26" s="1"/>
  <c r="G134" i="26" l="1"/>
  <c r="I134" i="26" l="1"/>
  <c r="J134" i="26" s="1"/>
  <c r="H134" i="26"/>
  <c r="L134" i="26" l="1"/>
  <c r="D135" i="26" s="1"/>
  <c r="G135" i="26" l="1"/>
  <c r="I135" i="26" l="1"/>
  <c r="J135" i="26" s="1"/>
  <c r="H135" i="26"/>
  <c r="L135" i="26" l="1"/>
  <c r="D136" i="26" s="1"/>
  <c r="G136" i="26" l="1"/>
  <c r="I136" i="26" l="1"/>
  <c r="J136" i="26" s="1"/>
  <c r="H136" i="26"/>
  <c r="L136" i="26" l="1"/>
  <c r="D137" i="26" s="1"/>
  <c r="G137" i="26" l="1"/>
  <c r="I137" i="26" l="1"/>
  <c r="J137" i="26" s="1"/>
  <c r="H137" i="26"/>
  <c r="L137" i="26" l="1"/>
  <c r="D138" i="26" s="1"/>
  <c r="G138" i="26" l="1"/>
  <c r="I138" i="26" l="1"/>
  <c r="J138" i="26" s="1"/>
  <c r="H138" i="26"/>
  <c r="L138" i="26" l="1"/>
  <c r="D139" i="26" s="1"/>
  <c r="G139" i="26" l="1"/>
  <c r="I139" i="26" l="1"/>
  <c r="J139" i="26" s="1"/>
  <c r="H139" i="26"/>
  <c r="L139" i="26" l="1"/>
  <c r="D140" i="26" s="1"/>
  <c r="G140" i="26" l="1"/>
  <c r="I140" i="26" l="1"/>
  <c r="J140" i="26" s="1"/>
  <c r="H140" i="26"/>
  <c r="L140" i="26" l="1"/>
  <c r="D141" i="26" s="1"/>
  <c r="G141" i="26" l="1"/>
  <c r="I141" i="26" l="1"/>
  <c r="J141" i="26" s="1"/>
  <c r="H141" i="26"/>
  <c r="L141" i="26" l="1"/>
  <c r="D142" i="26" s="1"/>
  <c r="G142" i="26" l="1"/>
  <c r="I142" i="26" l="1"/>
  <c r="J142" i="26" s="1"/>
  <c r="H142" i="26"/>
  <c r="L142" i="26" l="1"/>
  <c r="D143" i="26" s="1"/>
  <c r="G143" i="26" l="1"/>
  <c r="I143" i="26" l="1"/>
  <c r="J143" i="26" s="1"/>
  <c r="H143" i="26"/>
  <c r="L143" i="26" l="1"/>
  <c r="D144" i="26" s="1"/>
  <c r="G144" i="26" l="1"/>
  <c r="I144" i="26" l="1"/>
  <c r="J144" i="26" s="1"/>
  <c r="H144" i="26"/>
  <c r="L144" i="26" l="1"/>
  <c r="D145" i="26" s="1"/>
  <c r="G145" i="26" l="1"/>
  <c r="I145" i="26" l="1"/>
  <c r="J145" i="26" s="1"/>
  <c r="H145" i="26"/>
  <c r="L145" i="26" l="1"/>
  <c r="D146" i="26" s="1"/>
  <c r="G146" i="26" l="1"/>
  <c r="I146" i="26" l="1"/>
  <c r="J146" i="26" s="1"/>
  <c r="H146" i="26"/>
  <c r="L146" i="26" l="1"/>
  <c r="D147" i="26" s="1"/>
  <c r="G147" i="26" l="1"/>
  <c r="I147" i="26" l="1"/>
  <c r="J147" i="26" s="1"/>
  <c r="H147" i="26"/>
  <c r="L147" i="26" l="1"/>
  <c r="D148" i="26" s="1"/>
  <c r="G148" i="26" l="1"/>
  <c r="I148" i="26" l="1"/>
  <c r="J148" i="26" s="1"/>
  <c r="H148" i="26"/>
  <c r="L148" i="26" l="1"/>
  <c r="D149" i="26" s="1"/>
  <c r="G149" i="26" l="1"/>
  <c r="I149" i="26" l="1"/>
  <c r="J149" i="26" s="1"/>
  <c r="H149" i="26"/>
  <c r="L149" i="26" l="1"/>
  <c r="D150" i="26" s="1"/>
  <c r="G150" i="26" l="1"/>
  <c r="I150" i="26" l="1"/>
  <c r="J150" i="26" s="1"/>
  <c r="H150" i="26"/>
  <c r="L150" i="26" l="1"/>
  <c r="D151" i="26" s="1"/>
  <c r="G151" i="26" l="1"/>
  <c r="I151" i="26" l="1"/>
  <c r="J151" i="26" s="1"/>
  <c r="H151" i="26"/>
  <c r="L151" i="26" l="1"/>
  <c r="D152" i="26" s="1"/>
  <c r="G152" i="26" l="1"/>
  <c r="I152" i="26" l="1"/>
  <c r="J152" i="26" s="1"/>
  <c r="H152" i="26"/>
  <c r="L152" i="26" l="1"/>
  <c r="D153" i="26" s="1"/>
  <c r="G153" i="26" l="1"/>
  <c r="I153" i="26" l="1"/>
  <c r="J153" i="26" s="1"/>
  <c r="H153" i="26"/>
  <c r="L153" i="26" l="1"/>
  <c r="D154" i="26" s="1"/>
  <c r="G154" i="26" l="1"/>
  <c r="I154" i="26" l="1"/>
  <c r="J154" i="26" s="1"/>
  <c r="H154" i="26"/>
  <c r="L154" i="26" l="1"/>
  <c r="D155" i="26" s="1"/>
  <c r="G155" i="26" l="1"/>
  <c r="I155" i="26" l="1"/>
  <c r="J155" i="26" s="1"/>
  <c r="H155" i="26"/>
  <c r="L155" i="26" l="1"/>
  <c r="D156" i="26" s="1"/>
  <c r="G156" i="26" l="1"/>
  <c r="I156" i="26" l="1"/>
  <c r="J156" i="26" s="1"/>
  <c r="H156" i="26"/>
  <c r="L156" i="26" l="1"/>
  <c r="D157" i="26" s="1"/>
  <c r="G157" i="26" l="1"/>
  <c r="I157" i="26" l="1"/>
  <c r="J157" i="26" s="1"/>
  <c r="H157" i="26"/>
  <c r="L157" i="26" l="1"/>
  <c r="D158" i="26" s="1"/>
  <c r="G158" i="26" l="1"/>
  <c r="I158" i="26" l="1"/>
  <c r="J158" i="26" s="1"/>
  <c r="H158" i="26"/>
  <c r="L158" i="26" l="1"/>
  <c r="D159" i="26" s="1"/>
  <c r="G159" i="26" l="1"/>
  <c r="I159" i="26" l="1"/>
  <c r="J159" i="26" s="1"/>
  <c r="H159" i="26"/>
  <c r="L159" i="26" l="1"/>
  <c r="D160" i="26" s="1"/>
  <c r="G160" i="26" l="1"/>
  <c r="I160" i="26" l="1"/>
  <c r="J160" i="26" s="1"/>
  <c r="H160" i="26"/>
  <c r="L160" i="26" l="1"/>
  <c r="D161" i="26" s="1"/>
  <c r="G161" i="26" l="1"/>
  <c r="I161" i="26" l="1"/>
  <c r="J161" i="26" s="1"/>
  <c r="H161" i="26"/>
  <c r="L161" i="26" l="1"/>
  <c r="D162" i="26" s="1"/>
  <c r="G162" i="26" l="1"/>
  <c r="I162" i="26" l="1"/>
  <c r="J162" i="26" s="1"/>
  <c r="H162" i="26"/>
  <c r="L162" i="26" l="1"/>
  <c r="D163" i="26" s="1"/>
  <c r="G163" i="26" l="1"/>
  <c r="I163" i="26" l="1"/>
  <c r="J163" i="26" s="1"/>
  <c r="H163" i="26"/>
  <c r="L163" i="26" l="1"/>
  <c r="D164" i="26" s="1"/>
  <c r="G164" i="26" l="1"/>
  <c r="I164" i="26" l="1"/>
  <c r="J164" i="26" s="1"/>
  <c r="H164" i="26"/>
  <c r="L164" i="26" l="1"/>
  <c r="D165" i="26" s="1"/>
  <c r="G165" i="26" l="1"/>
  <c r="I165" i="26" l="1"/>
  <c r="J165" i="26" s="1"/>
  <c r="H165" i="26"/>
  <c r="L165" i="26" l="1"/>
  <c r="D166" i="26" s="1"/>
  <c r="G166" i="26" l="1"/>
  <c r="I166" i="26" l="1"/>
  <c r="J166" i="26" s="1"/>
  <c r="H166" i="26"/>
  <c r="L166" i="26" l="1"/>
  <c r="D167" i="26" s="1"/>
  <c r="G167" i="26" l="1"/>
  <c r="I167" i="26" l="1"/>
  <c r="J167" i="26" s="1"/>
  <c r="H167" i="26"/>
  <c r="L167" i="26" l="1"/>
  <c r="D168" i="26" s="1"/>
  <c r="G168" i="26" l="1"/>
  <c r="I168" i="26" l="1"/>
  <c r="J168" i="26" s="1"/>
  <c r="H168" i="26"/>
  <c r="L168" i="26" l="1"/>
  <c r="D169" i="26" s="1"/>
  <c r="G169" i="26" l="1"/>
  <c r="I169" i="26" l="1"/>
  <c r="J169" i="26" s="1"/>
  <c r="H169" i="26"/>
  <c r="L169" i="26" l="1"/>
  <c r="D170" i="26" s="1"/>
  <c r="G170" i="26" l="1"/>
  <c r="I170" i="26" l="1"/>
  <c r="J170" i="26" s="1"/>
  <c r="H170" i="26"/>
  <c r="L170" i="26" l="1"/>
  <c r="D171" i="26" s="1"/>
  <c r="G171" i="26" l="1"/>
  <c r="I171" i="26" l="1"/>
  <c r="J171" i="26" s="1"/>
  <c r="H171" i="26"/>
  <c r="L171" i="26" l="1"/>
  <c r="D172" i="26" s="1"/>
  <c r="G172" i="26" l="1"/>
  <c r="I172" i="26" l="1"/>
  <c r="J172" i="26" s="1"/>
  <c r="H172" i="26"/>
  <c r="L172" i="26" l="1"/>
  <c r="D173" i="26" s="1"/>
  <c r="G173" i="26" l="1"/>
  <c r="I173" i="26" l="1"/>
  <c r="J173" i="26" s="1"/>
  <c r="H173" i="26"/>
  <c r="L173" i="26" l="1"/>
  <c r="D174" i="26" s="1"/>
  <c r="G174" i="26" l="1"/>
  <c r="I174" i="26" l="1"/>
  <c r="J174" i="26" s="1"/>
  <c r="H174" i="26"/>
  <c r="L174" i="26" l="1"/>
  <c r="D175" i="26" s="1"/>
  <c r="G175" i="26" l="1"/>
  <c r="I175" i="26" l="1"/>
  <c r="J175" i="26" s="1"/>
  <c r="H175" i="26"/>
  <c r="L175" i="26" l="1"/>
  <c r="D176" i="26" s="1"/>
  <c r="G176" i="26" l="1"/>
  <c r="I176" i="26" l="1"/>
  <c r="J176" i="26" s="1"/>
  <c r="H176" i="26"/>
  <c r="L176" i="26" l="1"/>
  <c r="D177" i="26" s="1"/>
  <c r="G177" i="26" l="1"/>
  <c r="I177" i="26" l="1"/>
  <c r="J177" i="26" s="1"/>
  <c r="H177" i="26"/>
  <c r="L177" i="26" l="1"/>
  <c r="D178" i="26" s="1"/>
  <c r="G178" i="26" l="1"/>
  <c r="I178" i="26" l="1"/>
  <c r="J178" i="26" s="1"/>
  <c r="H178" i="26"/>
  <c r="L178" i="26" l="1"/>
  <c r="D179" i="26" s="1"/>
  <c r="G179" i="26" l="1"/>
  <c r="I179" i="26" l="1"/>
  <c r="J179" i="26" s="1"/>
  <c r="H179" i="26"/>
  <c r="L179" i="26" l="1"/>
  <c r="D180" i="26" s="1"/>
  <c r="G180" i="26" l="1"/>
  <c r="I180" i="26" l="1"/>
  <c r="J180" i="26" s="1"/>
  <c r="H180" i="26"/>
  <c r="L180" i="26" l="1"/>
  <c r="D181" i="26" s="1"/>
  <c r="G181" i="26" l="1"/>
  <c r="I181" i="26" l="1"/>
  <c r="J181" i="26" s="1"/>
  <c r="H181" i="26"/>
  <c r="L181" i="26" l="1"/>
  <c r="D182" i="26" s="1"/>
  <c r="G182" i="26" l="1"/>
  <c r="I182" i="26" l="1"/>
  <c r="J182" i="26" s="1"/>
  <c r="H182" i="26"/>
  <c r="L182" i="26" l="1"/>
  <c r="D183" i="26" s="1"/>
  <c r="G183" i="26" l="1"/>
  <c r="I183" i="26" l="1"/>
  <c r="J183" i="26" s="1"/>
  <c r="H183" i="26"/>
  <c r="L183" i="26" l="1"/>
  <c r="D184" i="26" s="1"/>
  <c r="G184" i="26" l="1"/>
  <c r="I184" i="26" l="1"/>
  <c r="J184" i="26" s="1"/>
  <c r="H184" i="26"/>
  <c r="L184" i="26" l="1"/>
  <c r="D185" i="26" s="1"/>
  <c r="G185" i="26" l="1"/>
  <c r="I185" i="26" l="1"/>
  <c r="J185" i="26" s="1"/>
  <c r="H185" i="26"/>
  <c r="L185" i="26" l="1"/>
  <c r="D186" i="26" s="1"/>
  <c r="G186" i="26" l="1"/>
  <c r="I186" i="26" l="1"/>
  <c r="J186" i="26" s="1"/>
  <c r="H186" i="26"/>
  <c r="L186" i="26" l="1"/>
  <c r="D187" i="26" s="1"/>
  <c r="G187" i="26" l="1"/>
  <c r="I187" i="26" l="1"/>
  <c r="J187" i="26" s="1"/>
  <c r="H187" i="26"/>
  <c r="L187" i="26" l="1"/>
  <c r="D188" i="26" s="1"/>
  <c r="G188" i="26" l="1"/>
  <c r="I188" i="26" l="1"/>
  <c r="J188" i="26" s="1"/>
  <c r="H188" i="26"/>
  <c r="L188" i="26" l="1"/>
  <c r="D189" i="26" s="1"/>
  <c r="G189" i="26" l="1"/>
  <c r="I189" i="26" l="1"/>
  <c r="J189" i="26" s="1"/>
  <c r="H189" i="26"/>
  <c r="L189" i="26" l="1"/>
  <c r="D190" i="26" s="1"/>
  <c r="G190" i="26" l="1"/>
  <c r="I190" i="26" l="1"/>
  <c r="J190" i="26" s="1"/>
  <c r="H190" i="26"/>
  <c r="L190" i="26" l="1"/>
  <c r="D191" i="26" s="1"/>
  <c r="G191" i="26" l="1"/>
  <c r="I191" i="26" l="1"/>
  <c r="J191" i="26" s="1"/>
  <c r="H191" i="26"/>
  <c r="L191" i="26" l="1"/>
  <c r="D192" i="26" s="1"/>
  <c r="G192" i="26" l="1"/>
  <c r="I192" i="26" l="1"/>
  <c r="J192" i="26" s="1"/>
  <c r="H192" i="26"/>
  <c r="L192" i="26" l="1"/>
  <c r="D193" i="26" s="1"/>
  <c r="G193" i="26" l="1"/>
  <c r="I193" i="26" l="1"/>
  <c r="J193" i="26" s="1"/>
  <c r="H193" i="26"/>
  <c r="L193" i="26" l="1"/>
  <c r="D194" i="26" s="1"/>
  <c r="G194" i="26" l="1"/>
  <c r="I194" i="26" l="1"/>
  <c r="J194" i="26" s="1"/>
  <c r="H194" i="26"/>
  <c r="L194" i="26" l="1"/>
  <c r="D195" i="26" s="1"/>
  <c r="G195" i="26" l="1"/>
  <c r="I195" i="26" l="1"/>
  <c r="J195" i="26" s="1"/>
  <c r="H195" i="26"/>
  <c r="L195" i="26" l="1"/>
  <c r="D196" i="26" s="1"/>
  <c r="G196" i="26" l="1"/>
  <c r="I196" i="26" l="1"/>
  <c r="J196" i="26" s="1"/>
  <c r="H196" i="26"/>
  <c r="L196" i="26" l="1"/>
  <c r="D197" i="26" s="1"/>
  <c r="G197" i="26" l="1"/>
  <c r="I197" i="26" l="1"/>
  <c r="J197" i="26" s="1"/>
  <c r="H197" i="26"/>
  <c r="L197" i="26" l="1"/>
  <c r="D198" i="26" s="1"/>
  <c r="G198" i="26" l="1"/>
  <c r="I198" i="26" l="1"/>
  <c r="J198" i="26" s="1"/>
  <c r="H198" i="26"/>
  <c r="L198" i="26" l="1"/>
  <c r="D199" i="26" s="1"/>
  <c r="G199" i="26" l="1"/>
  <c r="I199" i="26" l="1"/>
  <c r="J199" i="26" s="1"/>
  <c r="H199" i="26"/>
  <c r="L199" i="26" l="1"/>
  <c r="D200" i="26" s="1"/>
  <c r="G200" i="26" l="1"/>
  <c r="I200" i="26" l="1"/>
  <c r="J200" i="26" s="1"/>
  <c r="H200" i="26"/>
  <c r="L200" i="26" l="1"/>
  <c r="D201" i="26" s="1"/>
  <c r="G201" i="26" l="1"/>
  <c r="I201" i="26" l="1"/>
  <c r="J201" i="26" s="1"/>
  <c r="H201" i="26"/>
  <c r="L201" i="26" l="1"/>
  <c r="D202" i="26" s="1"/>
  <c r="G202" i="26" l="1"/>
  <c r="I202" i="26" l="1"/>
  <c r="J202" i="26" s="1"/>
  <c r="H202" i="26"/>
  <c r="L202" i="26" l="1"/>
  <c r="D203" i="26" s="1"/>
  <c r="G203" i="26" l="1"/>
  <c r="I203" i="26" l="1"/>
  <c r="J203" i="26" s="1"/>
  <c r="H203" i="26"/>
  <c r="L203" i="26" l="1"/>
  <c r="D204" i="26" s="1"/>
  <c r="G204" i="26" l="1"/>
  <c r="I204" i="26" l="1"/>
  <c r="J204" i="26" s="1"/>
  <c r="H204" i="26"/>
  <c r="L204" i="26" l="1"/>
  <c r="D205" i="26" s="1"/>
  <c r="G205" i="26" l="1"/>
  <c r="I205" i="26" l="1"/>
  <c r="J205" i="26" s="1"/>
  <c r="H205" i="26"/>
  <c r="L205" i="26" l="1"/>
  <c r="D206" i="26" s="1"/>
  <c r="G206" i="26" l="1"/>
  <c r="I206" i="26" l="1"/>
  <c r="J206" i="26" s="1"/>
  <c r="H206" i="26"/>
  <c r="L206" i="26" l="1"/>
  <c r="D207" i="26" s="1"/>
  <c r="G207" i="26" l="1"/>
  <c r="I207" i="26" l="1"/>
  <c r="J207" i="26" s="1"/>
  <c r="H207" i="26"/>
  <c r="L207" i="26" l="1"/>
  <c r="D208" i="26" s="1"/>
  <c r="G208" i="26" l="1"/>
  <c r="I208" i="26" l="1"/>
  <c r="J208" i="26" s="1"/>
  <c r="H208" i="26"/>
  <c r="L208" i="26" l="1"/>
  <c r="D209" i="26" s="1"/>
  <c r="G209" i="26" l="1"/>
  <c r="I209" i="26" l="1"/>
  <c r="J209" i="26" s="1"/>
  <c r="H209" i="26"/>
  <c r="L209" i="26" l="1"/>
  <c r="D210" i="26" s="1"/>
  <c r="G210" i="26" l="1"/>
  <c r="I210" i="26" l="1"/>
  <c r="J210" i="26" s="1"/>
  <c r="H210" i="26"/>
  <c r="L210" i="26" l="1"/>
  <c r="D211" i="26" s="1"/>
  <c r="G211" i="26" l="1"/>
  <c r="I211" i="26" l="1"/>
  <c r="J211" i="26" s="1"/>
  <c r="H211" i="26"/>
  <c r="L211" i="26" l="1"/>
  <c r="D212" i="26" s="1"/>
  <c r="G212" i="26" l="1"/>
  <c r="I212" i="26" l="1"/>
  <c r="J212" i="26" s="1"/>
  <c r="H212" i="26"/>
  <c r="L212" i="26" l="1"/>
  <c r="D213" i="26" s="1"/>
  <c r="G213" i="26" l="1"/>
  <c r="I213" i="26" l="1"/>
  <c r="J213" i="26" s="1"/>
  <c r="H213" i="26"/>
  <c r="L213" i="26" l="1"/>
  <c r="D214" i="26" s="1"/>
  <c r="G214" i="26" l="1"/>
  <c r="I214" i="26" l="1"/>
  <c r="J214" i="26" s="1"/>
  <c r="H214" i="26"/>
  <c r="L214" i="26" l="1"/>
  <c r="D215" i="26" s="1"/>
  <c r="G215" i="26" l="1"/>
  <c r="I215" i="26" l="1"/>
  <c r="J215" i="26" s="1"/>
  <c r="H215" i="26"/>
  <c r="L215" i="26" l="1"/>
  <c r="D216" i="26" s="1"/>
  <c r="G216" i="26" l="1"/>
  <c r="I216" i="26" l="1"/>
  <c r="J216" i="26" s="1"/>
  <c r="H216" i="26"/>
  <c r="L216" i="26" l="1"/>
  <c r="D217" i="26" s="1"/>
  <c r="G217" i="26" l="1"/>
  <c r="I217" i="26" l="1"/>
  <c r="J217" i="26" s="1"/>
  <c r="H217" i="26"/>
  <c r="L217" i="26" l="1"/>
  <c r="D218" i="26" s="1"/>
  <c r="G218" i="26" l="1"/>
  <c r="I218" i="26" l="1"/>
  <c r="J218" i="26" s="1"/>
  <c r="H218" i="26"/>
  <c r="L218" i="26" l="1"/>
  <c r="D219" i="26" s="1"/>
  <c r="G219" i="26" l="1"/>
  <c r="I219" i="26" l="1"/>
  <c r="J219" i="26" s="1"/>
  <c r="H219" i="26"/>
  <c r="L219" i="26" l="1"/>
  <c r="D220" i="26" s="1"/>
  <c r="G220" i="26" l="1"/>
  <c r="I220" i="26" l="1"/>
  <c r="J220" i="26" s="1"/>
  <c r="H220" i="26"/>
  <c r="L220" i="26" l="1"/>
  <c r="D221" i="26" s="1"/>
  <c r="G221" i="26" l="1"/>
  <c r="I221" i="26" l="1"/>
  <c r="J221" i="26" s="1"/>
  <c r="H221" i="26"/>
  <c r="L221" i="26" l="1"/>
  <c r="D222" i="26" s="1"/>
  <c r="G222" i="26" l="1"/>
  <c r="I222" i="26" l="1"/>
  <c r="J222" i="26" s="1"/>
  <c r="H222" i="26"/>
  <c r="L222" i="26" l="1"/>
  <c r="D223" i="26" s="1"/>
  <c r="G223" i="26" l="1"/>
  <c r="I223" i="26" l="1"/>
  <c r="J223" i="26" s="1"/>
  <c r="H223" i="26"/>
  <c r="L223" i="26" l="1"/>
  <c r="D224" i="26" s="1"/>
  <c r="G224" i="26" l="1"/>
  <c r="I224" i="26" l="1"/>
  <c r="J224" i="26" s="1"/>
  <c r="H224" i="26"/>
  <c r="L224" i="26" l="1"/>
  <c r="D225" i="26" s="1"/>
  <c r="G225" i="26" l="1"/>
  <c r="I225" i="26" l="1"/>
  <c r="J225" i="26" s="1"/>
  <c r="H225" i="26"/>
  <c r="L225" i="26" l="1"/>
  <c r="D226" i="26" s="1"/>
  <c r="G226" i="26" l="1"/>
  <c r="I226" i="26" l="1"/>
  <c r="J226" i="26" s="1"/>
  <c r="H226" i="26"/>
  <c r="L226" i="26" l="1"/>
  <c r="D227" i="26" s="1"/>
  <c r="G227" i="26" l="1"/>
  <c r="I227" i="26" l="1"/>
  <c r="J227" i="26" s="1"/>
  <c r="H227" i="26"/>
  <c r="L227" i="26" l="1"/>
  <c r="D228" i="26" s="1"/>
  <c r="G228" i="26" l="1"/>
  <c r="I228" i="26" l="1"/>
  <c r="J228" i="26" s="1"/>
  <c r="H228" i="26"/>
  <c r="L228" i="26" l="1"/>
  <c r="D229" i="26" s="1"/>
  <c r="G229" i="26" l="1"/>
  <c r="I229" i="26" l="1"/>
  <c r="J229" i="26" s="1"/>
  <c r="H229" i="26"/>
  <c r="L229" i="26" l="1"/>
  <c r="D230" i="26" s="1"/>
  <c r="G230" i="26" l="1"/>
  <c r="I230" i="26" l="1"/>
  <c r="J230" i="26" s="1"/>
  <c r="H230" i="26"/>
  <c r="L230" i="26" l="1"/>
  <c r="D231" i="26" s="1"/>
  <c r="G231" i="26" l="1"/>
  <c r="I231" i="26" l="1"/>
  <c r="J231" i="26" s="1"/>
  <c r="H231" i="26"/>
  <c r="L231" i="26" l="1"/>
  <c r="D232" i="26" s="1"/>
  <c r="G232" i="26" l="1"/>
  <c r="I232" i="26" l="1"/>
  <c r="J232" i="26" s="1"/>
  <c r="H232" i="26"/>
  <c r="L232" i="26" l="1"/>
  <c r="D233" i="26" s="1"/>
  <c r="G233" i="26" l="1"/>
  <c r="I233" i="26" l="1"/>
  <c r="J233" i="26" s="1"/>
  <c r="H233" i="26"/>
  <c r="L233" i="26" l="1"/>
  <c r="D234" i="26" s="1"/>
  <c r="G234" i="26" l="1"/>
  <c r="I234" i="26" l="1"/>
  <c r="J234" i="26" s="1"/>
  <c r="H234" i="26"/>
  <c r="L234" i="26" l="1"/>
  <c r="D235" i="26" s="1"/>
  <c r="G235" i="26" l="1"/>
  <c r="I235" i="26" l="1"/>
  <c r="J235" i="26" s="1"/>
  <c r="H235" i="26"/>
  <c r="L235" i="26" l="1"/>
  <c r="D236" i="26" s="1"/>
  <c r="G236" i="26" l="1"/>
  <c r="I236" i="26" l="1"/>
  <c r="J236" i="26" s="1"/>
  <c r="H236" i="26"/>
  <c r="L236" i="26" l="1"/>
  <c r="D237" i="26" s="1"/>
  <c r="G237" i="26" l="1"/>
  <c r="I237" i="26" l="1"/>
  <c r="J237" i="26" s="1"/>
  <c r="H237" i="26"/>
  <c r="L237" i="26" l="1"/>
  <c r="D238" i="26" s="1"/>
  <c r="G238" i="26" l="1"/>
  <c r="I238" i="26" l="1"/>
  <c r="J238" i="26" s="1"/>
  <c r="H238" i="26"/>
  <c r="L238" i="26" l="1"/>
  <c r="D239" i="26" s="1"/>
  <c r="G239" i="26" l="1"/>
  <c r="I239" i="26" l="1"/>
  <c r="J239" i="26" s="1"/>
  <c r="H239" i="26"/>
  <c r="L239" i="26" l="1"/>
  <c r="D240" i="26" s="1"/>
  <c r="G240" i="26" l="1"/>
  <c r="I240" i="26" l="1"/>
  <c r="J240" i="26" s="1"/>
  <c r="H240" i="26"/>
  <c r="L240" i="26" l="1"/>
  <c r="D241" i="26" s="1"/>
  <c r="G241" i="26" l="1"/>
  <c r="I241" i="26" l="1"/>
  <c r="J241" i="26" s="1"/>
  <c r="H241" i="26"/>
  <c r="L241" i="26" l="1"/>
  <c r="D242" i="26" s="1"/>
  <c r="G242" i="26" l="1"/>
  <c r="I242" i="26" l="1"/>
  <c r="J242" i="26" s="1"/>
  <c r="H242" i="26"/>
  <c r="L242" i="26" l="1"/>
  <c r="D243" i="26" s="1"/>
  <c r="G243" i="26" l="1"/>
  <c r="I243" i="26" l="1"/>
  <c r="J243" i="26" s="1"/>
  <c r="H243" i="26"/>
  <c r="L243" i="26" l="1"/>
  <c r="D244" i="26" s="1"/>
  <c r="G244" i="26" l="1"/>
  <c r="I244" i="26" l="1"/>
  <c r="J244" i="26" s="1"/>
  <c r="H244" i="26"/>
  <c r="L244" i="26" l="1"/>
  <c r="D245" i="26" s="1"/>
  <c r="G245" i="26" l="1"/>
  <c r="I245" i="26" l="1"/>
  <c r="J245" i="26" s="1"/>
  <c r="H245" i="26"/>
  <c r="L245" i="26" l="1"/>
  <c r="D246" i="26" s="1"/>
  <c r="G246" i="26" l="1"/>
  <c r="I246" i="26" l="1"/>
  <c r="J246" i="26" s="1"/>
  <c r="H246" i="26"/>
  <c r="L246" i="26" l="1"/>
  <c r="D247" i="26" s="1"/>
  <c r="G247" i="26" l="1"/>
  <c r="I247" i="26" l="1"/>
  <c r="J247" i="26" s="1"/>
  <c r="H247" i="26"/>
  <c r="L247" i="26" l="1"/>
  <c r="D248" i="26" s="1"/>
  <c r="G248" i="26" l="1"/>
  <c r="I248" i="26" l="1"/>
  <c r="J248" i="26" s="1"/>
  <c r="H248" i="26"/>
  <c r="L248" i="26" l="1"/>
  <c r="D249" i="26" s="1"/>
  <c r="G249" i="26" l="1"/>
  <c r="I249" i="26" l="1"/>
  <c r="J249" i="26" s="1"/>
  <c r="H249" i="26"/>
  <c r="L249" i="26" l="1"/>
  <c r="D250" i="26" s="1"/>
  <c r="G250" i="26" l="1"/>
  <c r="I250" i="26" l="1"/>
  <c r="J250" i="26" s="1"/>
  <c r="H250" i="26"/>
  <c r="L250" i="26" l="1"/>
  <c r="D251" i="26" s="1"/>
  <c r="G251" i="26" l="1"/>
  <c r="I251" i="26" l="1"/>
  <c r="J251" i="26" s="1"/>
  <c r="H251" i="26"/>
  <c r="L251" i="26" l="1"/>
  <c r="D252" i="26" s="1"/>
  <c r="G252" i="26" l="1"/>
  <c r="I252" i="26" l="1"/>
  <c r="J252" i="26" s="1"/>
  <c r="H252" i="26"/>
  <c r="L252" i="26" l="1"/>
  <c r="D253" i="26" s="1"/>
  <c r="G253" i="26" l="1"/>
  <c r="I253" i="26" l="1"/>
  <c r="J253" i="26" s="1"/>
  <c r="H253" i="26"/>
  <c r="L253" i="26" l="1"/>
  <c r="D254" i="26" s="1"/>
  <c r="G254" i="26" l="1"/>
  <c r="I254" i="26" l="1"/>
  <c r="J254" i="26" s="1"/>
  <c r="H254" i="26"/>
  <c r="L254" i="26" l="1"/>
  <c r="D255" i="26" s="1"/>
  <c r="G255" i="26" l="1"/>
  <c r="I255" i="26" l="1"/>
  <c r="J255" i="26" s="1"/>
  <c r="H255" i="26"/>
  <c r="L255" i="26" l="1"/>
  <c r="D256" i="26" s="1"/>
  <c r="G256" i="26" l="1"/>
  <c r="I256" i="26" l="1"/>
  <c r="J256" i="26" s="1"/>
  <c r="H256" i="26"/>
  <c r="L256" i="26" l="1"/>
  <c r="D257" i="26" s="1"/>
  <c r="G257" i="26" l="1"/>
  <c r="I257" i="26" l="1"/>
  <c r="J257" i="26" s="1"/>
  <c r="H257" i="26"/>
  <c r="L257" i="26" l="1"/>
  <c r="D258" i="26" s="1"/>
  <c r="G258" i="26" l="1"/>
  <c r="I258" i="26" l="1"/>
  <c r="J258" i="26" s="1"/>
  <c r="H258" i="26"/>
  <c r="L258" i="26" l="1"/>
  <c r="D259" i="26" s="1"/>
  <c r="G259" i="26" l="1"/>
  <c r="I259" i="26" l="1"/>
  <c r="J259" i="26" s="1"/>
  <c r="H259" i="26"/>
  <c r="L259" i="26" l="1"/>
  <c r="D260" i="26" s="1"/>
  <c r="G260" i="26" l="1"/>
  <c r="I260" i="26" l="1"/>
  <c r="J260" i="26" s="1"/>
  <c r="H260" i="26"/>
  <c r="L260" i="26" l="1"/>
  <c r="D261" i="26" s="1"/>
  <c r="G261" i="26" l="1"/>
  <c r="I261" i="26" l="1"/>
  <c r="J261" i="26" s="1"/>
  <c r="H261" i="26"/>
  <c r="L261" i="26" l="1"/>
  <c r="D262" i="26" s="1"/>
  <c r="G262" i="26" l="1"/>
  <c r="I262" i="26" l="1"/>
  <c r="J262" i="26" s="1"/>
  <c r="H262" i="26"/>
  <c r="L262" i="26" l="1"/>
  <c r="D263" i="26" s="1"/>
  <c r="G263" i="26" l="1"/>
  <c r="I263" i="26" l="1"/>
  <c r="J263" i="26" s="1"/>
  <c r="H263" i="26"/>
  <c r="L263" i="26" l="1"/>
  <c r="D264" i="26" s="1"/>
  <c r="G264" i="26" l="1"/>
  <c r="I264" i="26" l="1"/>
  <c r="J264" i="26" s="1"/>
  <c r="H264" i="26"/>
  <c r="L264" i="26" l="1"/>
  <c r="D265" i="26" s="1"/>
  <c r="G265" i="26" l="1"/>
  <c r="I265" i="26" l="1"/>
  <c r="J265" i="26" s="1"/>
  <c r="H265" i="26"/>
  <c r="L265" i="26" l="1"/>
  <c r="D266" i="26" s="1"/>
  <c r="G266" i="26" l="1"/>
  <c r="I266" i="26" l="1"/>
  <c r="J266" i="26" s="1"/>
  <c r="H266" i="26"/>
  <c r="L266" i="26" l="1"/>
  <c r="D267" i="26" s="1"/>
  <c r="G267" i="26" l="1"/>
  <c r="I267" i="26" l="1"/>
  <c r="J267" i="26" s="1"/>
  <c r="H267" i="26"/>
  <c r="L267" i="26" l="1"/>
  <c r="D268" i="26" s="1"/>
  <c r="G268" i="26" l="1"/>
  <c r="I268" i="26" l="1"/>
  <c r="J268" i="26" s="1"/>
  <c r="H268" i="26"/>
  <c r="L268" i="26" l="1"/>
  <c r="D269" i="26" s="1"/>
  <c r="G269" i="26" l="1"/>
  <c r="I269" i="26" l="1"/>
  <c r="J269" i="26" s="1"/>
  <c r="H269" i="26"/>
  <c r="L269" i="26" l="1"/>
  <c r="D270" i="26" s="1"/>
  <c r="G270" i="26" l="1"/>
  <c r="I270" i="26" l="1"/>
  <c r="J270" i="26" s="1"/>
  <c r="H270" i="26"/>
  <c r="L270" i="26" l="1"/>
  <c r="D271" i="26" s="1"/>
  <c r="G271" i="26" l="1"/>
  <c r="I271" i="26" l="1"/>
  <c r="J271" i="26" s="1"/>
  <c r="H271" i="26"/>
  <c r="L271" i="26" l="1"/>
  <c r="D272" i="26" s="1"/>
  <c r="G272" i="26" l="1"/>
  <c r="I272" i="26" l="1"/>
  <c r="J272" i="26" s="1"/>
  <c r="H272" i="26"/>
  <c r="L272" i="26" l="1"/>
  <c r="D273" i="26" s="1"/>
  <c r="G273" i="26" l="1"/>
  <c r="I273" i="26" l="1"/>
  <c r="J273" i="26" s="1"/>
  <c r="H273" i="26"/>
  <c r="L273" i="26" l="1"/>
  <c r="D274" i="26" s="1"/>
  <c r="G274" i="26" l="1"/>
  <c r="I274" i="26" l="1"/>
  <c r="J274" i="26" s="1"/>
  <c r="H274" i="26"/>
  <c r="L274" i="26" l="1"/>
  <c r="D275" i="26" s="1"/>
  <c r="G275" i="26" l="1"/>
  <c r="I275" i="26" l="1"/>
  <c r="J275" i="26" s="1"/>
  <c r="H275" i="26"/>
  <c r="L275" i="26" l="1"/>
  <c r="D276" i="26" s="1"/>
  <c r="G276" i="26" l="1"/>
  <c r="I276" i="26" l="1"/>
  <c r="J276" i="26" s="1"/>
  <c r="H276" i="26"/>
  <c r="L276" i="26" l="1"/>
  <c r="D277" i="26" s="1"/>
  <c r="G277" i="26" l="1"/>
  <c r="I277" i="26" l="1"/>
  <c r="J277" i="26" s="1"/>
  <c r="H277" i="26"/>
  <c r="L277" i="26" l="1"/>
  <c r="D278" i="26" s="1"/>
  <c r="G278" i="26" l="1"/>
  <c r="I278" i="26" l="1"/>
  <c r="J278" i="26" s="1"/>
  <c r="H278" i="26"/>
  <c r="L278" i="26" l="1"/>
  <c r="D279" i="26" s="1"/>
  <c r="G279" i="26" l="1"/>
  <c r="I279" i="26" l="1"/>
  <c r="J279" i="26" s="1"/>
  <c r="H279" i="26"/>
  <c r="L279" i="26" l="1"/>
  <c r="D280" i="26" s="1"/>
  <c r="G280" i="26" l="1"/>
  <c r="I280" i="26" l="1"/>
  <c r="J280" i="26" s="1"/>
  <c r="H280" i="26"/>
  <c r="L280" i="26" l="1"/>
  <c r="D281" i="26" s="1"/>
  <c r="G281" i="26" l="1"/>
  <c r="I281" i="26" l="1"/>
  <c r="J281" i="26" s="1"/>
  <c r="H281" i="26"/>
  <c r="L281" i="26" l="1"/>
  <c r="D282" i="26" s="1"/>
  <c r="G282" i="26" l="1"/>
  <c r="I282" i="26" l="1"/>
  <c r="J282" i="26" s="1"/>
  <c r="H282" i="26"/>
  <c r="L282" i="26" l="1"/>
  <c r="D283" i="26" s="1"/>
  <c r="G283" i="26" l="1"/>
  <c r="I283" i="26" l="1"/>
  <c r="J283" i="26" s="1"/>
  <c r="H283" i="26"/>
  <c r="L283" i="26" l="1"/>
  <c r="D284" i="26" s="1"/>
  <c r="G284" i="26" l="1"/>
  <c r="I284" i="26" l="1"/>
  <c r="J284" i="26" s="1"/>
  <c r="H284" i="26"/>
  <c r="L284" i="26" l="1"/>
  <c r="D285" i="26" s="1"/>
  <c r="G285" i="26" l="1"/>
  <c r="I285" i="26" l="1"/>
  <c r="J285" i="26" s="1"/>
  <c r="H285" i="26"/>
  <c r="L285" i="26" l="1"/>
  <c r="D286" i="26" s="1"/>
  <c r="G286" i="26" l="1"/>
  <c r="I286" i="26" l="1"/>
  <c r="J286" i="26" s="1"/>
  <c r="H286" i="26"/>
  <c r="L286" i="26" l="1"/>
  <c r="D287" i="26" s="1"/>
  <c r="G287" i="26" l="1"/>
  <c r="I287" i="26" l="1"/>
  <c r="J287" i="26" s="1"/>
  <c r="H287" i="26"/>
  <c r="L287" i="26" l="1"/>
  <c r="D288" i="26" s="1"/>
  <c r="G288" i="26" l="1"/>
  <c r="I288" i="26" l="1"/>
  <c r="J288" i="26" s="1"/>
  <c r="H288" i="26"/>
  <c r="L288" i="26" l="1"/>
  <c r="D289" i="26" s="1"/>
  <c r="G289" i="26" l="1"/>
  <c r="I289" i="26" l="1"/>
  <c r="J289" i="26" s="1"/>
  <c r="H289" i="26"/>
  <c r="L289" i="26" l="1"/>
  <c r="D290" i="26" s="1"/>
  <c r="G290" i="26" l="1"/>
  <c r="I290" i="26" l="1"/>
  <c r="J290" i="26" s="1"/>
  <c r="H290" i="26"/>
  <c r="L290" i="26" l="1"/>
  <c r="D291" i="26" s="1"/>
  <c r="G291" i="26" l="1"/>
  <c r="I291" i="26" l="1"/>
  <c r="J291" i="26" s="1"/>
  <c r="H291" i="26"/>
  <c r="L291" i="26" l="1"/>
  <c r="D292" i="26" s="1"/>
  <c r="G292" i="26" l="1"/>
  <c r="I292" i="26" l="1"/>
  <c r="J292" i="26" s="1"/>
  <c r="H292" i="26"/>
  <c r="L292" i="26" l="1"/>
  <c r="D293" i="26" s="1"/>
  <c r="G293" i="26" l="1"/>
  <c r="I293" i="26" l="1"/>
  <c r="J293" i="26" s="1"/>
  <c r="H293" i="26"/>
  <c r="L293" i="26" l="1"/>
  <c r="D294" i="26" s="1"/>
  <c r="G294" i="26" l="1"/>
  <c r="I294" i="26" l="1"/>
  <c r="J294" i="26" s="1"/>
  <c r="H294" i="26"/>
  <c r="L294" i="26" l="1"/>
  <c r="D295" i="26" s="1"/>
  <c r="G295" i="26" l="1"/>
  <c r="I295" i="26" l="1"/>
  <c r="J295" i="26" s="1"/>
  <c r="H295" i="26"/>
  <c r="L295" i="26" l="1"/>
  <c r="D296" i="26" s="1"/>
  <c r="G296" i="26" l="1"/>
  <c r="I296" i="26" l="1"/>
  <c r="J296" i="26" s="1"/>
  <c r="H296" i="26"/>
  <c r="L296" i="26" l="1"/>
  <c r="D297" i="26" s="1"/>
  <c r="G297" i="26" l="1"/>
  <c r="I297" i="26" l="1"/>
  <c r="J297" i="26" s="1"/>
  <c r="H297" i="26"/>
  <c r="L297" i="26" l="1"/>
  <c r="D298" i="26" s="1"/>
  <c r="G298" i="26" l="1"/>
  <c r="I298" i="26" l="1"/>
  <c r="J298" i="26" s="1"/>
  <c r="H298" i="26"/>
  <c r="L298" i="26" l="1"/>
  <c r="D299" i="26" s="1"/>
  <c r="G299" i="26" l="1"/>
  <c r="I299" i="26" l="1"/>
  <c r="J299" i="26" s="1"/>
  <c r="H299" i="26"/>
  <c r="L299" i="26" l="1"/>
  <c r="D300" i="26" s="1"/>
  <c r="G300" i="26" l="1"/>
  <c r="I300" i="26" l="1"/>
  <c r="J300" i="26" s="1"/>
  <c r="H300" i="26"/>
  <c r="L300" i="26" l="1"/>
  <c r="D301" i="26" s="1"/>
  <c r="G301" i="26" l="1"/>
  <c r="I301" i="26" l="1"/>
  <c r="J301" i="26" s="1"/>
  <c r="H301" i="26"/>
  <c r="L301" i="26" l="1"/>
  <c r="D302" i="26" s="1"/>
  <c r="G302" i="26" l="1"/>
  <c r="I302" i="26" l="1"/>
  <c r="J302" i="26" s="1"/>
  <c r="H302" i="26"/>
  <c r="L302" i="26" l="1"/>
  <c r="D303" i="26" s="1"/>
  <c r="G303" i="26" l="1"/>
  <c r="I303" i="26" l="1"/>
  <c r="J303" i="26" s="1"/>
  <c r="H303" i="26"/>
  <c r="L303" i="26" l="1"/>
  <c r="D304" i="26" s="1"/>
  <c r="G304" i="26" l="1"/>
  <c r="I304" i="26" l="1"/>
  <c r="J304" i="26" s="1"/>
  <c r="H304" i="26"/>
  <c r="L304" i="26" l="1"/>
  <c r="D305" i="26" s="1"/>
  <c r="G305" i="26" l="1"/>
  <c r="I305" i="26" l="1"/>
  <c r="J305" i="26" s="1"/>
  <c r="H305" i="26"/>
  <c r="L305" i="26" l="1"/>
  <c r="D306" i="26" s="1"/>
  <c r="G306" i="26" l="1"/>
  <c r="I306" i="26" l="1"/>
  <c r="J306" i="26" s="1"/>
  <c r="H306" i="26"/>
  <c r="L306" i="26" l="1"/>
  <c r="D307" i="26" s="1"/>
  <c r="G307" i="26" l="1"/>
  <c r="I307" i="26" l="1"/>
  <c r="J307" i="26" s="1"/>
  <c r="H307" i="26"/>
  <c r="L307" i="26" l="1"/>
  <c r="D308" i="26" s="1"/>
  <c r="G308" i="26" l="1"/>
  <c r="I308" i="26" l="1"/>
  <c r="J308" i="26" s="1"/>
  <c r="H308" i="26"/>
  <c r="L308" i="26" l="1"/>
  <c r="D309" i="26" s="1"/>
  <c r="G309" i="26" l="1"/>
  <c r="I309" i="26" l="1"/>
  <c r="J309" i="26" s="1"/>
  <c r="H309" i="26"/>
  <c r="L309" i="26" l="1"/>
  <c r="D310" i="26" s="1"/>
  <c r="D311" i="26" s="1"/>
  <c r="G310" i="26" l="1"/>
  <c r="G311" i="26" s="1"/>
  <c r="I310" i="26" l="1"/>
  <c r="I311" i="26" s="1"/>
  <c r="H310" i="26"/>
  <c r="J310" i="26" l="1"/>
  <c r="L31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AEP</author>
  </authors>
  <commentList>
    <comment ref="D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MCSR0102 IN  
Billed KWH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<sst xmlns="http://schemas.openxmlformats.org/spreadsheetml/2006/main" count="106" uniqueCount="70">
  <si>
    <t>KENTUCKY POWER COMPANY</t>
  </si>
  <si>
    <t>Effective Date for Billing</t>
  </si>
  <si>
    <t>Submitted by:</t>
  </si>
  <si>
    <t>(Signature)</t>
  </si>
  <si>
    <t>Title:</t>
  </si>
  <si>
    <t>Date Submitted:</t>
  </si>
  <si>
    <t>B.</t>
  </si>
  <si>
    <t>=</t>
  </si>
  <si>
    <t xml:space="preserve"> </t>
  </si>
  <si>
    <t>Residential Adjustment Factor</t>
  </si>
  <si>
    <t>Summary</t>
  </si>
  <si>
    <t>x</t>
  </si>
  <si>
    <t xml:space="preserve">Adjustment Factor </t>
  </si>
  <si>
    <t>Residential Retail Revenue</t>
  </si>
  <si>
    <t>All Other Classes, Non-Fuel Retail Revenue</t>
  </si>
  <si>
    <t>All Other Adjustment Factor</t>
  </si>
  <si>
    <t>Kentucky Power Company</t>
  </si>
  <si>
    <t>Date</t>
  </si>
  <si>
    <t>Billed KWH</t>
  </si>
  <si>
    <t>Estimated KWH</t>
  </si>
  <si>
    <t>Unbilled KWH</t>
  </si>
  <si>
    <t>Billed FAC Revenues</t>
  </si>
  <si>
    <t>Total</t>
  </si>
  <si>
    <t>Rev Class 010 &amp; 020</t>
  </si>
  <si>
    <t>Other than Rev class 010 &amp; 020</t>
  </si>
  <si>
    <t>Reverse Prior Month Est Surcharge</t>
  </si>
  <si>
    <t>Reverse Prior Month Unb FAC  Surcharge</t>
  </si>
  <si>
    <t>Unbilled FAC Surcharge</t>
  </si>
  <si>
    <t>Next Month FAC + SS  Rate (Unbilled)</t>
  </si>
  <si>
    <t>Current Month FAC + SS  Rate Billed</t>
  </si>
  <si>
    <t>Estimated FAC + SS Surcharge</t>
  </si>
  <si>
    <t>Billed &amp; Accrued FAC + SS Surcharge</t>
  </si>
  <si>
    <t>Year Ended:</t>
  </si>
  <si>
    <t>*</t>
  </si>
  <si>
    <t>Base Annual Residential Allocation</t>
  </si>
  <si>
    <t>Base Annual All Other Allocation</t>
  </si>
  <si>
    <t>A.</t>
  </si>
  <si>
    <t>Balance of Components Subject to WACC</t>
  </si>
  <si>
    <t>ADIT Balance</t>
  </si>
  <si>
    <t>Month End Reg Asset Balance</t>
  </si>
  <si>
    <t>Calculated Change in RA</t>
  </si>
  <si>
    <t>Levelized Payment</t>
  </si>
  <si>
    <t>Actual Revenue</t>
  </si>
  <si>
    <t>Carrying Charges</t>
  </si>
  <si>
    <t>Additions</t>
  </si>
  <si>
    <t>Month</t>
  </si>
  <si>
    <t>Line</t>
  </si>
  <si>
    <t>Monthly Payment</t>
  </si>
  <si>
    <t>Monthly</t>
  </si>
  <si>
    <t>WACC</t>
  </si>
  <si>
    <t>NRA (from A above)</t>
  </si>
  <si>
    <t>NOA (from A above)</t>
  </si>
  <si>
    <t>Retail Revenue Requirement</t>
  </si>
  <si>
    <t>C.</t>
  </si>
  <si>
    <t>D.</t>
  </si>
  <si>
    <t>Page 1 of 2</t>
  </si>
  <si>
    <t>Page 2 of 2</t>
  </si>
  <si>
    <t>Excess Unprotected ADIT</t>
  </si>
  <si>
    <t>ADIT on RA at 21%</t>
  </si>
  <si>
    <t>Big Sandy Decommissioning Rider</t>
  </si>
  <si>
    <t>Residential B.S.D.R. Adjustment Factor</t>
  </si>
  <si>
    <t>All Other Classes B.S.D.R. Adjustment Factor</t>
  </si>
  <si>
    <t>Balance Updated to Reflect Remaining Excess ADIT</t>
  </si>
  <si>
    <t>/s/ Brian K. West</t>
  </si>
  <si>
    <t>(1st Billing Cycle of October)</t>
  </si>
  <si>
    <t>Vice President Regulatory &amp; Finance</t>
  </si>
  <si>
    <t>*Actuals provided through June 2023. July 2023 - June 2040 is an estimation of the amortization payment schedule.</t>
  </si>
  <si>
    <t>Totals July 2023 - June 2040</t>
  </si>
  <si>
    <t>June 30, 2023</t>
  </si>
  <si>
    <t>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</si>
</sst>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&quot;$&quot;#,##0"/>
    <numFmt numFmtId="166" formatCode="[$-409]mmmm\ d\,\ yyyy;@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0" formatCode="_(&quot;$&quot;* #,##0.0000000_);_(&quot;$&quot;* \(#,##0.0000000\);_(&quot;$&quot;* &quot;-&quot;??_);_(@_)"/>
    <numFmt numFmtId="171" formatCode="[$-409]mmmm\-yy;@"/>
    <numFmt numFmtId="172" formatCode="_(* #,##0.0_);_(* \(#,##0.0\);&quot;&quot;;_(@_)"/>
    <numFmt numFmtId="173" formatCode="[Blue]#,##0,_);[Red]\(#,##0,\)"/>
  </numFmts>
  <fonts count="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2"/>
      <name val="Arial MT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Unicode MS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78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2" borderId="0" applyNumberFormat="0" applyBorder="0" applyAlignment="0" applyProtection="0"/>
    <xf numFmtId="0" fontId="3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5" borderId="0" applyNumberFormat="0" applyBorder="0" applyAlignment="0" applyProtection="0"/>
    <xf numFmtId="0" fontId="3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7" borderId="0" applyNumberFormat="0" applyBorder="0" applyAlignment="0" applyProtection="0"/>
    <xf numFmtId="0" fontId="3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3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0" borderId="0" applyNumberFormat="0" applyBorder="0" applyAlignment="0" applyProtection="0"/>
    <xf numFmtId="0" fontId="3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3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7" borderId="0" applyNumberFormat="0" applyBorder="0" applyAlignment="0" applyProtection="0"/>
    <xf numFmtId="0" fontId="3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15" borderId="0" applyNumberFormat="0" applyBorder="0" applyAlignment="0" applyProtection="0"/>
    <xf numFmtId="0" fontId="32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16" borderId="0" applyNumberFormat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5" fillId="12" borderId="0" applyNumberFormat="0" applyBorder="0" applyAlignment="0" applyProtection="0"/>
    <xf numFmtId="0" fontId="16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5" fillId="13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5" fillId="18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16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5" fillId="19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20" borderId="0" applyNumberFormat="0" applyBorder="0" applyAlignment="0" applyProtection="0"/>
    <xf numFmtId="0" fontId="34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16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18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16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17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7" fillId="4" borderId="0" applyNumberFormat="0" applyBorder="0" applyAlignment="0" applyProtection="0"/>
    <xf numFmtId="0" fontId="3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3" borderId="1" applyNumberFormat="0" applyAlignment="0" applyProtection="0"/>
    <xf numFmtId="0" fontId="38" fillId="3" borderId="1" applyNumberFormat="0" applyAlignment="0" applyProtection="0"/>
    <xf numFmtId="0" fontId="38" fillId="3" borderId="1" applyNumberFormat="0" applyAlignment="0" applyProtection="0"/>
    <xf numFmtId="0" fontId="38" fillId="3" borderId="1" applyNumberFormat="0" applyAlignment="0" applyProtection="0"/>
    <xf numFmtId="0" fontId="39" fillId="3" borderId="1" applyNumberFormat="0" applyAlignment="0" applyProtection="0"/>
    <xf numFmtId="0" fontId="19" fillId="11" borderId="2" applyNumberFormat="0" applyAlignment="0" applyProtection="0"/>
    <xf numFmtId="0" fontId="40" fillId="11" borderId="2" applyNumberFormat="0" applyAlignment="0" applyProtection="0"/>
    <xf numFmtId="0" fontId="40" fillId="11" borderId="2" applyNumberFormat="0" applyAlignment="0" applyProtection="0"/>
    <xf numFmtId="0" fontId="40" fillId="11" borderId="2" applyNumberFormat="0" applyAlignment="0" applyProtection="0"/>
    <xf numFmtId="0" fontId="41" fillId="26" borderId="2" applyNumberFormat="0" applyAlignment="0" applyProtection="0"/>
    <xf numFmtId="0" fontId="40" fillId="26" borderId="2" applyNumberFormat="0" applyAlignment="0" applyProtection="0"/>
    <xf numFmtId="0" fontId="19" fillId="26" borderId="2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7" fillId="5" borderId="0" applyNumberFormat="0" applyBorder="0" applyAlignment="0" applyProtection="0"/>
    <xf numFmtId="0" fontId="48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50" fillId="0" borderId="3" applyNumberFormat="0" applyFill="0" applyAlignment="0" applyProtection="0"/>
    <xf numFmtId="0" fontId="51" fillId="0" borderId="3" applyNumberFormat="0" applyFill="0" applyAlignment="0" applyProtection="0"/>
    <xf numFmtId="0" fontId="22" fillId="0" borderId="3" applyNumberFormat="0" applyFill="0" applyAlignment="0" applyProtection="0"/>
    <xf numFmtId="0" fontId="52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4" fillId="0" borderId="5" applyNumberFormat="0" applyFill="0" applyAlignment="0" applyProtection="0"/>
    <xf numFmtId="0" fontId="55" fillId="0" borderId="5" applyNumberFormat="0" applyFill="0" applyAlignment="0" applyProtection="0"/>
    <xf numFmtId="0" fontId="23" fillId="0" borderId="5" applyNumberFormat="0" applyFill="0" applyAlignment="0" applyProtection="0"/>
    <xf numFmtId="0" fontId="56" fillId="0" borderId="8" applyNumberFormat="0" applyFill="0" applyAlignment="0" applyProtection="0"/>
    <xf numFmtId="0" fontId="57" fillId="0" borderId="8" applyNumberFormat="0" applyFill="0" applyAlignment="0" applyProtection="0"/>
    <xf numFmtId="0" fontId="57" fillId="0" borderId="8" applyNumberFormat="0" applyFill="0" applyAlignment="0" applyProtection="0"/>
    <xf numFmtId="0" fontId="57" fillId="0" borderId="8" applyNumberFormat="0" applyFill="0" applyAlignment="0" applyProtection="0"/>
    <xf numFmtId="0" fontId="58" fillId="0" borderId="7" applyNumberFormat="0" applyFill="0" applyAlignment="0" applyProtection="0"/>
    <xf numFmtId="0" fontId="59" fillId="0" borderId="7" applyNumberFormat="0" applyFill="0" applyAlignment="0" applyProtection="0"/>
    <xf numFmtId="0" fontId="24" fillId="0" borderId="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9" borderId="1" applyNumberFormat="0" applyAlignment="0" applyProtection="0"/>
    <xf numFmtId="0" fontId="60" fillId="9" borderId="1" applyNumberFormat="0" applyAlignment="0" applyProtection="0"/>
    <xf numFmtId="0" fontId="60" fillId="9" borderId="1" applyNumberFormat="0" applyAlignment="0" applyProtection="0"/>
    <xf numFmtId="0" fontId="60" fillId="9" borderId="1" applyNumberFormat="0" applyAlignment="0" applyProtection="0"/>
    <xf numFmtId="0" fontId="61" fillId="9" borderId="1" applyNumberFormat="0" applyAlignment="0" applyProtection="0"/>
    <xf numFmtId="41" fontId="62" fillId="0" borderId="0">
      <alignment horizontal="left"/>
    </xf>
    <xf numFmtId="0" fontId="26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4" fillId="0" borderId="9" applyNumberFormat="0" applyFill="0" applyAlignment="0" applyProtection="0"/>
    <xf numFmtId="0" fontId="27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6" fillId="14" borderId="0" applyNumberFormat="0" applyBorder="0" applyAlignment="0" applyProtection="0"/>
    <xf numFmtId="0" fontId="79" fillId="0" borderId="0"/>
    <xf numFmtId="0" fontId="43" fillId="0" borderId="0"/>
    <xf numFmtId="37" fontId="67" fillId="0" borderId="0"/>
    <xf numFmtId="0" fontId="6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78" fillId="0" borderId="0"/>
    <xf numFmtId="0" fontId="7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8" fillId="0" borderId="0"/>
    <xf numFmtId="0" fontId="68" fillId="0" borderId="0"/>
    <xf numFmtId="0" fontId="68" fillId="0" borderId="0"/>
    <xf numFmtId="0" fontId="43" fillId="0" borderId="0"/>
    <xf numFmtId="0" fontId="10" fillId="0" borderId="0"/>
    <xf numFmtId="0" fontId="43" fillId="0" borderId="0"/>
    <xf numFmtId="0" fontId="43" fillId="0" borderId="0"/>
    <xf numFmtId="0" fontId="8" fillId="0" borderId="0"/>
    <xf numFmtId="0" fontId="6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6" borderId="10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43" fontId="60" fillId="0" borderId="0"/>
    <xf numFmtId="173" fontId="69" fillId="0" borderId="0"/>
    <xf numFmtId="0" fontId="28" fillId="3" borderId="11" applyNumberFormat="0" applyAlignment="0" applyProtection="0"/>
    <xf numFmtId="0" fontId="70" fillId="3" borderId="11" applyNumberFormat="0" applyAlignment="0" applyProtection="0"/>
    <xf numFmtId="0" fontId="70" fillId="3" borderId="11" applyNumberFormat="0" applyAlignment="0" applyProtection="0"/>
    <xf numFmtId="0" fontId="70" fillId="3" borderId="11" applyNumberFormat="0" applyAlignment="0" applyProtection="0"/>
    <xf numFmtId="0" fontId="71" fillId="3" borderId="11" applyNumberFormat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13" applyNumberFormat="0" applyFill="0" applyAlignment="0" applyProtection="0"/>
    <xf numFmtId="0" fontId="74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2" fillId="0" borderId="0"/>
    <xf numFmtId="0" fontId="43" fillId="0" borderId="0"/>
  </cellStyleXfs>
  <cellXfs count="136">
    <xf numFmtId="0" fontId="0" fillId="0" borderId="0" xfId="0"/>
    <xf numFmtId="0" fontId="8" fillId="0" borderId="0" xfId="0" applyFont="1"/>
    <xf numFmtId="0" fontId="9" fillId="0" borderId="0" xfId="0" applyFont="1"/>
    <xf numFmtId="167" fontId="0" fillId="0" borderId="0" xfId="0" applyNumberFormat="1"/>
    <xf numFmtId="0" fontId="9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16" fontId="9" fillId="0" borderId="0" xfId="0" applyNumberFormat="1" applyFont="1" applyBorder="1" applyAlignment="1">
      <alignment horizontal="center" wrapText="1"/>
    </xf>
    <xf numFmtId="16" fontId="9" fillId="0" borderId="0" xfId="0" applyNumberFormat="1" applyFont="1" applyAlignment="1">
      <alignment horizontal="center"/>
    </xf>
    <xf numFmtId="167" fontId="0" fillId="0" borderId="0" xfId="200" applyNumberFormat="1" applyFont="1"/>
    <xf numFmtId="167" fontId="8" fillId="0" borderId="0" xfId="200" applyNumberFormat="1" applyFont="1" applyBorder="1" applyAlignment="1">
      <alignment horizontal="center" wrapText="1"/>
    </xf>
    <xf numFmtId="43" fontId="8" fillId="0" borderId="0" xfId="200" applyNumberFormat="1" applyFont="1" applyBorder="1" applyAlignment="1">
      <alignment horizontal="center" wrapText="1"/>
    </xf>
    <xf numFmtId="170" fontId="8" fillId="0" borderId="0" xfId="342" applyNumberFormat="1" applyFont="1" applyBorder="1" applyAlignment="1">
      <alignment horizontal="center" wrapText="1"/>
    </xf>
    <xf numFmtId="170" fontId="8" fillId="0" borderId="0" xfId="342" applyNumberFormat="1" applyFont="1"/>
    <xf numFmtId="44" fontId="0" fillId="0" borderId="0" xfId="342" applyNumberFormat="1" applyFont="1"/>
    <xf numFmtId="5" fontId="4" fillId="0" borderId="0" xfId="0" applyNumberFormat="1" applyFont="1" applyFill="1" applyBorder="1" applyAlignment="1">
      <alignment horizontal="left" vertical="top"/>
    </xf>
    <xf numFmtId="37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328" applyNumberFormat="1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8" fillId="0" borderId="0" xfId="0" applyFont="1" applyFill="1"/>
    <xf numFmtId="37" fontId="4" fillId="0" borderId="0" xfId="0" applyNumberFormat="1" applyFont="1" applyFill="1" applyBorder="1"/>
    <xf numFmtId="0" fontId="4" fillId="0" borderId="0" xfId="0" quotePrefix="1" applyFont="1" applyFill="1" applyAlignment="1">
      <alignment horizontal="center"/>
    </xf>
    <xf numFmtId="2" fontId="4" fillId="0" borderId="0" xfId="0" applyNumberFormat="1" applyFont="1" applyFill="1" applyBorder="1"/>
    <xf numFmtId="0" fontId="0" fillId="0" borderId="0" xfId="0" applyFill="1"/>
    <xf numFmtId="167" fontId="80" fillId="0" borderId="0" xfId="221" applyNumberFormat="1" applyFont="1" applyFill="1"/>
    <xf numFmtId="167" fontId="80" fillId="0" borderId="15" xfId="221" applyNumberFormat="1" applyFont="1" applyFill="1" applyBorder="1"/>
    <xf numFmtId="169" fontId="78" fillId="0" borderId="0" xfId="625" applyNumberFormat="1" applyFont="1" applyFill="1"/>
    <xf numFmtId="6" fontId="78" fillId="0" borderId="0" xfId="221" applyNumberFormat="1" applyFont="1" applyFill="1"/>
    <xf numFmtId="167" fontId="78" fillId="0" borderId="0" xfId="221" applyNumberFormat="1" applyFont="1" applyFill="1"/>
    <xf numFmtId="0" fontId="78" fillId="0" borderId="0" xfId="435" applyFill="1"/>
    <xf numFmtId="0" fontId="81" fillId="0" borderId="0" xfId="435" applyFont="1" applyFill="1"/>
    <xf numFmtId="43" fontId="78" fillId="0" borderId="0" xfId="221" applyFont="1" applyFill="1"/>
    <xf numFmtId="0" fontId="78" fillId="0" borderId="0" xfId="435" applyFill="1" applyAlignment="1">
      <alignment horizontal="center"/>
    </xf>
    <xf numFmtId="167" fontId="78" fillId="0" borderId="0" xfId="435" applyNumberFormat="1" applyFill="1" applyAlignment="1">
      <alignment horizontal="center"/>
    </xf>
    <xf numFmtId="0" fontId="81" fillId="0" borderId="0" xfId="435" applyFont="1" applyFill="1" applyAlignment="1">
      <alignment horizontal="center"/>
    </xf>
    <xf numFmtId="169" fontId="78" fillId="0" borderId="0" xfId="625" applyNumberFormat="1" applyFont="1" applyFill="1" applyAlignment="1">
      <alignment horizontal="center"/>
    </xf>
    <xf numFmtId="0" fontId="78" fillId="0" borderId="0" xfId="435" applyFill="1" applyAlignment="1">
      <alignment horizontal="center" wrapText="1"/>
    </xf>
    <xf numFmtId="0" fontId="80" fillId="0" borderId="0" xfId="435" applyFont="1" applyFill="1" applyAlignment="1">
      <alignment horizontal="center" wrapText="1"/>
    </xf>
    <xf numFmtId="0" fontId="78" fillId="0" borderId="0" xfId="435" applyFill="1" applyBorder="1" applyAlignment="1">
      <alignment horizontal="center" wrapText="1"/>
    </xf>
    <xf numFmtId="171" fontId="78" fillId="0" borderId="0" xfId="435" applyNumberFormat="1" applyFill="1"/>
    <xf numFmtId="8" fontId="78" fillId="0" borderId="0" xfId="435" applyNumberFormat="1" applyFill="1"/>
    <xf numFmtId="167" fontId="78" fillId="0" borderId="0" xfId="178" applyNumberFormat="1" applyFont="1" applyFill="1"/>
    <xf numFmtId="167" fontId="78" fillId="0" borderId="0" xfId="435" applyNumberFormat="1" applyFill="1"/>
    <xf numFmtId="171" fontId="78" fillId="0" borderId="15" xfId="435" applyNumberFormat="1" applyFill="1" applyBorder="1"/>
    <xf numFmtId="167" fontId="78" fillId="0" borderId="15" xfId="221" applyNumberFormat="1" applyFont="1" applyFill="1" applyBorder="1"/>
    <xf numFmtId="8" fontId="81" fillId="0" borderId="0" xfId="435" applyNumberFormat="1" applyFont="1" applyFill="1"/>
    <xf numFmtId="167" fontId="78" fillId="0" borderId="0" xfId="186" applyNumberFormat="1" applyFont="1" applyFill="1"/>
    <xf numFmtId="6" fontId="78" fillId="0" borderId="0" xfId="435" applyNumberFormat="1" applyFill="1"/>
    <xf numFmtId="43" fontId="78" fillId="0" borderId="0" xfId="435" applyNumberFormat="1" applyFill="1"/>
    <xf numFmtId="38" fontId="78" fillId="0" borderId="0" xfId="221" applyNumberFormat="1" applyFont="1" applyFill="1" applyBorder="1"/>
    <xf numFmtId="44" fontId="78" fillId="0" borderId="0" xfId="221" applyNumberFormat="1" applyFont="1" applyFill="1"/>
    <xf numFmtId="10" fontId="78" fillId="0" borderId="0" xfId="625" applyNumberFormat="1" applyFont="1" applyFill="1"/>
    <xf numFmtId="9" fontId="4" fillId="0" borderId="0" xfId="608" applyFont="1" applyFill="1" applyBorder="1" applyAlignment="1">
      <alignment horizontal="center"/>
    </xf>
    <xf numFmtId="168" fontId="4" fillId="0" borderId="0" xfId="328" applyNumberFormat="1" applyFont="1" applyFill="1" applyAlignment="1">
      <alignment horizontal="center" vertical="center"/>
    </xf>
    <xf numFmtId="167" fontId="2" fillId="0" borderId="0" xfId="728" applyNumberFormat="1" applyFont="1" applyFill="1"/>
    <xf numFmtId="167" fontId="2" fillId="0" borderId="0" xfId="728" applyNumberFormat="1" applyFont="1" applyFill="1" applyBorder="1"/>
    <xf numFmtId="167" fontId="2" fillId="0" borderId="15" xfId="728" applyNumberFormat="1" applyFont="1" applyFill="1" applyBorder="1"/>
    <xf numFmtId="167" fontId="81" fillId="0" borderId="0" xfId="435" applyNumberFormat="1" applyFont="1" applyFill="1"/>
    <xf numFmtId="9" fontId="4" fillId="0" borderId="0" xfId="608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0" applyFont="1" applyFill="1" applyAlignment="1">
      <alignment horizontal="left"/>
    </xf>
    <xf numFmtId="0" fontId="9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9" fontId="4" fillId="0" borderId="0" xfId="0" applyNumberFormat="1" applyFont="1" applyFill="1"/>
    <xf numFmtId="0" fontId="8" fillId="0" borderId="0" xfId="0" applyFont="1" applyFill="1" applyAlignment="1">
      <alignment horizontal="center"/>
    </xf>
    <xf numFmtId="7" fontId="0" fillId="0" borderId="0" xfId="0" applyNumberFormat="1" applyFill="1"/>
    <xf numFmtId="0" fontId="11" fillId="0" borderId="0" xfId="0" applyFont="1" applyFill="1"/>
    <xf numFmtId="0" fontId="4" fillId="0" borderId="0" xfId="0" quotePrefix="1" applyFont="1" applyFill="1"/>
    <xf numFmtId="0" fontId="0" fillId="0" borderId="16" xfId="0" applyFill="1" applyBorder="1"/>
    <xf numFmtId="0" fontId="4" fillId="0" borderId="15" xfId="0" applyFont="1" applyFill="1" applyBorder="1"/>
    <xf numFmtId="0" fontId="78" fillId="0" borderId="0" xfId="435" applyFill="1" applyBorder="1" applyAlignment="1">
      <alignment horizontal="center"/>
    </xf>
    <xf numFmtId="165" fontId="4" fillId="0" borderId="0" xfId="0" applyNumberFormat="1" applyFont="1" applyFill="1" applyBorder="1" applyAlignment="1">
      <alignment vertical="center"/>
    </xf>
    <xf numFmtId="169" fontId="4" fillId="0" borderId="0" xfId="608" applyNumberFormat="1" applyFont="1" applyFill="1" applyBorder="1" applyAlignment="1">
      <alignment vertical="center"/>
    </xf>
    <xf numFmtId="169" fontId="4" fillId="0" borderId="0" xfId="608" applyNumberFormat="1" applyFont="1" applyFill="1" applyBorder="1"/>
    <xf numFmtId="165" fontId="4" fillId="0" borderId="0" xfId="0" applyNumberFormat="1" applyFont="1" applyFill="1" applyBorder="1"/>
    <xf numFmtId="169" fontId="4" fillId="0" borderId="0" xfId="608" applyNumberFormat="1" applyFont="1" applyFill="1" applyBorder="1" applyAlignment="1">
      <alignment horizontal="right"/>
    </xf>
    <xf numFmtId="0" fontId="78" fillId="0" borderId="0" xfId="435" applyAlignment="1">
      <alignment horizontal="left"/>
    </xf>
    <xf numFmtId="5" fontId="4" fillId="0" borderId="0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8" fontId="4" fillId="0" borderId="0" xfId="328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66" fontId="5" fillId="0" borderId="0" xfId="452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168" fontId="11" fillId="0" borderId="0" xfId="328" applyNumberFormat="1" applyFont="1" applyFill="1"/>
    <xf numFmtId="165" fontId="4" fillId="0" borderId="15" xfId="0" applyNumberFormat="1" applyFont="1" applyFill="1" applyBorder="1" applyAlignment="1">
      <alignment vertical="center"/>
    </xf>
    <xf numFmtId="169" fontId="4" fillId="0" borderId="0" xfId="608" applyNumberFormat="1" applyFont="1" applyFill="1"/>
    <xf numFmtId="169" fontId="0" fillId="0" borderId="0" xfId="608" applyNumberFormat="1" applyFont="1" applyFill="1"/>
    <xf numFmtId="165" fontId="4" fillId="0" borderId="0" xfId="0" applyNumberFormat="1" applyFont="1" applyFill="1"/>
    <xf numFmtId="165" fontId="4" fillId="0" borderId="15" xfId="0" applyNumberFormat="1" applyFont="1" applyFill="1" applyBorder="1"/>
    <xf numFmtId="164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3" fontId="0" fillId="0" borderId="0" xfId="0" applyNumberFormat="1" applyFill="1"/>
    <xf numFmtId="0" fontId="5" fillId="0" borderId="0" xfId="0" quotePrefix="1" applyFont="1" applyFill="1" applyAlignment="1">
      <alignment horizontal="right"/>
    </xf>
    <xf numFmtId="5" fontId="4" fillId="0" borderId="15" xfId="0" applyNumberFormat="1" applyFont="1" applyFill="1" applyBorder="1" applyAlignment="1">
      <alignment horizontal="center"/>
    </xf>
    <xf numFmtId="165" fontId="4" fillId="0" borderId="15" xfId="328" applyNumberFormat="1" applyFont="1" applyFill="1" applyBorder="1" applyAlignment="1">
      <alignment horizontal="center"/>
    </xf>
    <xf numFmtId="169" fontId="4" fillId="0" borderId="17" xfId="608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center"/>
    </xf>
    <xf numFmtId="0" fontId="1" fillId="0" borderId="0" xfId="435" applyFont="1" applyFill="1"/>
    <xf numFmtId="0" fontId="9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5" fillId="0" borderId="0" xfId="452" applyNumberFormat="1" applyFont="1" applyFill="1" applyBorder="1" applyAlignment="1">
      <alignment horizontal="center" wrapText="1"/>
    </xf>
    <xf numFmtId="37" fontId="4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7" fillId="0" borderId="0" xfId="0" applyFont="1" applyFill="1" applyAlignment="1"/>
    <xf numFmtId="0" fontId="5" fillId="0" borderId="0" xfId="0" quotePrefix="1" applyFont="1" applyFill="1" applyAlignment="1"/>
    <xf numFmtId="0" fontId="5" fillId="0" borderId="0" xfId="0" applyFont="1" applyFill="1" applyAlignment="1"/>
    <xf numFmtId="166" fontId="4" fillId="0" borderId="15" xfId="0" quotePrefix="1" applyNumberFormat="1" applyFont="1" applyFill="1" applyBorder="1" applyAlignment="1">
      <alignment horizontal="center"/>
    </xf>
    <xf numFmtId="166" fontId="8" fillId="0" borderId="15" xfId="0" applyNumberFormat="1" applyFont="1" applyFill="1" applyBorder="1" applyAlignment="1"/>
    <xf numFmtId="166" fontId="4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18" xfId="0" applyFont="1" applyFill="1" applyBorder="1" applyAlignment="1">
      <alignment horizontal="center"/>
    </xf>
    <xf numFmtId="168" fontId="4" fillId="0" borderId="0" xfId="328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8" fontId="4" fillId="0" borderId="0" xfId="328" applyNumberFormat="1" applyFont="1" applyFill="1" applyAlignment="1">
      <alignment horizontal="center" vertical="center"/>
    </xf>
    <xf numFmtId="0" fontId="78" fillId="0" borderId="0" xfId="435" applyFill="1" applyBorder="1" applyAlignment="1">
      <alignment horizontal="center"/>
    </xf>
    <xf numFmtId="43" fontId="78" fillId="0" borderId="0" xfId="178" applyFont="1" applyFill="1"/>
  </cellXfs>
  <cellStyles count="978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2 2" xfId="9" xr:uid="{00000000-0005-0000-0000-000008000000}"/>
    <cellStyle name="20% - Accent2 2 2" xfId="10" xr:uid="{00000000-0005-0000-0000-000009000000}"/>
    <cellStyle name="20% - Accent2 3" xfId="11" xr:uid="{00000000-0005-0000-0000-00000A000000}"/>
    <cellStyle name="20% - Accent2 4" xfId="12" xr:uid="{00000000-0005-0000-0000-00000B000000}"/>
    <cellStyle name="20% - Accent2 5" xfId="13" xr:uid="{00000000-0005-0000-0000-00000C000000}"/>
    <cellStyle name="20% - Accent2 6" xfId="14" xr:uid="{00000000-0005-0000-0000-00000D000000}"/>
    <cellStyle name="20% - Accent3 2" xfId="15" xr:uid="{00000000-0005-0000-0000-00000E000000}"/>
    <cellStyle name="20% - Accent3 2 2" xfId="16" xr:uid="{00000000-0005-0000-0000-00000F000000}"/>
    <cellStyle name="20% - Accent3 3" xfId="17" xr:uid="{00000000-0005-0000-0000-000010000000}"/>
    <cellStyle name="20% - Accent3 4" xfId="18" xr:uid="{00000000-0005-0000-0000-000011000000}"/>
    <cellStyle name="20% - Accent3 5" xfId="19" xr:uid="{00000000-0005-0000-0000-000012000000}"/>
    <cellStyle name="20% - Accent3 6" xfId="20" xr:uid="{00000000-0005-0000-0000-000013000000}"/>
    <cellStyle name="20% - Accent3 7" xfId="21" xr:uid="{00000000-0005-0000-0000-000014000000}"/>
    <cellStyle name="20% - Accent3 8" xfId="22" xr:uid="{00000000-0005-0000-0000-000015000000}"/>
    <cellStyle name="20% - Accent4 2" xfId="23" xr:uid="{00000000-0005-0000-0000-000016000000}"/>
    <cellStyle name="20% - Accent4 2 2" xfId="24" xr:uid="{00000000-0005-0000-0000-000017000000}"/>
    <cellStyle name="20% - Accent4 3" xfId="25" xr:uid="{00000000-0005-0000-0000-000018000000}"/>
    <cellStyle name="20% - Accent4 4" xfId="26" xr:uid="{00000000-0005-0000-0000-000019000000}"/>
    <cellStyle name="20% - Accent4 5" xfId="27" xr:uid="{00000000-0005-0000-0000-00001A000000}"/>
    <cellStyle name="20% - Accent4 6" xfId="28" xr:uid="{00000000-0005-0000-0000-00001B000000}"/>
    <cellStyle name="20% - Accent4 7" xfId="29" xr:uid="{00000000-0005-0000-0000-00001C000000}"/>
    <cellStyle name="20% - Accent4 8" xfId="30" xr:uid="{00000000-0005-0000-0000-00001D000000}"/>
    <cellStyle name="20% - Accent5 2" xfId="31" xr:uid="{00000000-0005-0000-0000-00001E000000}"/>
    <cellStyle name="20% - Accent5 2 2" xfId="32" xr:uid="{00000000-0005-0000-0000-00001F000000}"/>
    <cellStyle name="20% - Accent5 3" xfId="33" xr:uid="{00000000-0005-0000-0000-000020000000}"/>
    <cellStyle name="20% - Accent5 4" xfId="34" xr:uid="{00000000-0005-0000-0000-000021000000}"/>
    <cellStyle name="20% - Accent5 5" xfId="35" xr:uid="{00000000-0005-0000-0000-000022000000}"/>
    <cellStyle name="20% - Accent5 6" xfId="36" xr:uid="{00000000-0005-0000-0000-000023000000}"/>
    <cellStyle name="20% - Accent6 2" xfId="37" xr:uid="{00000000-0005-0000-0000-000024000000}"/>
    <cellStyle name="20% - Accent6 2 2" xfId="38" xr:uid="{00000000-0005-0000-0000-000025000000}"/>
    <cellStyle name="20% - Accent6 3" xfId="39" xr:uid="{00000000-0005-0000-0000-000026000000}"/>
    <cellStyle name="20% - Accent6 4" xfId="40" xr:uid="{00000000-0005-0000-0000-000027000000}"/>
    <cellStyle name="20% - Accent6 5" xfId="41" xr:uid="{00000000-0005-0000-0000-000028000000}"/>
    <cellStyle name="20% - Accent6 6" xfId="42" xr:uid="{00000000-0005-0000-0000-000029000000}"/>
    <cellStyle name="40% - Accent1 2" xfId="43" xr:uid="{00000000-0005-0000-0000-00002A000000}"/>
    <cellStyle name="40% - Accent1 2 2" xfId="44" xr:uid="{00000000-0005-0000-0000-00002B000000}"/>
    <cellStyle name="40% - Accent1 3" xfId="45" xr:uid="{00000000-0005-0000-0000-00002C000000}"/>
    <cellStyle name="40% - Accent1 4" xfId="46" xr:uid="{00000000-0005-0000-0000-00002D000000}"/>
    <cellStyle name="40% - Accent1 5" xfId="47" xr:uid="{00000000-0005-0000-0000-00002E000000}"/>
    <cellStyle name="40% - Accent1 6" xfId="48" xr:uid="{00000000-0005-0000-0000-00002F000000}"/>
    <cellStyle name="40% - Accent1 7" xfId="49" xr:uid="{00000000-0005-0000-0000-000030000000}"/>
    <cellStyle name="40% - Accent1 8" xfId="50" xr:uid="{00000000-0005-0000-0000-000031000000}"/>
    <cellStyle name="40% - Accent2 2" xfId="51" xr:uid="{00000000-0005-0000-0000-000032000000}"/>
    <cellStyle name="40% - Accent2 2 2" xfId="52" xr:uid="{00000000-0005-0000-0000-000033000000}"/>
    <cellStyle name="40% - Accent2 3" xfId="53" xr:uid="{00000000-0005-0000-0000-000034000000}"/>
    <cellStyle name="40% - Accent2 4" xfId="54" xr:uid="{00000000-0005-0000-0000-000035000000}"/>
    <cellStyle name="40% - Accent2 5" xfId="55" xr:uid="{00000000-0005-0000-0000-000036000000}"/>
    <cellStyle name="40% - Accent2 6" xfId="56" xr:uid="{00000000-0005-0000-0000-000037000000}"/>
    <cellStyle name="40% - Accent3 2" xfId="57" xr:uid="{00000000-0005-0000-0000-000038000000}"/>
    <cellStyle name="40% - Accent3 2 2" xfId="58" xr:uid="{00000000-0005-0000-0000-000039000000}"/>
    <cellStyle name="40% - Accent3 3" xfId="59" xr:uid="{00000000-0005-0000-0000-00003A000000}"/>
    <cellStyle name="40% - Accent3 4" xfId="60" xr:uid="{00000000-0005-0000-0000-00003B000000}"/>
    <cellStyle name="40% - Accent3 5" xfId="61" xr:uid="{00000000-0005-0000-0000-00003C000000}"/>
    <cellStyle name="40% - Accent3 6" xfId="62" xr:uid="{00000000-0005-0000-0000-00003D000000}"/>
    <cellStyle name="40% - Accent3 7" xfId="63" xr:uid="{00000000-0005-0000-0000-00003E000000}"/>
    <cellStyle name="40% - Accent3 8" xfId="64" xr:uid="{00000000-0005-0000-0000-00003F000000}"/>
    <cellStyle name="40% - Accent4 2" xfId="65" xr:uid="{00000000-0005-0000-0000-000040000000}"/>
    <cellStyle name="40% - Accent4 2 2" xfId="66" xr:uid="{00000000-0005-0000-0000-000041000000}"/>
    <cellStyle name="40% - Accent4 3" xfId="67" xr:uid="{00000000-0005-0000-0000-000042000000}"/>
    <cellStyle name="40% - Accent4 4" xfId="68" xr:uid="{00000000-0005-0000-0000-000043000000}"/>
    <cellStyle name="40% - Accent4 5" xfId="69" xr:uid="{00000000-0005-0000-0000-000044000000}"/>
    <cellStyle name="40% - Accent4 6" xfId="70" xr:uid="{00000000-0005-0000-0000-000045000000}"/>
    <cellStyle name="40% - Accent4 7" xfId="71" xr:uid="{00000000-0005-0000-0000-000046000000}"/>
    <cellStyle name="40% - Accent4 8" xfId="72" xr:uid="{00000000-0005-0000-0000-000047000000}"/>
    <cellStyle name="40% - Accent5 2" xfId="73" xr:uid="{00000000-0005-0000-0000-000048000000}"/>
    <cellStyle name="40% - Accent5 2 2" xfId="74" xr:uid="{00000000-0005-0000-0000-000049000000}"/>
    <cellStyle name="40% - Accent5 3" xfId="75" xr:uid="{00000000-0005-0000-0000-00004A000000}"/>
    <cellStyle name="40% - Accent5 4" xfId="76" xr:uid="{00000000-0005-0000-0000-00004B000000}"/>
    <cellStyle name="40% - Accent5 5" xfId="77" xr:uid="{00000000-0005-0000-0000-00004C000000}"/>
    <cellStyle name="40% - Accent5 6" xfId="78" xr:uid="{00000000-0005-0000-0000-00004D000000}"/>
    <cellStyle name="40% - Accent6 2" xfId="79" xr:uid="{00000000-0005-0000-0000-00004E000000}"/>
    <cellStyle name="40% - Accent6 2 2" xfId="80" xr:uid="{00000000-0005-0000-0000-00004F000000}"/>
    <cellStyle name="40% - Accent6 3" xfId="81" xr:uid="{00000000-0005-0000-0000-000050000000}"/>
    <cellStyle name="40% - Accent6 4" xfId="82" xr:uid="{00000000-0005-0000-0000-000051000000}"/>
    <cellStyle name="40% - Accent6 5" xfId="83" xr:uid="{00000000-0005-0000-0000-000052000000}"/>
    <cellStyle name="40% - Accent6 6" xfId="84" xr:uid="{00000000-0005-0000-0000-000053000000}"/>
    <cellStyle name="40% - Accent6 7" xfId="85" xr:uid="{00000000-0005-0000-0000-000054000000}"/>
    <cellStyle name="40% - Accent6 8" xfId="86" xr:uid="{00000000-0005-0000-0000-000055000000}"/>
    <cellStyle name="60% - Accent1 2" xfId="87" xr:uid="{00000000-0005-0000-0000-000056000000}"/>
    <cellStyle name="60% - Accent1 3" xfId="88" xr:uid="{00000000-0005-0000-0000-000057000000}"/>
    <cellStyle name="60% - Accent1 4" xfId="89" xr:uid="{00000000-0005-0000-0000-000058000000}"/>
    <cellStyle name="60% - Accent1 5" xfId="90" xr:uid="{00000000-0005-0000-0000-000059000000}"/>
    <cellStyle name="60% - Accent1 6" xfId="91" xr:uid="{00000000-0005-0000-0000-00005A000000}"/>
    <cellStyle name="60% - Accent1 7" xfId="92" xr:uid="{00000000-0005-0000-0000-00005B000000}"/>
    <cellStyle name="60% - Accent1 8" xfId="93" xr:uid="{00000000-0005-0000-0000-00005C000000}"/>
    <cellStyle name="60% - Accent2 2" xfId="94" xr:uid="{00000000-0005-0000-0000-00005D000000}"/>
    <cellStyle name="60% - Accent2 3" xfId="95" xr:uid="{00000000-0005-0000-0000-00005E000000}"/>
    <cellStyle name="60% - Accent2 4" xfId="96" xr:uid="{00000000-0005-0000-0000-00005F000000}"/>
    <cellStyle name="60% - Accent2 5" xfId="97" xr:uid="{00000000-0005-0000-0000-000060000000}"/>
    <cellStyle name="60% - Accent2 6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3 4" xfId="101" xr:uid="{00000000-0005-0000-0000-000064000000}"/>
    <cellStyle name="60% - Accent3 5" xfId="102" xr:uid="{00000000-0005-0000-0000-000065000000}"/>
    <cellStyle name="60% - Accent3 6" xfId="103" xr:uid="{00000000-0005-0000-0000-000066000000}"/>
    <cellStyle name="60% - Accent3 7" xfId="104" xr:uid="{00000000-0005-0000-0000-000067000000}"/>
    <cellStyle name="60% - Accent3 8" xfId="105" xr:uid="{00000000-0005-0000-0000-000068000000}"/>
    <cellStyle name="60% - Accent4 2" xfId="106" xr:uid="{00000000-0005-0000-0000-000069000000}"/>
    <cellStyle name="60% - Accent4 3" xfId="107" xr:uid="{00000000-0005-0000-0000-00006A000000}"/>
    <cellStyle name="60% - Accent4 4" xfId="108" xr:uid="{00000000-0005-0000-0000-00006B000000}"/>
    <cellStyle name="60% - Accent4 5" xfId="109" xr:uid="{00000000-0005-0000-0000-00006C000000}"/>
    <cellStyle name="60% - Accent4 6" xfId="110" xr:uid="{00000000-0005-0000-0000-00006D000000}"/>
    <cellStyle name="60% - Accent4 7" xfId="111" xr:uid="{00000000-0005-0000-0000-00006E000000}"/>
    <cellStyle name="60% - Accent4 8" xfId="112" xr:uid="{00000000-0005-0000-0000-00006F000000}"/>
    <cellStyle name="60% - Accent5 2" xfId="113" xr:uid="{00000000-0005-0000-0000-000070000000}"/>
    <cellStyle name="60% - Accent5 3" xfId="114" xr:uid="{00000000-0005-0000-0000-000071000000}"/>
    <cellStyle name="60% - Accent5 4" xfId="115" xr:uid="{00000000-0005-0000-0000-000072000000}"/>
    <cellStyle name="60% - Accent5 5" xfId="116" xr:uid="{00000000-0005-0000-0000-000073000000}"/>
    <cellStyle name="60% - Accent5 6" xfId="117" xr:uid="{00000000-0005-0000-0000-000074000000}"/>
    <cellStyle name="60% - Accent6 2" xfId="118" xr:uid="{00000000-0005-0000-0000-000075000000}"/>
    <cellStyle name="60% - Accent6 3" xfId="119" xr:uid="{00000000-0005-0000-0000-000076000000}"/>
    <cellStyle name="60% - Accent6 4" xfId="120" xr:uid="{00000000-0005-0000-0000-000077000000}"/>
    <cellStyle name="60% - Accent6 5" xfId="121" xr:uid="{00000000-0005-0000-0000-000078000000}"/>
    <cellStyle name="60% - Accent6 6" xfId="122" xr:uid="{00000000-0005-0000-0000-000079000000}"/>
    <cellStyle name="60% - Accent6 7" xfId="123" xr:uid="{00000000-0005-0000-0000-00007A000000}"/>
    <cellStyle name="60% - Accent6 8" xfId="124" xr:uid="{00000000-0005-0000-0000-00007B000000}"/>
    <cellStyle name="Accent1 2" xfId="125" xr:uid="{00000000-0005-0000-0000-00007C000000}"/>
    <cellStyle name="Accent1 3" xfId="126" xr:uid="{00000000-0005-0000-0000-00007D000000}"/>
    <cellStyle name="Accent1 4" xfId="127" xr:uid="{00000000-0005-0000-0000-00007E000000}"/>
    <cellStyle name="Accent1 5" xfId="128" xr:uid="{00000000-0005-0000-0000-00007F000000}"/>
    <cellStyle name="Accent1 6" xfId="129" xr:uid="{00000000-0005-0000-0000-000080000000}"/>
    <cellStyle name="Accent1 7" xfId="130" xr:uid="{00000000-0005-0000-0000-000081000000}"/>
    <cellStyle name="Accent1 8" xfId="131" xr:uid="{00000000-0005-0000-0000-000082000000}"/>
    <cellStyle name="Accent2 2" xfId="132" xr:uid="{00000000-0005-0000-0000-000083000000}"/>
    <cellStyle name="Accent2 3" xfId="133" xr:uid="{00000000-0005-0000-0000-000084000000}"/>
    <cellStyle name="Accent2 4" xfId="134" xr:uid="{00000000-0005-0000-0000-000085000000}"/>
    <cellStyle name="Accent2 5" xfId="135" xr:uid="{00000000-0005-0000-0000-000086000000}"/>
    <cellStyle name="Accent2 6" xfId="136" xr:uid="{00000000-0005-0000-0000-000087000000}"/>
    <cellStyle name="Accent3 2" xfId="137" xr:uid="{00000000-0005-0000-0000-000088000000}"/>
    <cellStyle name="Accent3 3" xfId="138" xr:uid="{00000000-0005-0000-0000-000089000000}"/>
    <cellStyle name="Accent3 4" xfId="139" xr:uid="{00000000-0005-0000-0000-00008A000000}"/>
    <cellStyle name="Accent3 5" xfId="140" xr:uid="{00000000-0005-0000-0000-00008B000000}"/>
    <cellStyle name="Accent3 6" xfId="141" xr:uid="{00000000-0005-0000-0000-00008C000000}"/>
    <cellStyle name="Accent4 2" xfId="142" xr:uid="{00000000-0005-0000-0000-00008D000000}"/>
    <cellStyle name="Accent4 3" xfId="143" xr:uid="{00000000-0005-0000-0000-00008E000000}"/>
    <cellStyle name="Accent4 4" xfId="144" xr:uid="{00000000-0005-0000-0000-00008F000000}"/>
    <cellStyle name="Accent4 5" xfId="145" xr:uid="{00000000-0005-0000-0000-000090000000}"/>
    <cellStyle name="Accent4 6" xfId="146" xr:uid="{00000000-0005-0000-0000-000091000000}"/>
    <cellStyle name="Accent4 7" xfId="147" xr:uid="{00000000-0005-0000-0000-000092000000}"/>
    <cellStyle name="Accent4 8" xfId="148" xr:uid="{00000000-0005-0000-0000-000093000000}"/>
    <cellStyle name="Accent5 2" xfId="149" xr:uid="{00000000-0005-0000-0000-000094000000}"/>
    <cellStyle name="Accent5 3" xfId="150" xr:uid="{00000000-0005-0000-0000-000095000000}"/>
    <cellStyle name="Accent5 4" xfId="151" xr:uid="{00000000-0005-0000-0000-000096000000}"/>
    <cellStyle name="Accent5 5" xfId="152" xr:uid="{00000000-0005-0000-0000-000097000000}"/>
    <cellStyle name="Accent5 6" xfId="153" xr:uid="{00000000-0005-0000-0000-000098000000}"/>
    <cellStyle name="Accent6 2" xfId="154" xr:uid="{00000000-0005-0000-0000-000099000000}"/>
    <cellStyle name="Accent6 3" xfId="155" xr:uid="{00000000-0005-0000-0000-00009A000000}"/>
    <cellStyle name="Accent6 4" xfId="156" xr:uid="{00000000-0005-0000-0000-00009B000000}"/>
    <cellStyle name="Accent6 5" xfId="157" xr:uid="{00000000-0005-0000-0000-00009C000000}"/>
    <cellStyle name="Accent6 6" xfId="158" xr:uid="{00000000-0005-0000-0000-00009D000000}"/>
    <cellStyle name="Bad 2" xfId="159" xr:uid="{00000000-0005-0000-0000-00009E000000}"/>
    <cellStyle name="Bad 3" xfId="160" xr:uid="{00000000-0005-0000-0000-00009F000000}"/>
    <cellStyle name="Bad 4" xfId="161" xr:uid="{00000000-0005-0000-0000-0000A0000000}"/>
    <cellStyle name="Bad 5" xfId="162" xr:uid="{00000000-0005-0000-0000-0000A1000000}"/>
    <cellStyle name="Bad 6" xfId="163" xr:uid="{00000000-0005-0000-0000-0000A2000000}"/>
    <cellStyle name="Bad 7" xfId="164" xr:uid="{00000000-0005-0000-0000-0000A3000000}"/>
    <cellStyle name="Bad 8" xfId="165" xr:uid="{00000000-0005-0000-0000-0000A4000000}"/>
    <cellStyle name="Calculation 2" xfId="166" xr:uid="{00000000-0005-0000-0000-0000A5000000}"/>
    <cellStyle name="Calculation 3" xfId="167" xr:uid="{00000000-0005-0000-0000-0000A6000000}"/>
    <cellStyle name="Calculation 4" xfId="168" xr:uid="{00000000-0005-0000-0000-0000A7000000}"/>
    <cellStyle name="Calculation 5" xfId="169" xr:uid="{00000000-0005-0000-0000-0000A8000000}"/>
    <cellStyle name="Calculation 6" xfId="170" xr:uid="{00000000-0005-0000-0000-0000A9000000}"/>
    <cellStyle name="Check Cell 2" xfId="171" xr:uid="{00000000-0005-0000-0000-0000AA000000}"/>
    <cellStyle name="Check Cell 3" xfId="172" xr:uid="{00000000-0005-0000-0000-0000AB000000}"/>
    <cellStyle name="Check Cell 4" xfId="173" xr:uid="{00000000-0005-0000-0000-0000AC000000}"/>
    <cellStyle name="Check Cell 5" xfId="174" xr:uid="{00000000-0005-0000-0000-0000AD000000}"/>
    <cellStyle name="Check Cell 6" xfId="175" xr:uid="{00000000-0005-0000-0000-0000AE000000}"/>
    <cellStyle name="Check Cell 7" xfId="176" xr:uid="{00000000-0005-0000-0000-0000AF000000}"/>
    <cellStyle name="Check Cell 8" xfId="177" xr:uid="{00000000-0005-0000-0000-0000B0000000}"/>
    <cellStyle name="Comma" xfId="178" builtinId="3"/>
    <cellStyle name="Comma 10" xfId="179" xr:uid="{00000000-0005-0000-0000-0000B2000000}"/>
    <cellStyle name="Comma 11" xfId="180" xr:uid="{00000000-0005-0000-0000-0000B3000000}"/>
    <cellStyle name="Comma 12" xfId="181" xr:uid="{00000000-0005-0000-0000-0000B4000000}"/>
    <cellStyle name="Comma 13" xfId="182" xr:uid="{00000000-0005-0000-0000-0000B5000000}"/>
    <cellStyle name="Comma 14" xfId="183" xr:uid="{00000000-0005-0000-0000-0000B6000000}"/>
    <cellStyle name="Comma 15" xfId="184" xr:uid="{00000000-0005-0000-0000-0000B7000000}"/>
    <cellStyle name="Comma 16" xfId="185" xr:uid="{00000000-0005-0000-0000-0000B8000000}"/>
    <cellStyle name="Comma 17" xfId="186" xr:uid="{00000000-0005-0000-0000-0000B9000000}"/>
    <cellStyle name="Comma 17 2" xfId="187" xr:uid="{00000000-0005-0000-0000-0000BA000000}"/>
    <cellStyle name="Comma 17 2 2" xfId="188" xr:uid="{00000000-0005-0000-0000-0000BB000000}"/>
    <cellStyle name="Comma 17 2 2 2" xfId="189" xr:uid="{00000000-0005-0000-0000-0000BC000000}"/>
    <cellStyle name="Comma 17 2 2 2 2" xfId="728" xr:uid="{00000000-0005-0000-0000-0000BD000000}"/>
    <cellStyle name="Comma 17 2 2 3" xfId="727" xr:uid="{00000000-0005-0000-0000-0000BE000000}"/>
    <cellStyle name="Comma 17 2 3" xfId="190" xr:uid="{00000000-0005-0000-0000-0000BF000000}"/>
    <cellStyle name="Comma 17 2 3 2" xfId="729" xr:uid="{00000000-0005-0000-0000-0000C0000000}"/>
    <cellStyle name="Comma 17 2 4" xfId="726" xr:uid="{00000000-0005-0000-0000-0000C1000000}"/>
    <cellStyle name="Comma 17 3" xfId="191" xr:uid="{00000000-0005-0000-0000-0000C2000000}"/>
    <cellStyle name="Comma 17 3 2" xfId="192" xr:uid="{00000000-0005-0000-0000-0000C3000000}"/>
    <cellStyle name="Comma 17 3 2 2" xfId="193" xr:uid="{00000000-0005-0000-0000-0000C4000000}"/>
    <cellStyle name="Comma 17 3 2 2 2" xfId="732" xr:uid="{00000000-0005-0000-0000-0000C5000000}"/>
    <cellStyle name="Comma 17 3 2 3" xfId="731" xr:uid="{00000000-0005-0000-0000-0000C6000000}"/>
    <cellStyle name="Comma 17 3 3" xfId="194" xr:uid="{00000000-0005-0000-0000-0000C7000000}"/>
    <cellStyle name="Comma 17 3 3 2" xfId="733" xr:uid="{00000000-0005-0000-0000-0000C8000000}"/>
    <cellStyle name="Comma 17 3 4" xfId="730" xr:uid="{00000000-0005-0000-0000-0000C9000000}"/>
    <cellStyle name="Comma 17 4" xfId="195" xr:uid="{00000000-0005-0000-0000-0000CA000000}"/>
    <cellStyle name="Comma 17 4 2" xfId="196" xr:uid="{00000000-0005-0000-0000-0000CB000000}"/>
    <cellStyle name="Comma 17 4 2 2" xfId="735" xr:uid="{00000000-0005-0000-0000-0000CC000000}"/>
    <cellStyle name="Comma 17 4 3" xfId="734" xr:uid="{00000000-0005-0000-0000-0000CD000000}"/>
    <cellStyle name="Comma 17 5" xfId="197" xr:uid="{00000000-0005-0000-0000-0000CE000000}"/>
    <cellStyle name="Comma 17 5 2" xfId="736" xr:uid="{00000000-0005-0000-0000-0000CF000000}"/>
    <cellStyle name="Comma 17 6" xfId="725" xr:uid="{00000000-0005-0000-0000-0000D0000000}"/>
    <cellStyle name="Comma 18" xfId="198" xr:uid="{00000000-0005-0000-0000-0000D1000000}"/>
    <cellStyle name="Comma 19" xfId="199" xr:uid="{00000000-0005-0000-0000-0000D2000000}"/>
    <cellStyle name="Comma 2" xfId="200" xr:uid="{00000000-0005-0000-0000-0000D3000000}"/>
    <cellStyle name="Comma 2 2" xfId="201" xr:uid="{00000000-0005-0000-0000-0000D4000000}"/>
    <cellStyle name="Comma 2 2 2" xfId="202" xr:uid="{00000000-0005-0000-0000-0000D5000000}"/>
    <cellStyle name="Comma 2 2 3" xfId="203" xr:uid="{00000000-0005-0000-0000-0000D6000000}"/>
    <cellStyle name="Comma 2 3" xfId="204" xr:uid="{00000000-0005-0000-0000-0000D7000000}"/>
    <cellStyle name="Comma 2 4" xfId="205" xr:uid="{00000000-0005-0000-0000-0000D8000000}"/>
    <cellStyle name="Comma 2 5" xfId="206" xr:uid="{00000000-0005-0000-0000-0000D9000000}"/>
    <cellStyle name="Comma 2_Allocators" xfId="207" xr:uid="{00000000-0005-0000-0000-0000DA000000}"/>
    <cellStyle name="Comma 20" xfId="208" xr:uid="{00000000-0005-0000-0000-0000DB000000}"/>
    <cellStyle name="Comma 20 2" xfId="209" xr:uid="{00000000-0005-0000-0000-0000DC000000}"/>
    <cellStyle name="Comma 20 2 2" xfId="210" xr:uid="{00000000-0005-0000-0000-0000DD000000}"/>
    <cellStyle name="Comma 20 2 2 2" xfId="211" xr:uid="{00000000-0005-0000-0000-0000DE000000}"/>
    <cellStyle name="Comma 20 2 2 2 2" xfId="740" xr:uid="{00000000-0005-0000-0000-0000DF000000}"/>
    <cellStyle name="Comma 20 2 2 3" xfId="739" xr:uid="{00000000-0005-0000-0000-0000E0000000}"/>
    <cellStyle name="Comma 20 2 3" xfId="212" xr:uid="{00000000-0005-0000-0000-0000E1000000}"/>
    <cellStyle name="Comma 20 2 3 2" xfId="741" xr:uid="{00000000-0005-0000-0000-0000E2000000}"/>
    <cellStyle name="Comma 20 2 4" xfId="738" xr:uid="{00000000-0005-0000-0000-0000E3000000}"/>
    <cellStyle name="Comma 20 3" xfId="213" xr:uid="{00000000-0005-0000-0000-0000E4000000}"/>
    <cellStyle name="Comma 20 3 2" xfId="214" xr:uid="{00000000-0005-0000-0000-0000E5000000}"/>
    <cellStyle name="Comma 20 3 2 2" xfId="215" xr:uid="{00000000-0005-0000-0000-0000E6000000}"/>
    <cellStyle name="Comma 20 3 2 2 2" xfId="744" xr:uid="{00000000-0005-0000-0000-0000E7000000}"/>
    <cellStyle name="Comma 20 3 2 3" xfId="743" xr:uid="{00000000-0005-0000-0000-0000E8000000}"/>
    <cellStyle name="Comma 20 3 3" xfId="216" xr:uid="{00000000-0005-0000-0000-0000E9000000}"/>
    <cellStyle name="Comma 20 3 3 2" xfId="745" xr:uid="{00000000-0005-0000-0000-0000EA000000}"/>
    <cellStyle name="Comma 20 3 4" xfId="742" xr:uid="{00000000-0005-0000-0000-0000EB000000}"/>
    <cellStyle name="Comma 20 4" xfId="217" xr:uid="{00000000-0005-0000-0000-0000EC000000}"/>
    <cellStyle name="Comma 20 4 2" xfId="218" xr:uid="{00000000-0005-0000-0000-0000ED000000}"/>
    <cellStyle name="Comma 20 4 2 2" xfId="747" xr:uid="{00000000-0005-0000-0000-0000EE000000}"/>
    <cellStyle name="Comma 20 4 3" xfId="746" xr:uid="{00000000-0005-0000-0000-0000EF000000}"/>
    <cellStyle name="Comma 20 5" xfId="219" xr:uid="{00000000-0005-0000-0000-0000F0000000}"/>
    <cellStyle name="Comma 20 5 2" xfId="748" xr:uid="{00000000-0005-0000-0000-0000F1000000}"/>
    <cellStyle name="Comma 20 6" xfId="737" xr:uid="{00000000-0005-0000-0000-0000F2000000}"/>
    <cellStyle name="Comma 21" xfId="220" xr:uid="{00000000-0005-0000-0000-0000F3000000}"/>
    <cellStyle name="Comma 22" xfId="724" xr:uid="{00000000-0005-0000-0000-0000F4000000}"/>
    <cellStyle name="Comma 3" xfId="221" xr:uid="{00000000-0005-0000-0000-0000F5000000}"/>
    <cellStyle name="Comma 3 10" xfId="222" xr:uid="{00000000-0005-0000-0000-0000F6000000}"/>
    <cellStyle name="Comma 3 10 2" xfId="223" xr:uid="{00000000-0005-0000-0000-0000F7000000}"/>
    <cellStyle name="Comma 3 10 2 2" xfId="224" xr:uid="{00000000-0005-0000-0000-0000F8000000}"/>
    <cellStyle name="Comma 3 10 2 2 2" xfId="225" xr:uid="{00000000-0005-0000-0000-0000F9000000}"/>
    <cellStyle name="Comma 3 10 2 2 2 2" xfId="752" xr:uid="{00000000-0005-0000-0000-0000FA000000}"/>
    <cellStyle name="Comma 3 10 2 2 3" xfId="751" xr:uid="{00000000-0005-0000-0000-0000FB000000}"/>
    <cellStyle name="Comma 3 10 2 3" xfId="226" xr:uid="{00000000-0005-0000-0000-0000FC000000}"/>
    <cellStyle name="Comma 3 10 2 3 2" xfId="753" xr:uid="{00000000-0005-0000-0000-0000FD000000}"/>
    <cellStyle name="Comma 3 10 2 4" xfId="750" xr:uid="{00000000-0005-0000-0000-0000FE000000}"/>
    <cellStyle name="Comma 3 10 3" xfId="227" xr:uid="{00000000-0005-0000-0000-0000FF000000}"/>
    <cellStyle name="Comma 3 10 3 2" xfId="228" xr:uid="{00000000-0005-0000-0000-000000010000}"/>
    <cellStyle name="Comma 3 10 3 2 2" xfId="229" xr:uid="{00000000-0005-0000-0000-000001010000}"/>
    <cellStyle name="Comma 3 10 3 2 2 2" xfId="756" xr:uid="{00000000-0005-0000-0000-000002010000}"/>
    <cellStyle name="Comma 3 10 3 2 3" xfId="755" xr:uid="{00000000-0005-0000-0000-000003010000}"/>
    <cellStyle name="Comma 3 10 3 3" xfId="230" xr:uid="{00000000-0005-0000-0000-000004010000}"/>
    <cellStyle name="Comma 3 10 3 3 2" xfId="757" xr:uid="{00000000-0005-0000-0000-000005010000}"/>
    <cellStyle name="Comma 3 10 3 4" xfId="754" xr:uid="{00000000-0005-0000-0000-000006010000}"/>
    <cellStyle name="Comma 3 10 4" xfId="231" xr:uid="{00000000-0005-0000-0000-000007010000}"/>
    <cellStyle name="Comma 3 10 4 2" xfId="232" xr:uid="{00000000-0005-0000-0000-000008010000}"/>
    <cellStyle name="Comma 3 10 4 2 2" xfId="759" xr:uid="{00000000-0005-0000-0000-000009010000}"/>
    <cellStyle name="Comma 3 10 4 3" xfId="758" xr:uid="{00000000-0005-0000-0000-00000A010000}"/>
    <cellStyle name="Comma 3 10 5" xfId="233" xr:uid="{00000000-0005-0000-0000-00000B010000}"/>
    <cellStyle name="Comma 3 10 5 2" xfId="760" xr:uid="{00000000-0005-0000-0000-00000C010000}"/>
    <cellStyle name="Comma 3 10 6" xfId="749" xr:uid="{00000000-0005-0000-0000-00000D010000}"/>
    <cellStyle name="Comma 3 11" xfId="234" xr:uid="{00000000-0005-0000-0000-00000E010000}"/>
    <cellStyle name="Comma 3 12" xfId="235" xr:uid="{00000000-0005-0000-0000-00000F010000}"/>
    <cellStyle name="Comma 3 12 2" xfId="236" xr:uid="{00000000-0005-0000-0000-000010010000}"/>
    <cellStyle name="Comma 3 12 2 2" xfId="237" xr:uid="{00000000-0005-0000-0000-000011010000}"/>
    <cellStyle name="Comma 3 12 2 2 2" xfId="763" xr:uid="{00000000-0005-0000-0000-000012010000}"/>
    <cellStyle name="Comma 3 12 2 3" xfId="762" xr:uid="{00000000-0005-0000-0000-000013010000}"/>
    <cellStyle name="Comma 3 12 3" xfId="238" xr:uid="{00000000-0005-0000-0000-000014010000}"/>
    <cellStyle name="Comma 3 12 3 2" xfId="764" xr:uid="{00000000-0005-0000-0000-000015010000}"/>
    <cellStyle name="Comma 3 12 4" xfId="761" xr:uid="{00000000-0005-0000-0000-000016010000}"/>
    <cellStyle name="Comma 3 13" xfId="239" xr:uid="{00000000-0005-0000-0000-000017010000}"/>
    <cellStyle name="Comma 3 2" xfId="240" xr:uid="{00000000-0005-0000-0000-000018010000}"/>
    <cellStyle name="Comma 3 3" xfId="241" xr:uid="{00000000-0005-0000-0000-000019010000}"/>
    <cellStyle name="Comma 3 4" xfId="242" xr:uid="{00000000-0005-0000-0000-00001A010000}"/>
    <cellStyle name="Comma 3 4 2" xfId="243" xr:uid="{00000000-0005-0000-0000-00001B010000}"/>
    <cellStyle name="Comma 3 4 2 2" xfId="244" xr:uid="{00000000-0005-0000-0000-00001C010000}"/>
    <cellStyle name="Comma 3 4 2 2 2" xfId="245" xr:uid="{00000000-0005-0000-0000-00001D010000}"/>
    <cellStyle name="Comma 3 4 2 2 2 2" xfId="768" xr:uid="{00000000-0005-0000-0000-00001E010000}"/>
    <cellStyle name="Comma 3 4 2 2 3" xfId="767" xr:uid="{00000000-0005-0000-0000-00001F010000}"/>
    <cellStyle name="Comma 3 4 2 3" xfId="246" xr:uid="{00000000-0005-0000-0000-000020010000}"/>
    <cellStyle name="Comma 3 4 2 3 2" xfId="769" xr:uid="{00000000-0005-0000-0000-000021010000}"/>
    <cellStyle name="Comma 3 4 2 4" xfId="766" xr:uid="{00000000-0005-0000-0000-000022010000}"/>
    <cellStyle name="Comma 3 4 3" xfId="247" xr:uid="{00000000-0005-0000-0000-000023010000}"/>
    <cellStyle name="Comma 3 4 3 2" xfId="248" xr:uid="{00000000-0005-0000-0000-000024010000}"/>
    <cellStyle name="Comma 3 4 3 2 2" xfId="249" xr:uid="{00000000-0005-0000-0000-000025010000}"/>
    <cellStyle name="Comma 3 4 3 2 2 2" xfId="772" xr:uid="{00000000-0005-0000-0000-000026010000}"/>
    <cellStyle name="Comma 3 4 3 2 3" xfId="771" xr:uid="{00000000-0005-0000-0000-000027010000}"/>
    <cellStyle name="Comma 3 4 3 3" xfId="250" xr:uid="{00000000-0005-0000-0000-000028010000}"/>
    <cellStyle name="Comma 3 4 3 3 2" xfId="773" xr:uid="{00000000-0005-0000-0000-000029010000}"/>
    <cellStyle name="Comma 3 4 3 4" xfId="770" xr:uid="{00000000-0005-0000-0000-00002A010000}"/>
    <cellStyle name="Comma 3 4 4" xfId="251" xr:uid="{00000000-0005-0000-0000-00002B010000}"/>
    <cellStyle name="Comma 3 4 4 2" xfId="252" xr:uid="{00000000-0005-0000-0000-00002C010000}"/>
    <cellStyle name="Comma 3 4 4 2 2" xfId="775" xr:uid="{00000000-0005-0000-0000-00002D010000}"/>
    <cellStyle name="Comma 3 4 4 3" xfId="774" xr:uid="{00000000-0005-0000-0000-00002E010000}"/>
    <cellStyle name="Comma 3 4 5" xfId="253" xr:uid="{00000000-0005-0000-0000-00002F010000}"/>
    <cellStyle name="Comma 3 4 5 2" xfId="776" xr:uid="{00000000-0005-0000-0000-000030010000}"/>
    <cellStyle name="Comma 3 4 6" xfId="765" xr:uid="{00000000-0005-0000-0000-000031010000}"/>
    <cellStyle name="Comma 3 5" xfId="254" xr:uid="{00000000-0005-0000-0000-000032010000}"/>
    <cellStyle name="Comma 3 5 2" xfId="255" xr:uid="{00000000-0005-0000-0000-000033010000}"/>
    <cellStyle name="Comma 3 5 2 2" xfId="256" xr:uid="{00000000-0005-0000-0000-000034010000}"/>
    <cellStyle name="Comma 3 5 2 2 2" xfId="257" xr:uid="{00000000-0005-0000-0000-000035010000}"/>
    <cellStyle name="Comma 3 5 2 2 2 2" xfId="780" xr:uid="{00000000-0005-0000-0000-000036010000}"/>
    <cellStyle name="Comma 3 5 2 2 3" xfId="779" xr:uid="{00000000-0005-0000-0000-000037010000}"/>
    <cellStyle name="Comma 3 5 2 3" xfId="258" xr:uid="{00000000-0005-0000-0000-000038010000}"/>
    <cellStyle name="Comma 3 5 2 3 2" xfId="781" xr:uid="{00000000-0005-0000-0000-000039010000}"/>
    <cellStyle name="Comma 3 5 2 4" xfId="778" xr:uid="{00000000-0005-0000-0000-00003A010000}"/>
    <cellStyle name="Comma 3 5 3" xfId="259" xr:uid="{00000000-0005-0000-0000-00003B010000}"/>
    <cellStyle name="Comma 3 5 3 2" xfId="260" xr:uid="{00000000-0005-0000-0000-00003C010000}"/>
    <cellStyle name="Comma 3 5 3 2 2" xfId="261" xr:uid="{00000000-0005-0000-0000-00003D010000}"/>
    <cellStyle name="Comma 3 5 3 2 2 2" xfId="784" xr:uid="{00000000-0005-0000-0000-00003E010000}"/>
    <cellStyle name="Comma 3 5 3 2 3" xfId="783" xr:uid="{00000000-0005-0000-0000-00003F010000}"/>
    <cellStyle name="Comma 3 5 3 3" xfId="262" xr:uid="{00000000-0005-0000-0000-000040010000}"/>
    <cellStyle name="Comma 3 5 3 3 2" xfId="785" xr:uid="{00000000-0005-0000-0000-000041010000}"/>
    <cellStyle name="Comma 3 5 3 4" xfId="782" xr:uid="{00000000-0005-0000-0000-000042010000}"/>
    <cellStyle name="Comma 3 5 4" xfId="263" xr:uid="{00000000-0005-0000-0000-000043010000}"/>
    <cellStyle name="Comma 3 5 4 2" xfId="264" xr:uid="{00000000-0005-0000-0000-000044010000}"/>
    <cellStyle name="Comma 3 5 4 2 2" xfId="787" xr:uid="{00000000-0005-0000-0000-000045010000}"/>
    <cellStyle name="Comma 3 5 4 3" xfId="786" xr:uid="{00000000-0005-0000-0000-000046010000}"/>
    <cellStyle name="Comma 3 5 5" xfId="265" xr:uid="{00000000-0005-0000-0000-000047010000}"/>
    <cellStyle name="Comma 3 5 5 2" xfId="788" xr:uid="{00000000-0005-0000-0000-000048010000}"/>
    <cellStyle name="Comma 3 5 6" xfId="777" xr:uid="{00000000-0005-0000-0000-000049010000}"/>
    <cellStyle name="Comma 3 6" xfId="266" xr:uid="{00000000-0005-0000-0000-00004A010000}"/>
    <cellStyle name="Comma 3 6 2" xfId="267" xr:uid="{00000000-0005-0000-0000-00004B010000}"/>
    <cellStyle name="Comma 3 6 2 2" xfId="268" xr:uid="{00000000-0005-0000-0000-00004C010000}"/>
    <cellStyle name="Comma 3 6 2 2 2" xfId="269" xr:uid="{00000000-0005-0000-0000-00004D010000}"/>
    <cellStyle name="Comma 3 6 2 2 2 2" xfId="792" xr:uid="{00000000-0005-0000-0000-00004E010000}"/>
    <cellStyle name="Comma 3 6 2 2 3" xfId="791" xr:uid="{00000000-0005-0000-0000-00004F010000}"/>
    <cellStyle name="Comma 3 6 2 3" xfId="270" xr:uid="{00000000-0005-0000-0000-000050010000}"/>
    <cellStyle name="Comma 3 6 2 3 2" xfId="793" xr:uid="{00000000-0005-0000-0000-000051010000}"/>
    <cellStyle name="Comma 3 6 2 4" xfId="790" xr:uid="{00000000-0005-0000-0000-000052010000}"/>
    <cellStyle name="Comma 3 6 3" xfId="271" xr:uid="{00000000-0005-0000-0000-000053010000}"/>
    <cellStyle name="Comma 3 6 3 2" xfId="272" xr:uid="{00000000-0005-0000-0000-000054010000}"/>
    <cellStyle name="Comma 3 6 3 2 2" xfId="273" xr:uid="{00000000-0005-0000-0000-000055010000}"/>
    <cellStyle name="Comma 3 6 3 2 2 2" xfId="796" xr:uid="{00000000-0005-0000-0000-000056010000}"/>
    <cellStyle name="Comma 3 6 3 2 3" xfId="795" xr:uid="{00000000-0005-0000-0000-000057010000}"/>
    <cellStyle name="Comma 3 6 3 3" xfId="274" xr:uid="{00000000-0005-0000-0000-000058010000}"/>
    <cellStyle name="Comma 3 6 3 3 2" xfId="797" xr:uid="{00000000-0005-0000-0000-000059010000}"/>
    <cellStyle name="Comma 3 6 3 4" xfId="794" xr:uid="{00000000-0005-0000-0000-00005A010000}"/>
    <cellStyle name="Comma 3 6 4" xfId="275" xr:uid="{00000000-0005-0000-0000-00005B010000}"/>
    <cellStyle name="Comma 3 6 4 2" xfId="276" xr:uid="{00000000-0005-0000-0000-00005C010000}"/>
    <cellStyle name="Comma 3 6 4 2 2" xfId="799" xr:uid="{00000000-0005-0000-0000-00005D010000}"/>
    <cellStyle name="Comma 3 6 4 3" xfId="798" xr:uid="{00000000-0005-0000-0000-00005E010000}"/>
    <cellStyle name="Comma 3 6 5" xfId="277" xr:uid="{00000000-0005-0000-0000-00005F010000}"/>
    <cellStyle name="Comma 3 6 5 2" xfId="800" xr:uid="{00000000-0005-0000-0000-000060010000}"/>
    <cellStyle name="Comma 3 6 6" xfId="789" xr:uid="{00000000-0005-0000-0000-000061010000}"/>
    <cellStyle name="Comma 3 7" xfId="278" xr:uid="{00000000-0005-0000-0000-000062010000}"/>
    <cellStyle name="Comma 3 7 2" xfId="279" xr:uid="{00000000-0005-0000-0000-000063010000}"/>
    <cellStyle name="Comma 3 7 2 2" xfId="280" xr:uid="{00000000-0005-0000-0000-000064010000}"/>
    <cellStyle name="Comma 3 7 2 2 2" xfId="281" xr:uid="{00000000-0005-0000-0000-000065010000}"/>
    <cellStyle name="Comma 3 7 2 2 2 2" xfId="804" xr:uid="{00000000-0005-0000-0000-000066010000}"/>
    <cellStyle name="Comma 3 7 2 2 3" xfId="803" xr:uid="{00000000-0005-0000-0000-000067010000}"/>
    <cellStyle name="Comma 3 7 2 3" xfId="282" xr:uid="{00000000-0005-0000-0000-000068010000}"/>
    <cellStyle name="Comma 3 7 2 3 2" xfId="805" xr:uid="{00000000-0005-0000-0000-000069010000}"/>
    <cellStyle name="Comma 3 7 2 4" xfId="802" xr:uid="{00000000-0005-0000-0000-00006A010000}"/>
    <cellStyle name="Comma 3 7 3" xfId="283" xr:uid="{00000000-0005-0000-0000-00006B010000}"/>
    <cellStyle name="Comma 3 7 3 2" xfId="284" xr:uid="{00000000-0005-0000-0000-00006C010000}"/>
    <cellStyle name="Comma 3 7 3 2 2" xfId="285" xr:uid="{00000000-0005-0000-0000-00006D010000}"/>
    <cellStyle name="Comma 3 7 3 2 2 2" xfId="808" xr:uid="{00000000-0005-0000-0000-00006E010000}"/>
    <cellStyle name="Comma 3 7 3 2 3" xfId="807" xr:uid="{00000000-0005-0000-0000-00006F010000}"/>
    <cellStyle name="Comma 3 7 3 3" xfId="286" xr:uid="{00000000-0005-0000-0000-000070010000}"/>
    <cellStyle name="Comma 3 7 3 3 2" xfId="809" xr:uid="{00000000-0005-0000-0000-000071010000}"/>
    <cellStyle name="Comma 3 7 3 4" xfId="806" xr:uid="{00000000-0005-0000-0000-000072010000}"/>
    <cellStyle name="Comma 3 7 4" xfId="287" xr:uid="{00000000-0005-0000-0000-000073010000}"/>
    <cellStyle name="Comma 3 7 4 2" xfId="288" xr:uid="{00000000-0005-0000-0000-000074010000}"/>
    <cellStyle name="Comma 3 7 4 2 2" xfId="811" xr:uid="{00000000-0005-0000-0000-000075010000}"/>
    <cellStyle name="Comma 3 7 4 3" xfId="810" xr:uid="{00000000-0005-0000-0000-000076010000}"/>
    <cellStyle name="Comma 3 7 5" xfId="289" xr:uid="{00000000-0005-0000-0000-000077010000}"/>
    <cellStyle name="Comma 3 7 5 2" xfId="812" xr:uid="{00000000-0005-0000-0000-000078010000}"/>
    <cellStyle name="Comma 3 7 6" xfId="801" xr:uid="{00000000-0005-0000-0000-000079010000}"/>
    <cellStyle name="Comma 3 8" xfId="290" xr:uid="{00000000-0005-0000-0000-00007A010000}"/>
    <cellStyle name="Comma 3 8 2" xfId="291" xr:uid="{00000000-0005-0000-0000-00007B010000}"/>
    <cellStyle name="Comma 3 8 2 2" xfId="292" xr:uid="{00000000-0005-0000-0000-00007C010000}"/>
    <cellStyle name="Comma 3 8 2 2 2" xfId="293" xr:uid="{00000000-0005-0000-0000-00007D010000}"/>
    <cellStyle name="Comma 3 8 2 2 2 2" xfId="816" xr:uid="{00000000-0005-0000-0000-00007E010000}"/>
    <cellStyle name="Comma 3 8 2 2 3" xfId="815" xr:uid="{00000000-0005-0000-0000-00007F010000}"/>
    <cellStyle name="Comma 3 8 2 3" xfId="294" xr:uid="{00000000-0005-0000-0000-000080010000}"/>
    <cellStyle name="Comma 3 8 2 3 2" xfId="817" xr:uid="{00000000-0005-0000-0000-000081010000}"/>
    <cellStyle name="Comma 3 8 2 4" xfId="814" xr:uid="{00000000-0005-0000-0000-000082010000}"/>
    <cellStyle name="Comma 3 8 3" xfId="295" xr:uid="{00000000-0005-0000-0000-000083010000}"/>
    <cellStyle name="Comma 3 8 3 2" xfId="296" xr:uid="{00000000-0005-0000-0000-000084010000}"/>
    <cellStyle name="Comma 3 8 3 2 2" xfId="297" xr:uid="{00000000-0005-0000-0000-000085010000}"/>
    <cellStyle name="Comma 3 8 3 2 2 2" xfId="820" xr:uid="{00000000-0005-0000-0000-000086010000}"/>
    <cellStyle name="Comma 3 8 3 2 3" xfId="819" xr:uid="{00000000-0005-0000-0000-000087010000}"/>
    <cellStyle name="Comma 3 8 3 3" xfId="298" xr:uid="{00000000-0005-0000-0000-000088010000}"/>
    <cellStyle name="Comma 3 8 3 3 2" xfId="821" xr:uid="{00000000-0005-0000-0000-000089010000}"/>
    <cellStyle name="Comma 3 8 3 4" xfId="818" xr:uid="{00000000-0005-0000-0000-00008A010000}"/>
    <cellStyle name="Comma 3 8 4" xfId="299" xr:uid="{00000000-0005-0000-0000-00008B010000}"/>
    <cellStyle name="Comma 3 8 4 2" xfId="300" xr:uid="{00000000-0005-0000-0000-00008C010000}"/>
    <cellStyle name="Comma 3 8 4 2 2" xfId="823" xr:uid="{00000000-0005-0000-0000-00008D010000}"/>
    <cellStyle name="Comma 3 8 4 3" xfId="822" xr:uid="{00000000-0005-0000-0000-00008E010000}"/>
    <cellStyle name="Comma 3 8 5" xfId="301" xr:uid="{00000000-0005-0000-0000-00008F010000}"/>
    <cellStyle name="Comma 3 8 5 2" xfId="824" xr:uid="{00000000-0005-0000-0000-000090010000}"/>
    <cellStyle name="Comma 3 8 6" xfId="813" xr:uid="{00000000-0005-0000-0000-000091010000}"/>
    <cellStyle name="Comma 3 9" xfId="302" xr:uid="{00000000-0005-0000-0000-000092010000}"/>
    <cellStyle name="Comma 3 9 2" xfId="303" xr:uid="{00000000-0005-0000-0000-000093010000}"/>
    <cellStyle name="Comma 3 9 2 2" xfId="304" xr:uid="{00000000-0005-0000-0000-000094010000}"/>
    <cellStyle name="Comma 3 9 2 2 2" xfId="305" xr:uid="{00000000-0005-0000-0000-000095010000}"/>
    <cellStyle name="Comma 3 9 2 2 2 2" xfId="828" xr:uid="{00000000-0005-0000-0000-000096010000}"/>
    <cellStyle name="Comma 3 9 2 2 3" xfId="827" xr:uid="{00000000-0005-0000-0000-000097010000}"/>
    <cellStyle name="Comma 3 9 2 3" xfId="306" xr:uid="{00000000-0005-0000-0000-000098010000}"/>
    <cellStyle name="Comma 3 9 2 3 2" xfId="829" xr:uid="{00000000-0005-0000-0000-000099010000}"/>
    <cellStyle name="Comma 3 9 2 4" xfId="826" xr:uid="{00000000-0005-0000-0000-00009A010000}"/>
    <cellStyle name="Comma 3 9 3" xfId="307" xr:uid="{00000000-0005-0000-0000-00009B010000}"/>
    <cellStyle name="Comma 3 9 3 2" xfId="308" xr:uid="{00000000-0005-0000-0000-00009C010000}"/>
    <cellStyle name="Comma 3 9 3 2 2" xfId="309" xr:uid="{00000000-0005-0000-0000-00009D010000}"/>
    <cellStyle name="Comma 3 9 3 2 2 2" xfId="832" xr:uid="{00000000-0005-0000-0000-00009E010000}"/>
    <cellStyle name="Comma 3 9 3 2 3" xfId="831" xr:uid="{00000000-0005-0000-0000-00009F010000}"/>
    <cellStyle name="Comma 3 9 3 3" xfId="310" xr:uid="{00000000-0005-0000-0000-0000A0010000}"/>
    <cellStyle name="Comma 3 9 3 3 2" xfId="833" xr:uid="{00000000-0005-0000-0000-0000A1010000}"/>
    <cellStyle name="Comma 3 9 3 4" xfId="830" xr:uid="{00000000-0005-0000-0000-0000A2010000}"/>
    <cellStyle name="Comma 3 9 4" xfId="311" xr:uid="{00000000-0005-0000-0000-0000A3010000}"/>
    <cellStyle name="Comma 3 9 4 2" xfId="312" xr:uid="{00000000-0005-0000-0000-0000A4010000}"/>
    <cellStyle name="Comma 3 9 4 2 2" xfId="835" xr:uid="{00000000-0005-0000-0000-0000A5010000}"/>
    <cellStyle name="Comma 3 9 4 3" xfId="834" xr:uid="{00000000-0005-0000-0000-0000A6010000}"/>
    <cellStyle name="Comma 3 9 5" xfId="313" xr:uid="{00000000-0005-0000-0000-0000A7010000}"/>
    <cellStyle name="Comma 3 9 5 2" xfId="836" xr:uid="{00000000-0005-0000-0000-0000A8010000}"/>
    <cellStyle name="Comma 3 9 6" xfId="825" xr:uid="{00000000-0005-0000-0000-0000A9010000}"/>
    <cellStyle name="Comma 4" xfId="314" xr:uid="{00000000-0005-0000-0000-0000AA010000}"/>
    <cellStyle name="Comma 4 2" xfId="315" xr:uid="{00000000-0005-0000-0000-0000AB010000}"/>
    <cellStyle name="Comma 4 3" xfId="316" xr:uid="{00000000-0005-0000-0000-0000AC010000}"/>
    <cellStyle name="Comma 4 4" xfId="317" xr:uid="{00000000-0005-0000-0000-0000AD010000}"/>
    <cellStyle name="Comma 5" xfId="318" xr:uid="{00000000-0005-0000-0000-0000AE010000}"/>
    <cellStyle name="Comma 6" xfId="319" xr:uid="{00000000-0005-0000-0000-0000AF010000}"/>
    <cellStyle name="Comma 6 2" xfId="320" xr:uid="{00000000-0005-0000-0000-0000B0010000}"/>
    <cellStyle name="Comma 7" xfId="321" xr:uid="{00000000-0005-0000-0000-0000B1010000}"/>
    <cellStyle name="Comma 7 2" xfId="322" xr:uid="{00000000-0005-0000-0000-0000B2010000}"/>
    <cellStyle name="Comma 8" xfId="323" xr:uid="{00000000-0005-0000-0000-0000B3010000}"/>
    <cellStyle name="Comma 8 2" xfId="324" xr:uid="{00000000-0005-0000-0000-0000B4010000}"/>
    <cellStyle name="Comma 9" xfId="325" xr:uid="{00000000-0005-0000-0000-0000B5010000}"/>
    <cellStyle name="CommaBlank" xfId="326" xr:uid="{00000000-0005-0000-0000-0000B6010000}"/>
    <cellStyle name="CommaBlank 2" xfId="327" xr:uid="{00000000-0005-0000-0000-0000B7010000}"/>
    <cellStyle name="Currency" xfId="328" builtinId="4"/>
    <cellStyle name="Currency 10" xfId="329" xr:uid="{00000000-0005-0000-0000-0000B9010000}"/>
    <cellStyle name="Currency 10 2" xfId="330" xr:uid="{00000000-0005-0000-0000-0000BA010000}"/>
    <cellStyle name="Currency 10 2 2" xfId="331" xr:uid="{00000000-0005-0000-0000-0000BB010000}"/>
    <cellStyle name="Currency 10 2 2 2" xfId="332" xr:uid="{00000000-0005-0000-0000-0000BC010000}"/>
    <cellStyle name="Currency 10 2 2 2 2" xfId="841" xr:uid="{00000000-0005-0000-0000-0000BD010000}"/>
    <cellStyle name="Currency 10 2 2 3" xfId="840" xr:uid="{00000000-0005-0000-0000-0000BE010000}"/>
    <cellStyle name="Currency 10 2 3" xfId="333" xr:uid="{00000000-0005-0000-0000-0000BF010000}"/>
    <cellStyle name="Currency 10 2 3 2" xfId="842" xr:uid="{00000000-0005-0000-0000-0000C0010000}"/>
    <cellStyle name="Currency 10 2 4" xfId="839" xr:uid="{00000000-0005-0000-0000-0000C1010000}"/>
    <cellStyle name="Currency 10 3" xfId="334" xr:uid="{00000000-0005-0000-0000-0000C2010000}"/>
    <cellStyle name="Currency 10 3 2" xfId="335" xr:uid="{00000000-0005-0000-0000-0000C3010000}"/>
    <cellStyle name="Currency 10 3 2 2" xfId="336" xr:uid="{00000000-0005-0000-0000-0000C4010000}"/>
    <cellStyle name="Currency 10 3 2 2 2" xfId="845" xr:uid="{00000000-0005-0000-0000-0000C5010000}"/>
    <cellStyle name="Currency 10 3 2 3" xfId="844" xr:uid="{00000000-0005-0000-0000-0000C6010000}"/>
    <cellStyle name="Currency 10 3 3" xfId="337" xr:uid="{00000000-0005-0000-0000-0000C7010000}"/>
    <cellStyle name="Currency 10 3 3 2" xfId="846" xr:uid="{00000000-0005-0000-0000-0000C8010000}"/>
    <cellStyle name="Currency 10 3 4" xfId="843" xr:uid="{00000000-0005-0000-0000-0000C9010000}"/>
    <cellStyle name="Currency 10 4" xfId="338" xr:uid="{00000000-0005-0000-0000-0000CA010000}"/>
    <cellStyle name="Currency 10 4 2" xfId="339" xr:uid="{00000000-0005-0000-0000-0000CB010000}"/>
    <cellStyle name="Currency 10 4 2 2" xfId="848" xr:uid="{00000000-0005-0000-0000-0000CC010000}"/>
    <cellStyle name="Currency 10 4 3" xfId="847" xr:uid="{00000000-0005-0000-0000-0000CD010000}"/>
    <cellStyle name="Currency 10 5" xfId="340" xr:uid="{00000000-0005-0000-0000-0000CE010000}"/>
    <cellStyle name="Currency 10 5 2" xfId="849" xr:uid="{00000000-0005-0000-0000-0000CF010000}"/>
    <cellStyle name="Currency 10 6" xfId="838" xr:uid="{00000000-0005-0000-0000-0000D0010000}"/>
    <cellStyle name="Currency 11" xfId="341" xr:uid="{00000000-0005-0000-0000-0000D1010000}"/>
    <cellStyle name="Currency 12" xfId="837" xr:uid="{00000000-0005-0000-0000-0000D2010000}"/>
    <cellStyle name="Currency 2" xfId="342" xr:uid="{00000000-0005-0000-0000-0000D3010000}"/>
    <cellStyle name="Currency 2 2" xfId="343" xr:uid="{00000000-0005-0000-0000-0000D4010000}"/>
    <cellStyle name="Currency 2 3" xfId="344" xr:uid="{00000000-0005-0000-0000-0000D5010000}"/>
    <cellStyle name="Currency 2 4" xfId="345" xr:uid="{00000000-0005-0000-0000-0000D6010000}"/>
    <cellStyle name="Currency 3" xfId="346" xr:uid="{00000000-0005-0000-0000-0000D7010000}"/>
    <cellStyle name="Currency 3 2" xfId="347" xr:uid="{00000000-0005-0000-0000-0000D8010000}"/>
    <cellStyle name="Currency 3 3" xfId="348" xr:uid="{00000000-0005-0000-0000-0000D9010000}"/>
    <cellStyle name="Currency 3 4" xfId="349" xr:uid="{00000000-0005-0000-0000-0000DA010000}"/>
    <cellStyle name="Currency 3 5" xfId="350" xr:uid="{00000000-0005-0000-0000-0000DB010000}"/>
    <cellStyle name="Currency 4" xfId="351" xr:uid="{00000000-0005-0000-0000-0000DC010000}"/>
    <cellStyle name="Currency 4 2" xfId="352" xr:uid="{00000000-0005-0000-0000-0000DD010000}"/>
    <cellStyle name="Currency 4 3" xfId="353" xr:uid="{00000000-0005-0000-0000-0000DE010000}"/>
    <cellStyle name="Currency 4 4" xfId="354" xr:uid="{00000000-0005-0000-0000-0000DF010000}"/>
    <cellStyle name="Currency 5" xfId="355" xr:uid="{00000000-0005-0000-0000-0000E0010000}"/>
    <cellStyle name="Currency 6" xfId="356" xr:uid="{00000000-0005-0000-0000-0000E1010000}"/>
    <cellStyle name="Currency 7" xfId="357" xr:uid="{00000000-0005-0000-0000-0000E2010000}"/>
    <cellStyle name="Currency 8" xfId="358" xr:uid="{00000000-0005-0000-0000-0000E3010000}"/>
    <cellStyle name="Currency 9" xfId="359" xr:uid="{00000000-0005-0000-0000-0000E4010000}"/>
    <cellStyle name="Explanatory Text 2" xfId="360" xr:uid="{00000000-0005-0000-0000-0000E5010000}"/>
    <cellStyle name="Explanatory Text 3" xfId="361" xr:uid="{00000000-0005-0000-0000-0000E6010000}"/>
    <cellStyle name="Explanatory Text 4" xfId="362" xr:uid="{00000000-0005-0000-0000-0000E7010000}"/>
    <cellStyle name="Explanatory Text 5" xfId="363" xr:uid="{00000000-0005-0000-0000-0000E8010000}"/>
    <cellStyle name="Explanatory Text 6" xfId="364" xr:uid="{00000000-0005-0000-0000-0000E9010000}"/>
    <cellStyle name="Good 2" xfId="365" xr:uid="{00000000-0005-0000-0000-0000EA010000}"/>
    <cellStyle name="Good 3" xfId="366" xr:uid="{00000000-0005-0000-0000-0000EB010000}"/>
    <cellStyle name="Good 4" xfId="367" xr:uid="{00000000-0005-0000-0000-0000EC010000}"/>
    <cellStyle name="Good 5" xfId="368" xr:uid="{00000000-0005-0000-0000-0000ED010000}"/>
    <cellStyle name="Good 6" xfId="369" xr:uid="{00000000-0005-0000-0000-0000EE010000}"/>
    <cellStyle name="Heading 1 2" xfId="370" xr:uid="{00000000-0005-0000-0000-0000EF010000}"/>
    <cellStyle name="Heading 1 3" xfId="371" xr:uid="{00000000-0005-0000-0000-0000F0010000}"/>
    <cellStyle name="Heading 1 4" xfId="372" xr:uid="{00000000-0005-0000-0000-0000F1010000}"/>
    <cellStyle name="Heading 1 5" xfId="373" xr:uid="{00000000-0005-0000-0000-0000F2010000}"/>
    <cellStyle name="Heading 1 6" xfId="374" xr:uid="{00000000-0005-0000-0000-0000F3010000}"/>
    <cellStyle name="Heading 1 7" xfId="375" xr:uid="{00000000-0005-0000-0000-0000F4010000}"/>
    <cellStyle name="Heading 1 8" xfId="376" xr:uid="{00000000-0005-0000-0000-0000F5010000}"/>
    <cellStyle name="Heading 2 2" xfId="377" xr:uid="{00000000-0005-0000-0000-0000F6010000}"/>
    <cellStyle name="Heading 2 3" xfId="378" xr:uid="{00000000-0005-0000-0000-0000F7010000}"/>
    <cellStyle name="Heading 2 4" xfId="379" xr:uid="{00000000-0005-0000-0000-0000F8010000}"/>
    <cellStyle name="Heading 2 5" xfId="380" xr:uid="{00000000-0005-0000-0000-0000F9010000}"/>
    <cellStyle name="Heading 2 6" xfId="381" xr:uid="{00000000-0005-0000-0000-0000FA010000}"/>
    <cellStyle name="Heading 2 7" xfId="382" xr:uid="{00000000-0005-0000-0000-0000FB010000}"/>
    <cellStyle name="Heading 2 8" xfId="383" xr:uid="{00000000-0005-0000-0000-0000FC010000}"/>
    <cellStyle name="Heading 3 2" xfId="384" xr:uid="{00000000-0005-0000-0000-0000FD010000}"/>
    <cellStyle name="Heading 3 3" xfId="385" xr:uid="{00000000-0005-0000-0000-0000FE010000}"/>
    <cellStyle name="Heading 3 4" xfId="386" xr:uid="{00000000-0005-0000-0000-0000FF010000}"/>
    <cellStyle name="Heading 3 5" xfId="387" xr:uid="{00000000-0005-0000-0000-000000020000}"/>
    <cellStyle name="Heading 3 6" xfId="388" xr:uid="{00000000-0005-0000-0000-000001020000}"/>
    <cellStyle name="Heading 3 7" xfId="389" xr:uid="{00000000-0005-0000-0000-000002020000}"/>
    <cellStyle name="Heading 3 8" xfId="390" xr:uid="{00000000-0005-0000-0000-000003020000}"/>
    <cellStyle name="Heading 4 2" xfId="391" xr:uid="{00000000-0005-0000-0000-000004020000}"/>
    <cellStyle name="Heading 4 3" xfId="392" xr:uid="{00000000-0005-0000-0000-000005020000}"/>
    <cellStyle name="Heading 4 4" xfId="393" xr:uid="{00000000-0005-0000-0000-000006020000}"/>
    <cellStyle name="Heading 4 5" xfId="394" xr:uid="{00000000-0005-0000-0000-000007020000}"/>
    <cellStyle name="Heading 4 6" xfId="395" xr:uid="{00000000-0005-0000-0000-000008020000}"/>
    <cellStyle name="Heading 4 7" xfId="396" xr:uid="{00000000-0005-0000-0000-000009020000}"/>
    <cellStyle name="Heading 4 8" xfId="397" xr:uid="{00000000-0005-0000-0000-00000A020000}"/>
    <cellStyle name="Input 2" xfId="398" xr:uid="{00000000-0005-0000-0000-00000B020000}"/>
    <cellStyle name="Input 3" xfId="399" xr:uid="{00000000-0005-0000-0000-00000C020000}"/>
    <cellStyle name="Input 4" xfId="400" xr:uid="{00000000-0005-0000-0000-00000D020000}"/>
    <cellStyle name="Input 5" xfId="401" xr:uid="{00000000-0005-0000-0000-00000E020000}"/>
    <cellStyle name="Input 6" xfId="402" xr:uid="{00000000-0005-0000-0000-00000F020000}"/>
    <cellStyle name="kirkdollars" xfId="403" xr:uid="{00000000-0005-0000-0000-000010020000}"/>
    <cellStyle name="Linked Cell 2" xfId="404" xr:uid="{00000000-0005-0000-0000-000011020000}"/>
    <cellStyle name="Linked Cell 3" xfId="405" xr:uid="{00000000-0005-0000-0000-000012020000}"/>
    <cellStyle name="Linked Cell 4" xfId="406" xr:uid="{00000000-0005-0000-0000-000013020000}"/>
    <cellStyle name="Linked Cell 5" xfId="407" xr:uid="{00000000-0005-0000-0000-000014020000}"/>
    <cellStyle name="Linked Cell 6" xfId="408" xr:uid="{00000000-0005-0000-0000-000015020000}"/>
    <cellStyle name="Neutral 2" xfId="409" xr:uid="{00000000-0005-0000-0000-000016020000}"/>
    <cellStyle name="Neutral 3" xfId="410" xr:uid="{00000000-0005-0000-0000-000017020000}"/>
    <cellStyle name="Neutral 4" xfId="411" xr:uid="{00000000-0005-0000-0000-000018020000}"/>
    <cellStyle name="Neutral 5" xfId="412" xr:uid="{00000000-0005-0000-0000-000019020000}"/>
    <cellStyle name="Neutral 6" xfId="413" xr:uid="{00000000-0005-0000-0000-00001A020000}"/>
    <cellStyle name="Normal" xfId="0" builtinId="0"/>
    <cellStyle name="Normal 10" xfId="414" xr:uid="{00000000-0005-0000-0000-00001C020000}"/>
    <cellStyle name="Normal 11" xfId="415" xr:uid="{00000000-0005-0000-0000-00001D020000}"/>
    <cellStyle name="Normal 12" xfId="416" xr:uid="{00000000-0005-0000-0000-00001E020000}"/>
    <cellStyle name="Normal 13" xfId="417" xr:uid="{00000000-0005-0000-0000-00001F020000}"/>
    <cellStyle name="Normal 14" xfId="418" xr:uid="{00000000-0005-0000-0000-000020020000}"/>
    <cellStyle name="Normal 15" xfId="419" xr:uid="{00000000-0005-0000-0000-000021020000}"/>
    <cellStyle name="Normal 15 2" xfId="420" xr:uid="{00000000-0005-0000-0000-000022020000}"/>
    <cellStyle name="Normal 15 2 2" xfId="421" xr:uid="{00000000-0005-0000-0000-000023020000}"/>
    <cellStyle name="Normal 15 2 2 2" xfId="422" xr:uid="{00000000-0005-0000-0000-000024020000}"/>
    <cellStyle name="Normal 15 2 2 2 2" xfId="853" xr:uid="{00000000-0005-0000-0000-000025020000}"/>
    <cellStyle name="Normal 15 2 2 3" xfId="852" xr:uid="{00000000-0005-0000-0000-000026020000}"/>
    <cellStyle name="Normal 15 2 3" xfId="423" xr:uid="{00000000-0005-0000-0000-000027020000}"/>
    <cellStyle name="Normal 15 2 3 2" xfId="854" xr:uid="{00000000-0005-0000-0000-000028020000}"/>
    <cellStyle name="Normal 15 2 4" xfId="851" xr:uid="{00000000-0005-0000-0000-000029020000}"/>
    <cellStyle name="Normal 15 3" xfId="424" xr:uid="{00000000-0005-0000-0000-00002A020000}"/>
    <cellStyle name="Normal 15 3 2" xfId="425" xr:uid="{00000000-0005-0000-0000-00002B020000}"/>
    <cellStyle name="Normal 15 3 2 2" xfId="426" xr:uid="{00000000-0005-0000-0000-00002C020000}"/>
    <cellStyle name="Normal 15 3 2 2 2" xfId="857" xr:uid="{00000000-0005-0000-0000-00002D020000}"/>
    <cellStyle name="Normal 15 3 2 3" xfId="856" xr:uid="{00000000-0005-0000-0000-00002E020000}"/>
    <cellStyle name="Normal 15 3 3" xfId="427" xr:uid="{00000000-0005-0000-0000-00002F020000}"/>
    <cellStyle name="Normal 15 3 3 2" xfId="858" xr:uid="{00000000-0005-0000-0000-000030020000}"/>
    <cellStyle name="Normal 15 3 4" xfId="855" xr:uid="{00000000-0005-0000-0000-000031020000}"/>
    <cellStyle name="Normal 15 4" xfId="428" xr:uid="{00000000-0005-0000-0000-000032020000}"/>
    <cellStyle name="Normal 15 4 2" xfId="429" xr:uid="{00000000-0005-0000-0000-000033020000}"/>
    <cellStyle name="Normal 15 4 2 2" xfId="860" xr:uid="{00000000-0005-0000-0000-000034020000}"/>
    <cellStyle name="Normal 15 4 3" xfId="859" xr:uid="{00000000-0005-0000-0000-000035020000}"/>
    <cellStyle name="Normal 15 5" xfId="430" xr:uid="{00000000-0005-0000-0000-000036020000}"/>
    <cellStyle name="Normal 15 5 2" xfId="861" xr:uid="{00000000-0005-0000-0000-000037020000}"/>
    <cellStyle name="Normal 15 6" xfId="850" xr:uid="{00000000-0005-0000-0000-000038020000}"/>
    <cellStyle name="Normal 16" xfId="431" xr:uid="{00000000-0005-0000-0000-000039020000}"/>
    <cellStyle name="Normal 17" xfId="432" xr:uid="{00000000-0005-0000-0000-00003A020000}"/>
    <cellStyle name="Normal 18" xfId="433" xr:uid="{00000000-0005-0000-0000-00003B020000}"/>
    <cellStyle name="Normal 19" xfId="434" xr:uid="{00000000-0005-0000-0000-00003C020000}"/>
    <cellStyle name="Normal 2" xfId="435" xr:uid="{00000000-0005-0000-0000-00003D020000}"/>
    <cellStyle name="Normal 2 2" xfId="436" xr:uid="{00000000-0005-0000-0000-00003E020000}"/>
    <cellStyle name="Normal 2 2 2" xfId="437" xr:uid="{00000000-0005-0000-0000-00003F020000}"/>
    <cellStyle name="Normal 2 2 3" xfId="862" xr:uid="{00000000-0005-0000-0000-000040020000}"/>
    <cellStyle name="Normal 2 3" xfId="438" xr:uid="{00000000-0005-0000-0000-000041020000}"/>
    <cellStyle name="Normal 2 4" xfId="439" xr:uid="{00000000-0005-0000-0000-000042020000}"/>
    <cellStyle name="Normal 2 5" xfId="440" xr:uid="{00000000-0005-0000-0000-000043020000}"/>
    <cellStyle name="Normal 2_Adjustment WP" xfId="441" xr:uid="{00000000-0005-0000-0000-000044020000}"/>
    <cellStyle name="Normal 20" xfId="442" xr:uid="{00000000-0005-0000-0000-000045020000}"/>
    <cellStyle name="Normal 21" xfId="443" xr:uid="{00000000-0005-0000-0000-000046020000}"/>
    <cellStyle name="Normal 22" xfId="444" xr:uid="{00000000-0005-0000-0000-000047020000}"/>
    <cellStyle name="Normal 23" xfId="445" xr:uid="{00000000-0005-0000-0000-000048020000}"/>
    <cellStyle name="Normal 24" xfId="446" xr:uid="{00000000-0005-0000-0000-000049020000}"/>
    <cellStyle name="Normal 25" xfId="447" xr:uid="{00000000-0005-0000-0000-00004A020000}"/>
    <cellStyle name="Normal 26" xfId="448" xr:uid="{00000000-0005-0000-0000-00004B020000}"/>
    <cellStyle name="Normal 27" xfId="449" xr:uid="{00000000-0005-0000-0000-00004C020000}"/>
    <cellStyle name="Normal 28" xfId="450" xr:uid="{00000000-0005-0000-0000-00004D020000}"/>
    <cellStyle name="Normal 29" xfId="451" xr:uid="{00000000-0005-0000-0000-00004E020000}"/>
    <cellStyle name="Normal 3" xfId="452" xr:uid="{00000000-0005-0000-0000-00004F020000}"/>
    <cellStyle name="Normal 3 2" xfId="453" xr:uid="{00000000-0005-0000-0000-000050020000}"/>
    <cellStyle name="Normal 3 3" xfId="454" xr:uid="{00000000-0005-0000-0000-000051020000}"/>
    <cellStyle name="Normal 3 4" xfId="455" xr:uid="{00000000-0005-0000-0000-000052020000}"/>
    <cellStyle name="Normal 3 5" xfId="456" xr:uid="{00000000-0005-0000-0000-000053020000}"/>
    <cellStyle name="Normal 3 6" xfId="457" xr:uid="{00000000-0005-0000-0000-000054020000}"/>
    <cellStyle name="Normal 3 7" xfId="458" xr:uid="{00000000-0005-0000-0000-000055020000}"/>
    <cellStyle name="Normal 3 8" xfId="459" xr:uid="{00000000-0005-0000-0000-000056020000}"/>
    <cellStyle name="Normal 3_108 Summary" xfId="460" xr:uid="{00000000-0005-0000-0000-000057020000}"/>
    <cellStyle name="Normal 30" xfId="461" xr:uid="{00000000-0005-0000-0000-000058020000}"/>
    <cellStyle name="Normal 31" xfId="462" xr:uid="{00000000-0005-0000-0000-000059020000}"/>
    <cellStyle name="Normal 32" xfId="463" xr:uid="{00000000-0005-0000-0000-00005A020000}"/>
    <cellStyle name="Normal 33" xfId="464" xr:uid="{00000000-0005-0000-0000-00005B020000}"/>
    <cellStyle name="Normal 34" xfId="465" xr:uid="{00000000-0005-0000-0000-00005C020000}"/>
    <cellStyle name="Normal 35" xfId="466" xr:uid="{00000000-0005-0000-0000-00005D020000}"/>
    <cellStyle name="Normal 35 2" xfId="467" xr:uid="{00000000-0005-0000-0000-00005E020000}"/>
    <cellStyle name="Normal 35 2 2" xfId="468" xr:uid="{00000000-0005-0000-0000-00005F020000}"/>
    <cellStyle name="Normal 35 2 2 2" xfId="469" xr:uid="{00000000-0005-0000-0000-000060020000}"/>
    <cellStyle name="Normal 35 2 2 2 2" xfId="866" xr:uid="{00000000-0005-0000-0000-000061020000}"/>
    <cellStyle name="Normal 35 2 2 3" xfId="865" xr:uid="{00000000-0005-0000-0000-000062020000}"/>
    <cellStyle name="Normal 35 2 3" xfId="470" xr:uid="{00000000-0005-0000-0000-000063020000}"/>
    <cellStyle name="Normal 35 2 3 2" xfId="867" xr:uid="{00000000-0005-0000-0000-000064020000}"/>
    <cellStyle name="Normal 35 2 4" xfId="864" xr:uid="{00000000-0005-0000-0000-000065020000}"/>
    <cellStyle name="Normal 35 3" xfId="471" xr:uid="{00000000-0005-0000-0000-000066020000}"/>
    <cellStyle name="Normal 35 3 2" xfId="472" xr:uid="{00000000-0005-0000-0000-000067020000}"/>
    <cellStyle name="Normal 35 3 2 2" xfId="473" xr:uid="{00000000-0005-0000-0000-000068020000}"/>
    <cellStyle name="Normal 35 3 2 2 2" xfId="870" xr:uid="{00000000-0005-0000-0000-000069020000}"/>
    <cellStyle name="Normal 35 3 2 3" xfId="869" xr:uid="{00000000-0005-0000-0000-00006A020000}"/>
    <cellStyle name="Normal 35 3 3" xfId="474" xr:uid="{00000000-0005-0000-0000-00006B020000}"/>
    <cellStyle name="Normal 35 3 3 2" xfId="871" xr:uid="{00000000-0005-0000-0000-00006C020000}"/>
    <cellStyle name="Normal 35 3 4" xfId="868" xr:uid="{00000000-0005-0000-0000-00006D020000}"/>
    <cellStyle name="Normal 35 4" xfId="475" xr:uid="{00000000-0005-0000-0000-00006E020000}"/>
    <cellStyle name="Normal 35 4 2" xfId="476" xr:uid="{00000000-0005-0000-0000-00006F020000}"/>
    <cellStyle name="Normal 35 4 2 2" xfId="873" xr:uid="{00000000-0005-0000-0000-000070020000}"/>
    <cellStyle name="Normal 35 4 3" xfId="872" xr:uid="{00000000-0005-0000-0000-000071020000}"/>
    <cellStyle name="Normal 35 5" xfId="477" xr:uid="{00000000-0005-0000-0000-000072020000}"/>
    <cellStyle name="Normal 35 5 2" xfId="874" xr:uid="{00000000-0005-0000-0000-000073020000}"/>
    <cellStyle name="Normal 35 6" xfId="863" xr:uid="{00000000-0005-0000-0000-000074020000}"/>
    <cellStyle name="Normal 36" xfId="478" xr:uid="{00000000-0005-0000-0000-000075020000}"/>
    <cellStyle name="Normal 36 2" xfId="479" xr:uid="{00000000-0005-0000-0000-000076020000}"/>
    <cellStyle name="Normal 37" xfId="723" xr:uid="{00000000-0005-0000-0000-000077020000}"/>
    <cellStyle name="Normal 37 2" xfId="976" xr:uid="{00000000-0005-0000-0000-000078020000}"/>
    <cellStyle name="Normal 37 3" xfId="977" xr:uid="{00000000-0005-0000-0000-000079020000}"/>
    <cellStyle name="Normal 4" xfId="480" xr:uid="{00000000-0005-0000-0000-00007A020000}"/>
    <cellStyle name="Normal 4 2" xfId="481" xr:uid="{00000000-0005-0000-0000-00007B020000}"/>
    <cellStyle name="Normal 4 3" xfId="482" xr:uid="{00000000-0005-0000-0000-00007C020000}"/>
    <cellStyle name="Normal 4 4" xfId="483" xr:uid="{00000000-0005-0000-0000-00007D020000}"/>
    <cellStyle name="Normal 4 5" xfId="484" xr:uid="{00000000-0005-0000-0000-00007E020000}"/>
    <cellStyle name="Normal 5" xfId="485" xr:uid="{00000000-0005-0000-0000-00007F020000}"/>
    <cellStyle name="Normal 5 2" xfId="486" xr:uid="{00000000-0005-0000-0000-000080020000}"/>
    <cellStyle name="Normal 5 3" xfId="487" xr:uid="{00000000-0005-0000-0000-000081020000}"/>
    <cellStyle name="Normal 6" xfId="488" xr:uid="{00000000-0005-0000-0000-000082020000}"/>
    <cellStyle name="Normal 6 10" xfId="489" xr:uid="{00000000-0005-0000-0000-000083020000}"/>
    <cellStyle name="Normal 6 10 2" xfId="490" xr:uid="{00000000-0005-0000-0000-000084020000}"/>
    <cellStyle name="Normal 6 10 2 2" xfId="491" xr:uid="{00000000-0005-0000-0000-000085020000}"/>
    <cellStyle name="Normal 6 10 2 2 2" xfId="877" xr:uid="{00000000-0005-0000-0000-000086020000}"/>
    <cellStyle name="Normal 6 10 2 3" xfId="876" xr:uid="{00000000-0005-0000-0000-000087020000}"/>
    <cellStyle name="Normal 6 10 3" xfId="492" xr:uid="{00000000-0005-0000-0000-000088020000}"/>
    <cellStyle name="Normal 6 10 3 2" xfId="878" xr:uid="{00000000-0005-0000-0000-000089020000}"/>
    <cellStyle name="Normal 6 10 4" xfId="875" xr:uid="{00000000-0005-0000-0000-00008A020000}"/>
    <cellStyle name="Normal 6 2" xfId="493" xr:uid="{00000000-0005-0000-0000-00008B020000}"/>
    <cellStyle name="Normal 6 2 2" xfId="494" xr:uid="{00000000-0005-0000-0000-00008C020000}"/>
    <cellStyle name="Normal 6 2 2 2" xfId="495" xr:uid="{00000000-0005-0000-0000-00008D020000}"/>
    <cellStyle name="Normal 6 2 2 2 2" xfId="496" xr:uid="{00000000-0005-0000-0000-00008E020000}"/>
    <cellStyle name="Normal 6 2 2 2 2 2" xfId="882" xr:uid="{00000000-0005-0000-0000-00008F020000}"/>
    <cellStyle name="Normal 6 2 2 2 3" xfId="881" xr:uid="{00000000-0005-0000-0000-000090020000}"/>
    <cellStyle name="Normal 6 2 2 3" xfId="497" xr:uid="{00000000-0005-0000-0000-000091020000}"/>
    <cellStyle name="Normal 6 2 2 3 2" xfId="883" xr:uid="{00000000-0005-0000-0000-000092020000}"/>
    <cellStyle name="Normal 6 2 2 4" xfId="880" xr:uid="{00000000-0005-0000-0000-000093020000}"/>
    <cellStyle name="Normal 6 2 3" xfId="498" xr:uid="{00000000-0005-0000-0000-000094020000}"/>
    <cellStyle name="Normal 6 2 3 2" xfId="499" xr:uid="{00000000-0005-0000-0000-000095020000}"/>
    <cellStyle name="Normal 6 2 3 2 2" xfId="500" xr:uid="{00000000-0005-0000-0000-000096020000}"/>
    <cellStyle name="Normal 6 2 3 2 2 2" xfId="886" xr:uid="{00000000-0005-0000-0000-000097020000}"/>
    <cellStyle name="Normal 6 2 3 2 3" xfId="885" xr:uid="{00000000-0005-0000-0000-000098020000}"/>
    <cellStyle name="Normal 6 2 3 3" xfId="501" xr:uid="{00000000-0005-0000-0000-000099020000}"/>
    <cellStyle name="Normal 6 2 3 3 2" xfId="887" xr:uid="{00000000-0005-0000-0000-00009A020000}"/>
    <cellStyle name="Normal 6 2 3 4" xfId="884" xr:uid="{00000000-0005-0000-0000-00009B020000}"/>
    <cellStyle name="Normal 6 2 4" xfId="502" xr:uid="{00000000-0005-0000-0000-00009C020000}"/>
    <cellStyle name="Normal 6 2 4 2" xfId="503" xr:uid="{00000000-0005-0000-0000-00009D020000}"/>
    <cellStyle name="Normal 6 2 4 2 2" xfId="889" xr:uid="{00000000-0005-0000-0000-00009E020000}"/>
    <cellStyle name="Normal 6 2 4 3" xfId="888" xr:uid="{00000000-0005-0000-0000-00009F020000}"/>
    <cellStyle name="Normal 6 2 5" xfId="504" xr:uid="{00000000-0005-0000-0000-0000A0020000}"/>
    <cellStyle name="Normal 6 2 5 2" xfId="890" xr:uid="{00000000-0005-0000-0000-0000A1020000}"/>
    <cellStyle name="Normal 6 2 6" xfId="879" xr:uid="{00000000-0005-0000-0000-0000A2020000}"/>
    <cellStyle name="Normal 6 3" xfId="505" xr:uid="{00000000-0005-0000-0000-0000A3020000}"/>
    <cellStyle name="Normal 6 3 2" xfId="506" xr:uid="{00000000-0005-0000-0000-0000A4020000}"/>
    <cellStyle name="Normal 6 3 2 2" xfId="507" xr:uid="{00000000-0005-0000-0000-0000A5020000}"/>
    <cellStyle name="Normal 6 3 2 2 2" xfId="508" xr:uid="{00000000-0005-0000-0000-0000A6020000}"/>
    <cellStyle name="Normal 6 3 2 2 2 2" xfId="894" xr:uid="{00000000-0005-0000-0000-0000A7020000}"/>
    <cellStyle name="Normal 6 3 2 2 3" xfId="893" xr:uid="{00000000-0005-0000-0000-0000A8020000}"/>
    <cellStyle name="Normal 6 3 2 3" xfId="509" xr:uid="{00000000-0005-0000-0000-0000A9020000}"/>
    <cellStyle name="Normal 6 3 2 3 2" xfId="895" xr:uid="{00000000-0005-0000-0000-0000AA020000}"/>
    <cellStyle name="Normal 6 3 2 4" xfId="892" xr:uid="{00000000-0005-0000-0000-0000AB020000}"/>
    <cellStyle name="Normal 6 3 3" xfId="510" xr:uid="{00000000-0005-0000-0000-0000AC020000}"/>
    <cellStyle name="Normal 6 3 3 2" xfId="511" xr:uid="{00000000-0005-0000-0000-0000AD020000}"/>
    <cellStyle name="Normal 6 3 3 2 2" xfId="512" xr:uid="{00000000-0005-0000-0000-0000AE020000}"/>
    <cellStyle name="Normal 6 3 3 2 2 2" xfId="898" xr:uid="{00000000-0005-0000-0000-0000AF020000}"/>
    <cellStyle name="Normal 6 3 3 2 3" xfId="897" xr:uid="{00000000-0005-0000-0000-0000B0020000}"/>
    <cellStyle name="Normal 6 3 3 3" xfId="513" xr:uid="{00000000-0005-0000-0000-0000B1020000}"/>
    <cellStyle name="Normal 6 3 3 3 2" xfId="899" xr:uid="{00000000-0005-0000-0000-0000B2020000}"/>
    <cellStyle name="Normal 6 3 3 4" xfId="896" xr:uid="{00000000-0005-0000-0000-0000B3020000}"/>
    <cellStyle name="Normal 6 3 4" xfId="514" xr:uid="{00000000-0005-0000-0000-0000B4020000}"/>
    <cellStyle name="Normal 6 3 4 2" xfId="515" xr:uid="{00000000-0005-0000-0000-0000B5020000}"/>
    <cellStyle name="Normal 6 3 4 2 2" xfId="901" xr:uid="{00000000-0005-0000-0000-0000B6020000}"/>
    <cellStyle name="Normal 6 3 4 3" xfId="900" xr:uid="{00000000-0005-0000-0000-0000B7020000}"/>
    <cellStyle name="Normal 6 3 5" xfId="516" xr:uid="{00000000-0005-0000-0000-0000B8020000}"/>
    <cellStyle name="Normal 6 3 5 2" xfId="902" xr:uid="{00000000-0005-0000-0000-0000B9020000}"/>
    <cellStyle name="Normal 6 3 6" xfId="891" xr:uid="{00000000-0005-0000-0000-0000BA020000}"/>
    <cellStyle name="Normal 6 4" xfId="517" xr:uid="{00000000-0005-0000-0000-0000BB020000}"/>
    <cellStyle name="Normal 6 4 2" xfId="518" xr:uid="{00000000-0005-0000-0000-0000BC020000}"/>
    <cellStyle name="Normal 6 4 2 2" xfId="519" xr:uid="{00000000-0005-0000-0000-0000BD020000}"/>
    <cellStyle name="Normal 6 4 2 2 2" xfId="520" xr:uid="{00000000-0005-0000-0000-0000BE020000}"/>
    <cellStyle name="Normal 6 4 2 2 2 2" xfId="906" xr:uid="{00000000-0005-0000-0000-0000BF020000}"/>
    <cellStyle name="Normal 6 4 2 2 3" xfId="905" xr:uid="{00000000-0005-0000-0000-0000C0020000}"/>
    <cellStyle name="Normal 6 4 2 3" xfId="521" xr:uid="{00000000-0005-0000-0000-0000C1020000}"/>
    <cellStyle name="Normal 6 4 2 3 2" xfId="907" xr:uid="{00000000-0005-0000-0000-0000C2020000}"/>
    <cellStyle name="Normal 6 4 2 4" xfId="904" xr:uid="{00000000-0005-0000-0000-0000C3020000}"/>
    <cellStyle name="Normal 6 4 3" xfId="522" xr:uid="{00000000-0005-0000-0000-0000C4020000}"/>
    <cellStyle name="Normal 6 4 3 2" xfId="523" xr:uid="{00000000-0005-0000-0000-0000C5020000}"/>
    <cellStyle name="Normal 6 4 3 2 2" xfId="524" xr:uid="{00000000-0005-0000-0000-0000C6020000}"/>
    <cellStyle name="Normal 6 4 3 2 2 2" xfId="910" xr:uid="{00000000-0005-0000-0000-0000C7020000}"/>
    <cellStyle name="Normal 6 4 3 2 3" xfId="909" xr:uid="{00000000-0005-0000-0000-0000C8020000}"/>
    <cellStyle name="Normal 6 4 3 3" xfId="525" xr:uid="{00000000-0005-0000-0000-0000C9020000}"/>
    <cellStyle name="Normal 6 4 3 3 2" xfId="911" xr:uid="{00000000-0005-0000-0000-0000CA020000}"/>
    <cellStyle name="Normal 6 4 3 4" xfId="908" xr:uid="{00000000-0005-0000-0000-0000CB020000}"/>
    <cellStyle name="Normal 6 4 4" xfId="526" xr:uid="{00000000-0005-0000-0000-0000CC020000}"/>
    <cellStyle name="Normal 6 4 4 2" xfId="527" xr:uid="{00000000-0005-0000-0000-0000CD020000}"/>
    <cellStyle name="Normal 6 4 4 2 2" xfId="913" xr:uid="{00000000-0005-0000-0000-0000CE020000}"/>
    <cellStyle name="Normal 6 4 4 3" xfId="912" xr:uid="{00000000-0005-0000-0000-0000CF020000}"/>
    <cellStyle name="Normal 6 4 5" xfId="528" xr:uid="{00000000-0005-0000-0000-0000D0020000}"/>
    <cellStyle name="Normal 6 4 5 2" xfId="914" xr:uid="{00000000-0005-0000-0000-0000D1020000}"/>
    <cellStyle name="Normal 6 4 6" xfId="903" xr:uid="{00000000-0005-0000-0000-0000D2020000}"/>
    <cellStyle name="Normal 6 5" xfId="529" xr:uid="{00000000-0005-0000-0000-0000D3020000}"/>
    <cellStyle name="Normal 6 5 2" xfId="530" xr:uid="{00000000-0005-0000-0000-0000D4020000}"/>
    <cellStyle name="Normal 6 5 2 2" xfId="531" xr:uid="{00000000-0005-0000-0000-0000D5020000}"/>
    <cellStyle name="Normal 6 5 2 2 2" xfId="532" xr:uid="{00000000-0005-0000-0000-0000D6020000}"/>
    <cellStyle name="Normal 6 5 2 2 2 2" xfId="918" xr:uid="{00000000-0005-0000-0000-0000D7020000}"/>
    <cellStyle name="Normal 6 5 2 2 3" xfId="917" xr:uid="{00000000-0005-0000-0000-0000D8020000}"/>
    <cellStyle name="Normal 6 5 2 3" xfId="533" xr:uid="{00000000-0005-0000-0000-0000D9020000}"/>
    <cellStyle name="Normal 6 5 2 3 2" xfId="919" xr:uid="{00000000-0005-0000-0000-0000DA020000}"/>
    <cellStyle name="Normal 6 5 2 4" xfId="916" xr:uid="{00000000-0005-0000-0000-0000DB020000}"/>
    <cellStyle name="Normal 6 5 3" xfId="534" xr:uid="{00000000-0005-0000-0000-0000DC020000}"/>
    <cellStyle name="Normal 6 5 3 2" xfId="535" xr:uid="{00000000-0005-0000-0000-0000DD020000}"/>
    <cellStyle name="Normal 6 5 3 2 2" xfId="536" xr:uid="{00000000-0005-0000-0000-0000DE020000}"/>
    <cellStyle name="Normal 6 5 3 2 2 2" xfId="922" xr:uid="{00000000-0005-0000-0000-0000DF020000}"/>
    <cellStyle name="Normal 6 5 3 2 3" xfId="921" xr:uid="{00000000-0005-0000-0000-0000E0020000}"/>
    <cellStyle name="Normal 6 5 3 3" xfId="537" xr:uid="{00000000-0005-0000-0000-0000E1020000}"/>
    <cellStyle name="Normal 6 5 3 3 2" xfId="923" xr:uid="{00000000-0005-0000-0000-0000E2020000}"/>
    <cellStyle name="Normal 6 5 3 4" xfId="920" xr:uid="{00000000-0005-0000-0000-0000E3020000}"/>
    <cellStyle name="Normal 6 5 4" xfId="538" xr:uid="{00000000-0005-0000-0000-0000E4020000}"/>
    <cellStyle name="Normal 6 5 4 2" xfId="539" xr:uid="{00000000-0005-0000-0000-0000E5020000}"/>
    <cellStyle name="Normal 6 5 4 2 2" xfId="925" xr:uid="{00000000-0005-0000-0000-0000E6020000}"/>
    <cellStyle name="Normal 6 5 4 3" xfId="924" xr:uid="{00000000-0005-0000-0000-0000E7020000}"/>
    <cellStyle name="Normal 6 5 5" xfId="540" xr:uid="{00000000-0005-0000-0000-0000E8020000}"/>
    <cellStyle name="Normal 6 5 5 2" xfId="926" xr:uid="{00000000-0005-0000-0000-0000E9020000}"/>
    <cellStyle name="Normal 6 5 6" xfId="915" xr:uid="{00000000-0005-0000-0000-0000EA020000}"/>
    <cellStyle name="Normal 6 6" xfId="541" xr:uid="{00000000-0005-0000-0000-0000EB020000}"/>
    <cellStyle name="Normal 6 6 2" xfId="542" xr:uid="{00000000-0005-0000-0000-0000EC020000}"/>
    <cellStyle name="Normal 6 6 2 2" xfId="543" xr:uid="{00000000-0005-0000-0000-0000ED020000}"/>
    <cellStyle name="Normal 6 6 2 2 2" xfId="544" xr:uid="{00000000-0005-0000-0000-0000EE020000}"/>
    <cellStyle name="Normal 6 6 2 2 2 2" xfId="930" xr:uid="{00000000-0005-0000-0000-0000EF020000}"/>
    <cellStyle name="Normal 6 6 2 2 3" xfId="929" xr:uid="{00000000-0005-0000-0000-0000F0020000}"/>
    <cellStyle name="Normal 6 6 2 3" xfId="545" xr:uid="{00000000-0005-0000-0000-0000F1020000}"/>
    <cellStyle name="Normal 6 6 2 3 2" xfId="931" xr:uid="{00000000-0005-0000-0000-0000F2020000}"/>
    <cellStyle name="Normal 6 6 2 4" xfId="928" xr:uid="{00000000-0005-0000-0000-0000F3020000}"/>
    <cellStyle name="Normal 6 6 3" xfId="546" xr:uid="{00000000-0005-0000-0000-0000F4020000}"/>
    <cellStyle name="Normal 6 6 3 2" xfId="547" xr:uid="{00000000-0005-0000-0000-0000F5020000}"/>
    <cellStyle name="Normal 6 6 3 2 2" xfId="548" xr:uid="{00000000-0005-0000-0000-0000F6020000}"/>
    <cellStyle name="Normal 6 6 3 2 2 2" xfId="934" xr:uid="{00000000-0005-0000-0000-0000F7020000}"/>
    <cellStyle name="Normal 6 6 3 2 3" xfId="933" xr:uid="{00000000-0005-0000-0000-0000F8020000}"/>
    <cellStyle name="Normal 6 6 3 3" xfId="549" xr:uid="{00000000-0005-0000-0000-0000F9020000}"/>
    <cellStyle name="Normal 6 6 3 3 2" xfId="935" xr:uid="{00000000-0005-0000-0000-0000FA020000}"/>
    <cellStyle name="Normal 6 6 3 4" xfId="932" xr:uid="{00000000-0005-0000-0000-0000FB020000}"/>
    <cellStyle name="Normal 6 6 4" xfId="550" xr:uid="{00000000-0005-0000-0000-0000FC020000}"/>
    <cellStyle name="Normal 6 6 4 2" xfId="551" xr:uid="{00000000-0005-0000-0000-0000FD020000}"/>
    <cellStyle name="Normal 6 6 4 2 2" xfId="937" xr:uid="{00000000-0005-0000-0000-0000FE020000}"/>
    <cellStyle name="Normal 6 6 4 3" xfId="936" xr:uid="{00000000-0005-0000-0000-0000FF020000}"/>
    <cellStyle name="Normal 6 6 5" xfId="552" xr:uid="{00000000-0005-0000-0000-000000030000}"/>
    <cellStyle name="Normal 6 6 5 2" xfId="938" xr:uid="{00000000-0005-0000-0000-000001030000}"/>
    <cellStyle name="Normal 6 6 6" xfId="927" xr:uid="{00000000-0005-0000-0000-000002030000}"/>
    <cellStyle name="Normal 6 7" xfId="553" xr:uid="{00000000-0005-0000-0000-000003030000}"/>
    <cellStyle name="Normal 6 7 2" xfId="554" xr:uid="{00000000-0005-0000-0000-000004030000}"/>
    <cellStyle name="Normal 6 7 2 2" xfId="555" xr:uid="{00000000-0005-0000-0000-000005030000}"/>
    <cellStyle name="Normal 6 7 2 2 2" xfId="556" xr:uid="{00000000-0005-0000-0000-000006030000}"/>
    <cellStyle name="Normal 6 7 2 2 2 2" xfId="942" xr:uid="{00000000-0005-0000-0000-000007030000}"/>
    <cellStyle name="Normal 6 7 2 2 3" xfId="941" xr:uid="{00000000-0005-0000-0000-000008030000}"/>
    <cellStyle name="Normal 6 7 2 3" xfId="557" xr:uid="{00000000-0005-0000-0000-000009030000}"/>
    <cellStyle name="Normal 6 7 2 3 2" xfId="943" xr:uid="{00000000-0005-0000-0000-00000A030000}"/>
    <cellStyle name="Normal 6 7 2 4" xfId="940" xr:uid="{00000000-0005-0000-0000-00000B030000}"/>
    <cellStyle name="Normal 6 7 3" xfId="558" xr:uid="{00000000-0005-0000-0000-00000C030000}"/>
    <cellStyle name="Normal 6 7 3 2" xfId="559" xr:uid="{00000000-0005-0000-0000-00000D030000}"/>
    <cellStyle name="Normal 6 7 3 2 2" xfId="560" xr:uid="{00000000-0005-0000-0000-00000E030000}"/>
    <cellStyle name="Normal 6 7 3 2 2 2" xfId="946" xr:uid="{00000000-0005-0000-0000-00000F030000}"/>
    <cellStyle name="Normal 6 7 3 2 3" xfId="945" xr:uid="{00000000-0005-0000-0000-000010030000}"/>
    <cellStyle name="Normal 6 7 3 3" xfId="561" xr:uid="{00000000-0005-0000-0000-000011030000}"/>
    <cellStyle name="Normal 6 7 3 3 2" xfId="947" xr:uid="{00000000-0005-0000-0000-000012030000}"/>
    <cellStyle name="Normal 6 7 3 4" xfId="944" xr:uid="{00000000-0005-0000-0000-000013030000}"/>
    <cellStyle name="Normal 6 7 4" xfId="562" xr:uid="{00000000-0005-0000-0000-000014030000}"/>
    <cellStyle name="Normal 6 7 4 2" xfId="563" xr:uid="{00000000-0005-0000-0000-000015030000}"/>
    <cellStyle name="Normal 6 7 4 2 2" xfId="949" xr:uid="{00000000-0005-0000-0000-000016030000}"/>
    <cellStyle name="Normal 6 7 4 3" xfId="948" xr:uid="{00000000-0005-0000-0000-000017030000}"/>
    <cellStyle name="Normal 6 7 5" xfId="564" xr:uid="{00000000-0005-0000-0000-000018030000}"/>
    <cellStyle name="Normal 6 7 5 2" xfId="950" xr:uid="{00000000-0005-0000-0000-000019030000}"/>
    <cellStyle name="Normal 6 7 6" xfId="939" xr:uid="{00000000-0005-0000-0000-00001A030000}"/>
    <cellStyle name="Normal 6 8" xfId="565" xr:uid="{00000000-0005-0000-0000-00001B030000}"/>
    <cellStyle name="Normal 6 8 2" xfId="566" xr:uid="{00000000-0005-0000-0000-00001C030000}"/>
    <cellStyle name="Normal 6 8 2 2" xfId="567" xr:uid="{00000000-0005-0000-0000-00001D030000}"/>
    <cellStyle name="Normal 6 8 2 2 2" xfId="568" xr:uid="{00000000-0005-0000-0000-00001E030000}"/>
    <cellStyle name="Normal 6 8 2 2 2 2" xfId="954" xr:uid="{00000000-0005-0000-0000-00001F030000}"/>
    <cellStyle name="Normal 6 8 2 2 3" xfId="953" xr:uid="{00000000-0005-0000-0000-000020030000}"/>
    <cellStyle name="Normal 6 8 2 3" xfId="569" xr:uid="{00000000-0005-0000-0000-000021030000}"/>
    <cellStyle name="Normal 6 8 2 3 2" xfId="955" xr:uid="{00000000-0005-0000-0000-000022030000}"/>
    <cellStyle name="Normal 6 8 2 4" xfId="952" xr:uid="{00000000-0005-0000-0000-000023030000}"/>
    <cellStyle name="Normal 6 8 3" xfId="570" xr:uid="{00000000-0005-0000-0000-000024030000}"/>
    <cellStyle name="Normal 6 8 3 2" xfId="571" xr:uid="{00000000-0005-0000-0000-000025030000}"/>
    <cellStyle name="Normal 6 8 3 2 2" xfId="572" xr:uid="{00000000-0005-0000-0000-000026030000}"/>
    <cellStyle name="Normal 6 8 3 2 2 2" xfId="958" xr:uid="{00000000-0005-0000-0000-000027030000}"/>
    <cellStyle name="Normal 6 8 3 2 3" xfId="957" xr:uid="{00000000-0005-0000-0000-000028030000}"/>
    <cellStyle name="Normal 6 8 3 3" xfId="573" xr:uid="{00000000-0005-0000-0000-000029030000}"/>
    <cellStyle name="Normal 6 8 3 3 2" xfId="959" xr:uid="{00000000-0005-0000-0000-00002A030000}"/>
    <cellStyle name="Normal 6 8 3 4" xfId="956" xr:uid="{00000000-0005-0000-0000-00002B030000}"/>
    <cellStyle name="Normal 6 8 4" xfId="574" xr:uid="{00000000-0005-0000-0000-00002C030000}"/>
    <cellStyle name="Normal 6 8 4 2" xfId="575" xr:uid="{00000000-0005-0000-0000-00002D030000}"/>
    <cellStyle name="Normal 6 8 4 2 2" xfId="961" xr:uid="{00000000-0005-0000-0000-00002E030000}"/>
    <cellStyle name="Normal 6 8 4 3" xfId="960" xr:uid="{00000000-0005-0000-0000-00002F030000}"/>
    <cellStyle name="Normal 6 8 5" xfId="576" xr:uid="{00000000-0005-0000-0000-000030030000}"/>
    <cellStyle name="Normal 6 8 5 2" xfId="962" xr:uid="{00000000-0005-0000-0000-000031030000}"/>
    <cellStyle name="Normal 6 8 6" xfId="951" xr:uid="{00000000-0005-0000-0000-000032030000}"/>
    <cellStyle name="Normal 6 9" xfId="577" xr:uid="{00000000-0005-0000-0000-000033030000}"/>
    <cellStyle name="Normal 7" xfId="578" xr:uid="{00000000-0005-0000-0000-000034030000}"/>
    <cellStyle name="Normal 8" xfId="579" xr:uid="{00000000-0005-0000-0000-000035030000}"/>
    <cellStyle name="Normal 9" xfId="580" xr:uid="{00000000-0005-0000-0000-000036030000}"/>
    <cellStyle name="Note 10" xfId="581" xr:uid="{00000000-0005-0000-0000-000037030000}"/>
    <cellStyle name="Note 11" xfId="582" xr:uid="{00000000-0005-0000-0000-000038030000}"/>
    <cellStyle name="Note 2" xfId="583" xr:uid="{00000000-0005-0000-0000-000039030000}"/>
    <cellStyle name="Note 2 2" xfId="584" xr:uid="{00000000-0005-0000-0000-00003A030000}"/>
    <cellStyle name="Note 2_Allocators" xfId="585" xr:uid="{00000000-0005-0000-0000-00003B030000}"/>
    <cellStyle name="Note 3" xfId="586" xr:uid="{00000000-0005-0000-0000-00003C030000}"/>
    <cellStyle name="Note 3 2" xfId="587" xr:uid="{00000000-0005-0000-0000-00003D030000}"/>
    <cellStyle name="Note 3 3" xfId="588" xr:uid="{00000000-0005-0000-0000-00003E030000}"/>
    <cellStyle name="Note 3_Allocators" xfId="589" xr:uid="{00000000-0005-0000-0000-00003F030000}"/>
    <cellStyle name="Note 4" xfId="590" xr:uid="{00000000-0005-0000-0000-000040030000}"/>
    <cellStyle name="Note 4 2" xfId="591" xr:uid="{00000000-0005-0000-0000-000041030000}"/>
    <cellStyle name="Note 4_Allocators" xfId="592" xr:uid="{00000000-0005-0000-0000-000042030000}"/>
    <cellStyle name="Note 5" xfId="593" xr:uid="{00000000-0005-0000-0000-000043030000}"/>
    <cellStyle name="Note 6" xfId="594" xr:uid="{00000000-0005-0000-0000-000044030000}"/>
    <cellStyle name="Note 6 2" xfId="595" xr:uid="{00000000-0005-0000-0000-000045030000}"/>
    <cellStyle name="Note 6_Allocators" xfId="596" xr:uid="{00000000-0005-0000-0000-000046030000}"/>
    <cellStyle name="Note 7" xfId="597" xr:uid="{00000000-0005-0000-0000-000047030000}"/>
    <cellStyle name="Note 7 2" xfId="598" xr:uid="{00000000-0005-0000-0000-000048030000}"/>
    <cellStyle name="Note 8" xfId="599" xr:uid="{00000000-0005-0000-0000-000049030000}"/>
    <cellStyle name="Note 9" xfId="600" xr:uid="{00000000-0005-0000-0000-00004A030000}"/>
    <cellStyle name="nPlosion" xfId="601" xr:uid="{00000000-0005-0000-0000-00004B030000}"/>
    <cellStyle name="nvision" xfId="602" xr:uid="{00000000-0005-0000-0000-00004C030000}"/>
    <cellStyle name="Output 2" xfId="603" xr:uid="{00000000-0005-0000-0000-00004D030000}"/>
    <cellStyle name="Output 3" xfId="604" xr:uid="{00000000-0005-0000-0000-00004E030000}"/>
    <cellStyle name="Output 4" xfId="605" xr:uid="{00000000-0005-0000-0000-00004F030000}"/>
    <cellStyle name="Output 5" xfId="606" xr:uid="{00000000-0005-0000-0000-000050030000}"/>
    <cellStyle name="Output 6" xfId="607" xr:uid="{00000000-0005-0000-0000-000051030000}"/>
    <cellStyle name="Percent" xfId="608" builtinId="5"/>
    <cellStyle name="Percent 10" xfId="609" xr:uid="{00000000-0005-0000-0000-000053030000}"/>
    <cellStyle name="Percent 11" xfId="610" xr:uid="{00000000-0005-0000-0000-000054030000}"/>
    <cellStyle name="Percent 12" xfId="611" xr:uid="{00000000-0005-0000-0000-000055030000}"/>
    <cellStyle name="Percent 13" xfId="612" xr:uid="{00000000-0005-0000-0000-000056030000}"/>
    <cellStyle name="Percent 13 2" xfId="613" xr:uid="{00000000-0005-0000-0000-000057030000}"/>
    <cellStyle name="Percent 13 2 2" xfId="614" xr:uid="{00000000-0005-0000-0000-000058030000}"/>
    <cellStyle name="Percent 13 2 2 2" xfId="615" xr:uid="{00000000-0005-0000-0000-000059030000}"/>
    <cellStyle name="Percent 13 2 2 2 2" xfId="967" xr:uid="{00000000-0005-0000-0000-00005A030000}"/>
    <cellStyle name="Percent 13 2 2 3" xfId="966" xr:uid="{00000000-0005-0000-0000-00005B030000}"/>
    <cellStyle name="Percent 13 2 3" xfId="616" xr:uid="{00000000-0005-0000-0000-00005C030000}"/>
    <cellStyle name="Percent 13 2 3 2" xfId="968" xr:uid="{00000000-0005-0000-0000-00005D030000}"/>
    <cellStyle name="Percent 13 2 4" xfId="965" xr:uid="{00000000-0005-0000-0000-00005E030000}"/>
    <cellStyle name="Percent 13 3" xfId="617" xr:uid="{00000000-0005-0000-0000-00005F030000}"/>
    <cellStyle name="Percent 13 3 2" xfId="618" xr:uid="{00000000-0005-0000-0000-000060030000}"/>
    <cellStyle name="Percent 13 3 2 2" xfId="619" xr:uid="{00000000-0005-0000-0000-000061030000}"/>
    <cellStyle name="Percent 13 3 2 2 2" xfId="971" xr:uid="{00000000-0005-0000-0000-000062030000}"/>
    <cellStyle name="Percent 13 3 2 3" xfId="970" xr:uid="{00000000-0005-0000-0000-000063030000}"/>
    <cellStyle name="Percent 13 3 3" xfId="620" xr:uid="{00000000-0005-0000-0000-000064030000}"/>
    <cellStyle name="Percent 13 3 3 2" xfId="972" xr:uid="{00000000-0005-0000-0000-000065030000}"/>
    <cellStyle name="Percent 13 3 4" xfId="969" xr:uid="{00000000-0005-0000-0000-000066030000}"/>
    <cellStyle name="Percent 13 4" xfId="621" xr:uid="{00000000-0005-0000-0000-000067030000}"/>
    <cellStyle name="Percent 13 4 2" xfId="622" xr:uid="{00000000-0005-0000-0000-000068030000}"/>
    <cellStyle name="Percent 13 4 2 2" xfId="974" xr:uid="{00000000-0005-0000-0000-000069030000}"/>
    <cellStyle name="Percent 13 4 3" xfId="973" xr:uid="{00000000-0005-0000-0000-00006A030000}"/>
    <cellStyle name="Percent 13 5" xfId="623" xr:uid="{00000000-0005-0000-0000-00006B030000}"/>
    <cellStyle name="Percent 13 5 2" xfId="975" xr:uid="{00000000-0005-0000-0000-00006C030000}"/>
    <cellStyle name="Percent 13 6" xfId="964" xr:uid="{00000000-0005-0000-0000-00006D030000}"/>
    <cellStyle name="Percent 14" xfId="624" xr:uid="{00000000-0005-0000-0000-00006E030000}"/>
    <cellStyle name="Percent 15" xfId="963" xr:uid="{00000000-0005-0000-0000-00006F030000}"/>
    <cellStyle name="Percent 2" xfId="625" xr:uid="{00000000-0005-0000-0000-000070030000}"/>
    <cellStyle name="Percent 2 2" xfId="626" xr:uid="{00000000-0005-0000-0000-000071030000}"/>
    <cellStyle name="Percent 2 3" xfId="627" xr:uid="{00000000-0005-0000-0000-000072030000}"/>
    <cellStyle name="Percent 3" xfId="628" xr:uid="{00000000-0005-0000-0000-000073030000}"/>
    <cellStyle name="Percent 3 2" xfId="629" xr:uid="{00000000-0005-0000-0000-000074030000}"/>
    <cellStyle name="Percent 3 3" xfId="630" xr:uid="{00000000-0005-0000-0000-000075030000}"/>
    <cellStyle name="Percent 3 4" xfId="631" xr:uid="{00000000-0005-0000-0000-000076030000}"/>
    <cellStyle name="Percent 3 5" xfId="632" xr:uid="{00000000-0005-0000-0000-000077030000}"/>
    <cellStyle name="Percent 3 6" xfId="633" xr:uid="{00000000-0005-0000-0000-000078030000}"/>
    <cellStyle name="Percent 4" xfId="634" xr:uid="{00000000-0005-0000-0000-000079030000}"/>
    <cellStyle name="Percent 4 2" xfId="635" xr:uid="{00000000-0005-0000-0000-00007A030000}"/>
    <cellStyle name="Percent 4 3" xfId="636" xr:uid="{00000000-0005-0000-0000-00007B030000}"/>
    <cellStyle name="Percent 4 4" xfId="637" xr:uid="{00000000-0005-0000-0000-00007C030000}"/>
    <cellStyle name="Percent 5" xfId="638" xr:uid="{00000000-0005-0000-0000-00007D030000}"/>
    <cellStyle name="Percent 5 2" xfId="639" xr:uid="{00000000-0005-0000-0000-00007E030000}"/>
    <cellStyle name="Percent 6" xfId="640" xr:uid="{00000000-0005-0000-0000-00007F030000}"/>
    <cellStyle name="Percent 6 2" xfId="641" xr:uid="{00000000-0005-0000-0000-000080030000}"/>
    <cellStyle name="Percent 7" xfId="642" xr:uid="{00000000-0005-0000-0000-000081030000}"/>
    <cellStyle name="Percent 8" xfId="643" xr:uid="{00000000-0005-0000-0000-000082030000}"/>
    <cellStyle name="Percent 9" xfId="644" xr:uid="{00000000-0005-0000-0000-000083030000}"/>
    <cellStyle name="PSChar" xfId="645" xr:uid="{00000000-0005-0000-0000-000084030000}"/>
    <cellStyle name="PSChar 2" xfId="646" xr:uid="{00000000-0005-0000-0000-000085030000}"/>
    <cellStyle name="PSChar 2 2" xfId="647" xr:uid="{00000000-0005-0000-0000-000086030000}"/>
    <cellStyle name="PSChar 2 3" xfId="648" xr:uid="{00000000-0005-0000-0000-000087030000}"/>
    <cellStyle name="PSChar 3" xfId="649" xr:uid="{00000000-0005-0000-0000-000088030000}"/>
    <cellStyle name="PSChar 3 2" xfId="650" xr:uid="{00000000-0005-0000-0000-000089030000}"/>
    <cellStyle name="PSChar 4" xfId="651" xr:uid="{00000000-0005-0000-0000-00008A030000}"/>
    <cellStyle name="PSChar 5" xfId="652" xr:uid="{00000000-0005-0000-0000-00008B030000}"/>
    <cellStyle name="PSChar 6" xfId="653" xr:uid="{00000000-0005-0000-0000-00008C030000}"/>
    <cellStyle name="PSDate" xfId="654" xr:uid="{00000000-0005-0000-0000-00008D030000}"/>
    <cellStyle name="PSDate 2" xfId="655" xr:uid="{00000000-0005-0000-0000-00008E030000}"/>
    <cellStyle name="PSDate 2 2" xfId="656" xr:uid="{00000000-0005-0000-0000-00008F030000}"/>
    <cellStyle name="PSDate 2 3" xfId="657" xr:uid="{00000000-0005-0000-0000-000090030000}"/>
    <cellStyle name="PSDate 3" xfId="658" xr:uid="{00000000-0005-0000-0000-000091030000}"/>
    <cellStyle name="PSDate 3 2" xfId="659" xr:uid="{00000000-0005-0000-0000-000092030000}"/>
    <cellStyle name="PSDate 4" xfId="660" xr:uid="{00000000-0005-0000-0000-000093030000}"/>
    <cellStyle name="PSDate 5" xfId="661" xr:uid="{00000000-0005-0000-0000-000094030000}"/>
    <cellStyle name="PSDate 6" xfId="662" xr:uid="{00000000-0005-0000-0000-000095030000}"/>
    <cellStyle name="PSDec" xfId="663" xr:uid="{00000000-0005-0000-0000-000096030000}"/>
    <cellStyle name="PSDec 2" xfId="664" xr:uid="{00000000-0005-0000-0000-000097030000}"/>
    <cellStyle name="PSDec 2 2" xfId="665" xr:uid="{00000000-0005-0000-0000-000098030000}"/>
    <cellStyle name="PSDec 2 3" xfId="666" xr:uid="{00000000-0005-0000-0000-000099030000}"/>
    <cellStyle name="PSDec 3" xfId="667" xr:uid="{00000000-0005-0000-0000-00009A030000}"/>
    <cellStyle name="PSDec 3 2" xfId="668" xr:uid="{00000000-0005-0000-0000-00009B030000}"/>
    <cellStyle name="PSDec 4" xfId="669" xr:uid="{00000000-0005-0000-0000-00009C030000}"/>
    <cellStyle name="PSDec 5" xfId="670" xr:uid="{00000000-0005-0000-0000-00009D030000}"/>
    <cellStyle name="PSDec 6" xfId="671" xr:uid="{00000000-0005-0000-0000-00009E030000}"/>
    <cellStyle name="PSHeading" xfId="672" xr:uid="{00000000-0005-0000-0000-00009F030000}"/>
    <cellStyle name="PSHeading 10" xfId="673" xr:uid="{00000000-0005-0000-0000-0000A0030000}"/>
    <cellStyle name="PSHeading 11" xfId="674" xr:uid="{00000000-0005-0000-0000-0000A1030000}"/>
    <cellStyle name="PSHeading 2" xfId="675" xr:uid="{00000000-0005-0000-0000-0000A2030000}"/>
    <cellStyle name="PSHeading 2 2" xfId="676" xr:uid="{00000000-0005-0000-0000-0000A3030000}"/>
    <cellStyle name="PSHeading 2 3" xfId="677" xr:uid="{00000000-0005-0000-0000-0000A4030000}"/>
    <cellStyle name="PSHeading 2_108 Summary" xfId="678" xr:uid="{00000000-0005-0000-0000-0000A5030000}"/>
    <cellStyle name="PSHeading 3" xfId="679" xr:uid="{00000000-0005-0000-0000-0000A6030000}"/>
    <cellStyle name="PSHeading 3 2" xfId="680" xr:uid="{00000000-0005-0000-0000-0000A7030000}"/>
    <cellStyle name="PSHeading 3_108 Summary" xfId="681" xr:uid="{00000000-0005-0000-0000-0000A8030000}"/>
    <cellStyle name="PSHeading 4" xfId="682" xr:uid="{00000000-0005-0000-0000-0000A9030000}"/>
    <cellStyle name="PSHeading 5" xfId="683" xr:uid="{00000000-0005-0000-0000-0000AA030000}"/>
    <cellStyle name="PSHeading 6" xfId="684" xr:uid="{00000000-0005-0000-0000-0000AB030000}"/>
    <cellStyle name="PSHeading 7" xfId="685" xr:uid="{00000000-0005-0000-0000-0000AC030000}"/>
    <cellStyle name="PSHeading 8" xfId="686" xr:uid="{00000000-0005-0000-0000-0000AD030000}"/>
    <cellStyle name="PSHeading 9" xfId="687" xr:uid="{00000000-0005-0000-0000-0000AE030000}"/>
    <cellStyle name="PSHeading_101 check" xfId="688" xr:uid="{00000000-0005-0000-0000-0000AF030000}"/>
    <cellStyle name="PSInt" xfId="689" xr:uid="{00000000-0005-0000-0000-0000B0030000}"/>
    <cellStyle name="PSInt 2" xfId="690" xr:uid="{00000000-0005-0000-0000-0000B1030000}"/>
    <cellStyle name="PSInt 2 2" xfId="691" xr:uid="{00000000-0005-0000-0000-0000B2030000}"/>
    <cellStyle name="PSInt 2 3" xfId="692" xr:uid="{00000000-0005-0000-0000-0000B3030000}"/>
    <cellStyle name="PSInt 3" xfId="693" xr:uid="{00000000-0005-0000-0000-0000B4030000}"/>
    <cellStyle name="PSInt 3 2" xfId="694" xr:uid="{00000000-0005-0000-0000-0000B5030000}"/>
    <cellStyle name="PSInt 4" xfId="695" xr:uid="{00000000-0005-0000-0000-0000B6030000}"/>
    <cellStyle name="PSInt 5" xfId="696" xr:uid="{00000000-0005-0000-0000-0000B7030000}"/>
    <cellStyle name="PSInt 6" xfId="697" xr:uid="{00000000-0005-0000-0000-0000B8030000}"/>
    <cellStyle name="PSSpacer" xfId="698" xr:uid="{00000000-0005-0000-0000-0000B9030000}"/>
    <cellStyle name="PSSpacer 2" xfId="699" xr:uid="{00000000-0005-0000-0000-0000BA030000}"/>
    <cellStyle name="PSSpacer 2 2" xfId="700" xr:uid="{00000000-0005-0000-0000-0000BB030000}"/>
    <cellStyle name="PSSpacer 2 3" xfId="701" xr:uid="{00000000-0005-0000-0000-0000BC030000}"/>
    <cellStyle name="PSSpacer 3" xfId="702" xr:uid="{00000000-0005-0000-0000-0000BD030000}"/>
    <cellStyle name="PSSpacer 3 2" xfId="703" xr:uid="{00000000-0005-0000-0000-0000BE030000}"/>
    <cellStyle name="PSSpacer 4" xfId="704" xr:uid="{00000000-0005-0000-0000-0000BF030000}"/>
    <cellStyle name="PSSpacer 5" xfId="705" xr:uid="{00000000-0005-0000-0000-0000C0030000}"/>
    <cellStyle name="PSSpacer 6" xfId="706" xr:uid="{00000000-0005-0000-0000-0000C1030000}"/>
    <cellStyle name="Title 2" xfId="707" xr:uid="{00000000-0005-0000-0000-0000C2030000}"/>
    <cellStyle name="Title 3" xfId="708" xr:uid="{00000000-0005-0000-0000-0000C3030000}"/>
    <cellStyle name="Title 4" xfId="709" xr:uid="{00000000-0005-0000-0000-0000C4030000}"/>
    <cellStyle name="Title 5" xfId="710" xr:uid="{00000000-0005-0000-0000-0000C5030000}"/>
    <cellStyle name="Total 2" xfId="711" xr:uid="{00000000-0005-0000-0000-0000C6030000}"/>
    <cellStyle name="Total 3" xfId="712" xr:uid="{00000000-0005-0000-0000-0000C7030000}"/>
    <cellStyle name="Total 4" xfId="713" xr:uid="{00000000-0005-0000-0000-0000C8030000}"/>
    <cellStyle name="Total 5" xfId="714" xr:uid="{00000000-0005-0000-0000-0000C9030000}"/>
    <cellStyle name="Total 6" xfId="715" xr:uid="{00000000-0005-0000-0000-0000CA030000}"/>
    <cellStyle name="Total 7" xfId="716" xr:uid="{00000000-0005-0000-0000-0000CB030000}"/>
    <cellStyle name="Total 8" xfId="717" xr:uid="{00000000-0005-0000-0000-0000CC030000}"/>
    <cellStyle name="Warning Text 2" xfId="718" xr:uid="{00000000-0005-0000-0000-0000CD030000}"/>
    <cellStyle name="Warning Text 3" xfId="719" xr:uid="{00000000-0005-0000-0000-0000CE030000}"/>
    <cellStyle name="Warning Text 4" xfId="720" xr:uid="{00000000-0005-0000-0000-0000CF030000}"/>
    <cellStyle name="Warning Text 5" xfId="721" xr:uid="{00000000-0005-0000-0000-0000D0030000}"/>
    <cellStyle name="Warning Text 6" xfId="722" xr:uid="{00000000-0005-0000-0000-0000D1030000}"/>
  </cellStyles>
  <dxfs count="0"/>
  <tableStyles count="0" defaultTableStyle="TableStyleMedium2" defaultPivotStyle="PivotStyleLight16"/>
  <colors>
    <mruColors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workbookViewId="0">
      <selection activeCell="B5" sqref="B5"/>
    </sheetView>
  </sheetViews>
  <sheetFormatPr defaultRowHeight="12.75"/>
  <cols>
    <col min="2" max="3" width="18.140625" customWidth="1"/>
    <col min="4" max="5" width="14.42578125" customWidth="1"/>
    <col min="6" max="6" width="12.85546875" bestFit="1" customWidth="1"/>
    <col min="7" max="7" width="12.85546875" customWidth="1"/>
    <col min="8" max="8" width="15" bestFit="1" customWidth="1"/>
    <col min="9" max="9" width="14.42578125" bestFit="1" customWidth="1"/>
    <col min="10" max="11" width="14.85546875" customWidth="1"/>
    <col min="12" max="13" width="15.7109375" customWidth="1"/>
    <col min="14" max="14" width="11.5703125" customWidth="1"/>
  </cols>
  <sheetData>
    <row r="1" spans="1:12">
      <c r="A1" s="110" t="s">
        <v>16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>
      <c r="A2" s="110" t="s">
        <v>31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5" spans="1:12">
      <c r="A5" s="2" t="s">
        <v>22</v>
      </c>
    </row>
    <row r="6" spans="1:12" ht="38.25">
      <c r="A6" s="4" t="s">
        <v>17</v>
      </c>
      <c r="B6" s="5" t="s">
        <v>29</v>
      </c>
      <c r="C6" s="5" t="s">
        <v>28</v>
      </c>
      <c r="D6" s="5" t="s">
        <v>18</v>
      </c>
      <c r="E6" s="5" t="s">
        <v>21</v>
      </c>
      <c r="F6" s="5" t="s">
        <v>19</v>
      </c>
      <c r="G6" s="5" t="s">
        <v>30</v>
      </c>
      <c r="H6" s="5" t="s">
        <v>20</v>
      </c>
      <c r="I6" s="5" t="s">
        <v>27</v>
      </c>
      <c r="J6" s="5" t="s">
        <v>25</v>
      </c>
      <c r="K6" s="5" t="s">
        <v>26</v>
      </c>
      <c r="L6" s="5" t="s">
        <v>31</v>
      </c>
    </row>
    <row r="7" spans="1:12">
      <c r="A7" s="6">
        <v>41560</v>
      </c>
      <c r="B7" s="11">
        <v>5.7249999999999998E-4</v>
      </c>
      <c r="C7" s="11">
        <f>B8</f>
        <v>-1.7906E-3</v>
      </c>
      <c r="D7" s="8">
        <v>464763211</v>
      </c>
      <c r="E7" s="13">
        <f>D7*B7</f>
        <v>266076.93829750002</v>
      </c>
      <c r="F7" s="9">
        <v>2820380</v>
      </c>
      <c r="G7" s="13">
        <f>+B7*F7</f>
        <v>1614.6675499999999</v>
      </c>
      <c r="H7" s="8">
        <v>158974566</v>
      </c>
      <c r="I7" s="13">
        <f>+C7*H7</f>
        <v>-284659.85787960002</v>
      </c>
      <c r="J7" s="13"/>
      <c r="K7" s="13"/>
      <c r="L7" s="13">
        <f>+E7+G7+I7+J7+K7</f>
        <v>-16968.25203209999</v>
      </c>
    </row>
    <row r="8" spans="1:12">
      <c r="A8" s="7">
        <v>41591</v>
      </c>
      <c r="B8" s="12">
        <v>-1.7906E-3</v>
      </c>
      <c r="C8" s="12">
        <v>8.5360000000000004E-4</v>
      </c>
      <c r="D8" s="8">
        <v>494888418</v>
      </c>
      <c r="E8" s="13">
        <f>D8*B8</f>
        <v>-886147.20127079997</v>
      </c>
      <c r="F8" s="8">
        <v>84362</v>
      </c>
      <c r="G8" s="13">
        <f>+B8*F8</f>
        <v>-151.05859720000001</v>
      </c>
      <c r="H8" s="8">
        <v>237363628</v>
      </c>
      <c r="I8" s="13">
        <f>+C8*H8</f>
        <v>202613.59286080001</v>
      </c>
      <c r="J8" s="13">
        <f>-G7</f>
        <v>-1614.6675499999999</v>
      </c>
      <c r="K8" s="13">
        <f>-I7</f>
        <v>284659.85787960002</v>
      </c>
      <c r="L8" s="13">
        <f>+E8+G8+I8+J8+K8</f>
        <v>-400639.47667759995</v>
      </c>
    </row>
    <row r="11" spans="1:12">
      <c r="A11" s="2" t="s">
        <v>23</v>
      </c>
    </row>
    <row r="13" spans="1:12">
      <c r="A13" s="6">
        <v>41560</v>
      </c>
      <c r="B13" s="11">
        <v>5.7249999999999998E-4</v>
      </c>
      <c r="C13" s="11">
        <f>B14</f>
        <v>-1.7906E-3</v>
      </c>
      <c r="D13" s="8" t="e">
        <f>#REF!</f>
        <v>#REF!</v>
      </c>
      <c r="E13" s="13" t="e">
        <f>D13*B13</f>
        <v>#REF!</v>
      </c>
      <c r="F13">
        <v>0</v>
      </c>
      <c r="G13" s="10">
        <f>+B13*F13</f>
        <v>0</v>
      </c>
      <c r="H13" s="8" t="e">
        <f>#REF!</f>
        <v>#REF!</v>
      </c>
      <c r="I13" s="13" t="e">
        <f>+C13*H13</f>
        <v>#REF!</v>
      </c>
      <c r="J13" s="13"/>
      <c r="K13" s="13"/>
      <c r="L13" s="13" t="e">
        <f>+E13+G13+I13+J13+K13</f>
        <v>#REF!</v>
      </c>
    </row>
    <row r="14" spans="1:12">
      <c r="A14" s="7">
        <v>41591</v>
      </c>
      <c r="B14" s="12">
        <v>-1.7906E-3</v>
      </c>
      <c r="C14" s="12">
        <v>8.5360000000000004E-4</v>
      </c>
      <c r="D14" s="8" t="e">
        <f>#REF!</f>
        <v>#REF!</v>
      </c>
      <c r="E14" s="13" t="e">
        <f>D14*B14</f>
        <v>#REF!</v>
      </c>
      <c r="F14">
        <v>0</v>
      </c>
      <c r="G14" s="10">
        <f>+B14*F14</f>
        <v>0</v>
      </c>
      <c r="H14" s="8" t="e">
        <f>#REF!</f>
        <v>#REF!</v>
      </c>
      <c r="I14" s="13" t="e">
        <f>+C14*H14</f>
        <v>#REF!</v>
      </c>
      <c r="J14" s="13">
        <f>-G13</f>
        <v>0</v>
      </c>
      <c r="K14" s="13" t="e">
        <f>-I13</f>
        <v>#REF!</v>
      </c>
      <c r="L14" s="13" t="e">
        <f>+E14+G14+I14+J14+K14</f>
        <v>#REF!</v>
      </c>
    </row>
    <row r="15" spans="1:12">
      <c r="H15" s="8"/>
    </row>
    <row r="16" spans="1:12">
      <c r="H16" s="8"/>
    </row>
    <row r="17" spans="1:12">
      <c r="H17" s="8"/>
    </row>
    <row r="18" spans="1:12">
      <c r="H18" s="8"/>
    </row>
    <row r="19" spans="1:12">
      <c r="H19" s="8"/>
    </row>
    <row r="20" spans="1:12">
      <c r="H20" s="8"/>
    </row>
    <row r="21" spans="1:12">
      <c r="A21" s="2" t="s">
        <v>24</v>
      </c>
      <c r="H21" s="8"/>
    </row>
    <row r="22" spans="1:12">
      <c r="H22" s="8"/>
    </row>
    <row r="23" spans="1:12">
      <c r="A23" s="6">
        <v>41560</v>
      </c>
      <c r="B23" s="11">
        <v>5.7249999999999998E-4</v>
      </c>
      <c r="C23" s="11">
        <f>B24</f>
        <v>-1.7906E-3</v>
      </c>
      <c r="D23" s="3" t="e">
        <f>D7-D13</f>
        <v>#REF!</v>
      </c>
      <c r="E23" s="13" t="e">
        <f>D23*B23</f>
        <v>#REF!</v>
      </c>
      <c r="F23" s="8">
        <v>2820380</v>
      </c>
      <c r="G23" s="13">
        <f>+B23*F23</f>
        <v>1614.6675499999999</v>
      </c>
      <c r="H23" s="8" t="e">
        <f>+#REF!</f>
        <v>#REF!</v>
      </c>
      <c r="I23" s="13" t="e">
        <f>+C23*H23</f>
        <v>#REF!</v>
      </c>
      <c r="J23" s="13"/>
      <c r="K23" s="13"/>
      <c r="L23" s="13" t="e">
        <f>+E23+G23+I23+J23+K23</f>
        <v>#REF!</v>
      </c>
    </row>
    <row r="24" spans="1:12">
      <c r="A24" s="7">
        <v>41591</v>
      </c>
      <c r="B24" s="12">
        <v>-1.7906E-3</v>
      </c>
      <c r="C24" s="12">
        <v>8.5360000000000004E-4</v>
      </c>
      <c r="D24" s="3" t="e">
        <f>D8-D14</f>
        <v>#REF!</v>
      </c>
      <c r="E24" s="13" t="e">
        <f>D24*B24</f>
        <v>#REF!</v>
      </c>
      <c r="F24" s="8">
        <v>84362</v>
      </c>
      <c r="G24" s="13">
        <f>+B24*F24</f>
        <v>-151.05859720000001</v>
      </c>
      <c r="H24" s="8" t="e">
        <f>+#REF!</f>
        <v>#REF!</v>
      </c>
      <c r="I24" s="13" t="e">
        <f>+C24*H24</f>
        <v>#REF!</v>
      </c>
      <c r="J24" s="13">
        <f>-G23</f>
        <v>-1614.6675499999999</v>
      </c>
      <c r="K24" s="13" t="e">
        <f>-I23</f>
        <v>#REF!</v>
      </c>
      <c r="L24" s="13" t="e">
        <f>+E24+G24+I24+J24+K24</f>
        <v>#REF!</v>
      </c>
    </row>
    <row r="25" spans="1:12">
      <c r="H25" s="8"/>
    </row>
    <row r="26" spans="1:12">
      <c r="H26" s="8"/>
    </row>
    <row r="27" spans="1:12">
      <c r="H27" s="8"/>
    </row>
    <row r="28" spans="1:12">
      <c r="H28" s="8"/>
    </row>
    <row r="29" spans="1:12">
      <c r="H29" s="8"/>
    </row>
    <row r="30" spans="1:12">
      <c r="H30" s="8"/>
    </row>
    <row r="31" spans="1:12">
      <c r="A31" s="1"/>
      <c r="H31" s="8"/>
    </row>
    <row r="32" spans="1:12">
      <c r="H32" s="8"/>
    </row>
    <row r="33" spans="8:8">
      <c r="H33" s="8"/>
    </row>
    <row r="34" spans="8:8">
      <c r="H34" s="8"/>
    </row>
    <row r="35" spans="8:8">
      <c r="H35" s="8"/>
    </row>
  </sheetData>
  <mergeCells count="2">
    <mergeCell ref="A2:L2"/>
    <mergeCell ref="A1:L1"/>
  </mergeCells>
  <pageMargins left="0.7" right="0.7" top="0.75" bottom="0.75" header="0.3" footer="0.3"/>
  <pageSetup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showGridLines="0" zoomScaleNormal="100" workbookViewId="0">
      <pane ySplit="12" topLeftCell="A25" activePane="bottomLeft" state="frozen"/>
      <selection activeCell="D37" sqref="D37"/>
      <selection pane="bottomLeft" activeCell="E27" sqref="E27:G27"/>
    </sheetView>
  </sheetViews>
  <sheetFormatPr defaultRowHeight="12.75"/>
  <cols>
    <col min="1" max="2" width="9.140625" style="24"/>
    <col min="3" max="3" width="20.140625" style="24" customWidth="1"/>
    <col min="4" max="4" width="2.28515625" style="24" customWidth="1"/>
    <col min="5" max="5" width="8.140625" style="24" customWidth="1"/>
    <col min="6" max="6" width="15.28515625" style="24" customWidth="1"/>
    <col min="7" max="7" width="9.140625" style="24" customWidth="1"/>
    <col min="8" max="8" width="13.5703125" style="24" customWidth="1"/>
    <col min="9" max="9" width="15" style="24" customWidth="1"/>
    <col min="10" max="10" width="10.85546875" style="24" bestFit="1" customWidth="1"/>
    <col min="11" max="16384" width="9.140625" style="24"/>
  </cols>
  <sheetData>
    <row r="1" spans="1:12">
      <c r="A1" s="114" t="s">
        <v>8</v>
      </c>
      <c r="B1" s="114"/>
      <c r="C1" s="114"/>
      <c r="D1" s="114"/>
      <c r="E1" s="114"/>
      <c r="F1" s="114"/>
      <c r="H1" s="60" t="s">
        <v>55</v>
      </c>
    </row>
    <row r="2" spans="1:12">
      <c r="A2" s="93"/>
      <c r="B2" s="93"/>
      <c r="C2" s="93"/>
      <c r="D2" s="93"/>
      <c r="E2" s="93"/>
      <c r="F2" s="93"/>
      <c r="H2" s="60"/>
    </row>
    <row r="3" spans="1:12">
      <c r="A3" s="93"/>
      <c r="B3" s="93"/>
      <c r="C3" s="93"/>
      <c r="D3" s="93"/>
      <c r="E3" s="93"/>
      <c r="F3" s="93"/>
      <c r="H3" s="60"/>
    </row>
    <row r="4" spans="1:12">
      <c r="C4" s="16"/>
      <c r="D4" s="16"/>
      <c r="E4" s="16"/>
      <c r="F4" s="16"/>
      <c r="G4" s="16"/>
    </row>
    <row r="5" spans="1:12">
      <c r="C5" s="16"/>
      <c r="D5" s="16"/>
      <c r="E5" s="61" t="s">
        <v>0</v>
      </c>
      <c r="F5" s="16"/>
      <c r="G5" s="16"/>
    </row>
    <row r="6" spans="1:12">
      <c r="C6" s="16"/>
      <c r="D6" s="16"/>
      <c r="E6" s="61"/>
      <c r="F6" s="16"/>
      <c r="G6" s="16"/>
    </row>
    <row r="7" spans="1:12">
      <c r="C7" s="16"/>
      <c r="D7" s="16"/>
      <c r="E7" s="61" t="s">
        <v>59</v>
      </c>
      <c r="F7" s="16"/>
      <c r="G7" s="16"/>
    </row>
    <row r="8" spans="1:12">
      <c r="C8" s="16"/>
      <c r="D8" s="16"/>
      <c r="E8" s="61"/>
      <c r="F8" s="16"/>
      <c r="G8" s="16"/>
    </row>
    <row r="9" spans="1:12">
      <c r="C9" s="16"/>
      <c r="D9" s="16"/>
      <c r="E9" s="61" t="s">
        <v>10</v>
      </c>
      <c r="F9" s="16"/>
      <c r="G9" s="16"/>
    </row>
    <row r="10" spans="1:12">
      <c r="C10" s="16"/>
      <c r="D10" s="16"/>
      <c r="E10" s="63"/>
      <c r="F10" s="16"/>
      <c r="G10" s="16"/>
    </row>
    <row r="11" spans="1:12">
      <c r="C11" s="94" t="s">
        <v>32</v>
      </c>
      <c r="D11" s="94"/>
      <c r="F11" s="118" t="s">
        <v>68</v>
      </c>
      <c r="G11" s="119"/>
    </row>
    <row r="12" spans="1:12">
      <c r="C12" s="16"/>
      <c r="D12" s="16"/>
      <c r="E12" s="16"/>
      <c r="F12" s="16"/>
      <c r="G12" s="16"/>
    </row>
    <row r="13" spans="1:12">
      <c r="C13" s="16"/>
      <c r="D13" s="16"/>
      <c r="E13" s="16"/>
      <c r="F13" s="16"/>
      <c r="G13" s="16"/>
    </row>
    <row r="14" spans="1:12" ht="12.75" customHeight="1">
      <c r="C14" s="16" t="s">
        <v>8</v>
      </c>
      <c r="D14" s="16"/>
      <c r="E14" s="86" t="s">
        <v>8</v>
      </c>
      <c r="F14" s="16"/>
      <c r="G14" s="86"/>
      <c r="H14" s="125"/>
      <c r="I14" s="95"/>
      <c r="J14" s="18"/>
      <c r="K14" s="86"/>
      <c r="L14" s="111"/>
    </row>
    <row r="15" spans="1:12" ht="12.75" customHeight="1">
      <c r="C15" s="127" t="s">
        <v>60</v>
      </c>
      <c r="D15" s="127"/>
      <c r="E15" s="115" t="s">
        <v>7</v>
      </c>
      <c r="F15" s="96">
        <f>'BSDR-Page 2'!H22</f>
        <v>11376752</v>
      </c>
      <c r="G15" s="112" t="s">
        <v>7</v>
      </c>
      <c r="H15" s="125"/>
      <c r="J15" s="80"/>
      <c r="K15" s="112"/>
      <c r="L15" s="111"/>
    </row>
    <row r="16" spans="1:12" ht="15" customHeight="1">
      <c r="C16" s="127"/>
      <c r="D16" s="127"/>
      <c r="E16" s="115"/>
      <c r="F16" s="80">
        <f>'BSDR-Page 2'!H23</f>
        <v>258104643.2622546</v>
      </c>
      <c r="G16" s="112"/>
      <c r="H16" s="97">
        <f>ROUND(F15/F16,6)</f>
        <v>4.4077999999999999E-2</v>
      </c>
      <c r="I16" s="98"/>
      <c r="J16" s="81"/>
      <c r="K16" s="112"/>
      <c r="L16" s="82"/>
    </row>
    <row r="17" spans="3:12" ht="15" customHeight="1">
      <c r="C17" s="16"/>
      <c r="D17" s="16"/>
      <c r="E17" s="16"/>
      <c r="F17" s="99"/>
      <c r="G17" s="16"/>
      <c r="H17" s="16"/>
      <c r="I17" s="98"/>
      <c r="J17" s="82"/>
      <c r="K17" s="18"/>
      <c r="L17" s="18"/>
    </row>
    <row r="18" spans="3:12" ht="12.75" customHeight="1">
      <c r="F18" s="99"/>
      <c r="G18" s="16"/>
      <c r="H18" s="16"/>
      <c r="I18" s="98"/>
      <c r="J18" s="82"/>
      <c r="K18" s="18"/>
      <c r="L18" s="18"/>
    </row>
    <row r="19" spans="3:12" ht="12.75" customHeight="1">
      <c r="C19" s="127" t="s">
        <v>61</v>
      </c>
      <c r="D19" s="127"/>
      <c r="E19" s="116" t="s">
        <v>7</v>
      </c>
      <c r="F19" s="100">
        <f>'BSDR-Page 2'!H43</f>
        <v>15284420</v>
      </c>
      <c r="G19" s="126" t="s">
        <v>7</v>
      </c>
      <c r="H19" s="97">
        <f>ROUND(F19/F20,6)</f>
        <v>8.7694999999999995E-2</v>
      </c>
      <c r="I19" s="98"/>
      <c r="J19" s="82"/>
      <c r="K19" s="113"/>
      <c r="L19" s="82"/>
    </row>
    <row r="20" spans="3:12">
      <c r="C20" s="127"/>
      <c r="D20" s="127"/>
      <c r="E20" s="116"/>
      <c r="F20" s="99">
        <f>'BSDR-Page 2'!H44</f>
        <v>174291657.06910956</v>
      </c>
      <c r="G20" s="126"/>
      <c r="H20" s="16"/>
      <c r="J20" s="83"/>
      <c r="K20" s="113"/>
      <c r="L20" s="18"/>
    </row>
    <row r="21" spans="3:12" ht="20.100000000000001" customHeight="1">
      <c r="C21" s="16"/>
      <c r="D21" s="16"/>
      <c r="E21" s="16"/>
      <c r="F21" s="99"/>
      <c r="G21" s="101"/>
      <c r="H21" s="102"/>
      <c r="I21" s="71"/>
      <c r="J21" s="71"/>
      <c r="K21" s="71"/>
      <c r="L21" s="71"/>
    </row>
    <row r="22" spans="3:12">
      <c r="C22" s="16"/>
      <c r="D22" s="16"/>
      <c r="E22" s="16"/>
      <c r="F22" s="16"/>
      <c r="G22" s="18"/>
      <c r="H22" s="71"/>
      <c r="I22" s="71"/>
    </row>
    <row r="23" spans="3:12">
      <c r="C23" s="16"/>
      <c r="D23" s="16"/>
      <c r="E23" s="16"/>
      <c r="F23" s="16"/>
    </row>
    <row r="24" spans="3:12">
      <c r="C24" s="16"/>
      <c r="D24" s="16"/>
      <c r="E24" s="16"/>
      <c r="F24" s="16"/>
      <c r="G24" s="16"/>
    </row>
    <row r="25" spans="3:12">
      <c r="C25" s="16"/>
      <c r="D25" s="16"/>
      <c r="E25" s="16"/>
      <c r="F25" s="16"/>
      <c r="G25" s="16"/>
    </row>
    <row r="26" spans="3:12">
      <c r="C26" s="16"/>
      <c r="D26" s="16"/>
      <c r="E26" s="16"/>
      <c r="F26" s="16"/>
      <c r="G26" s="16"/>
    </row>
    <row r="27" spans="3:12" ht="15" customHeight="1">
      <c r="C27" s="19" t="s">
        <v>1</v>
      </c>
      <c r="D27" s="16"/>
      <c r="E27" s="120" t="s">
        <v>69</v>
      </c>
      <c r="F27" s="121"/>
      <c r="G27" s="121"/>
    </row>
    <row r="28" spans="3:12">
      <c r="C28" s="16"/>
      <c r="D28" s="16"/>
      <c r="E28" s="128" t="s">
        <v>64</v>
      </c>
      <c r="F28" s="128"/>
      <c r="G28" s="128"/>
    </row>
    <row r="29" spans="3:12">
      <c r="C29" s="16"/>
      <c r="D29" s="16"/>
      <c r="E29" s="16"/>
      <c r="F29" s="16"/>
      <c r="G29" s="16"/>
    </row>
    <row r="30" spans="3:12">
      <c r="C30" s="16"/>
      <c r="D30" s="16"/>
      <c r="E30" s="16"/>
      <c r="F30" s="16"/>
      <c r="G30" s="16"/>
    </row>
    <row r="31" spans="3:12">
      <c r="C31" s="19" t="s">
        <v>2</v>
      </c>
      <c r="D31" s="16"/>
      <c r="E31" s="78"/>
      <c r="F31" s="78" t="s">
        <v>63</v>
      </c>
      <c r="G31" s="78"/>
    </row>
    <row r="32" spans="3:12">
      <c r="C32" s="16"/>
      <c r="D32" s="16"/>
      <c r="E32" s="16"/>
      <c r="F32" s="19" t="s">
        <v>3</v>
      </c>
      <c r="G32" s="16"/>
    </row>
    <row r="33" spans="3:15">
      <c r="C33" s="16"/>
      <c r="D33" s="16"/>
      <c r="E33" s="16"/>
      <c r="F33" s="16"/>
      <c r="G33" s="16"/>
      <c r="J33" s="103"/>
    </row>
    <row r="34" spans="3:15">
      <c r="C34" s="16"/>
      <c r="D34" s="16"/>
      <c r="E34" s="16"/>
      <c r="F34" s="16"/>
      <c r="G34" s="16"/>
    </row>
    <row r="35" spans="3:15">
      <c r="C35" s="19" t="s">
        <v>4</v>
      </c>
      <c r="D35" s="16"/>
      <c r="E35" s="123" t="s">
        <v>65</v>
      </c>
      <c r="F35" s="124"/>
      <c r="G35" s="124"/>
    </row>
    <row r="36" spans="3:15">
      <c r="C36" s="16"/>
      <c r="D36" s="16"/>
      <c r="E36" s="16"/>
      <c r="F36" s="16"/>
      <c r="G36" s="16"/>
      <c r="O36" s="75"/>
    </row>
    <row r="37" spans="3:15">
      <c r="C37" s="16"/>
      <c r="D37" s="16"/>
      <c r="E37" s="16"/>
      <c r="F37" s="16"/>
      <c r="G37" s="16"/>
    </row>
    <row r="38" spans="3:15">
      <c r="C38" s="19" t="s">
        <v>5</v>
      </c>
      <c r="D38" s="16"/>
      <c r="E38" s="122">
        <v>45153</v>
      </c>
      <c r="F38" s="121"/>
      <c r="G38" s="121"/>
    </row>
    <row r="39" spans="3:15">
      <c r="C39" s="16"/>
      <c r="D39" s="16"/>
      <c r="E39" s="19"/>
      <c r="F39" s="16"/>
      <c r="G39" s="16"/>
    </row>
    <row r="43" spans="3:15">
      <c r="C43" s="117"/>
      <c r="D43" s="117"/>
      <c r="E43" s="117"/>
      <c r="F43" s="117"/>
      <c r="G43" s="117"/>
      <c r="H43" s="117"/>
    </row>
  </sheetData>
  <mergeCells count="17">
    <mergeCell ref="C43:H43"/>
    <mergeCell ref="F11:G11"/>
    <mergeCell ref="E27:G27"/>
    <mergeCell ref="E38:G38"/>
    <mergeCell ref="E35:G35"/>
    <mergeCell ref="H14:H15"/>
    <mergeCell ref="G15:G16"/>
    <mergeCell ref="G19:G20"/>
    <mergeCell ref="C15:D16"/>
    <mergeCell ref="C19:D20"/>
    <mergeCell ref="E28:G28"/>
    <mergeCell ref="L14:L15"/>
    <mergeCell ref="K15:K16"/>
    <mergeCell ref="K19:K20"/>
    <mergeCell ref="A1:F1"/>
    <mergeCell ref="E15:E16"/>
    <mergeCell ref="E19:E20"/>
  </mergeCells>
  <phoneticPr fontId="0" type="noConversion"/>
  <printOptions horizontalCentered="1" verticalCentered="1"/>
  <pageMargins left="0.5" right="0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3"/>
  <sheetViews>
    <sheetView showGridLines="0" zoomScaleNormal="100" workbookViewId="0">
      <pane ySplit="7" topLeftCell="A8" activePane="bottomLeft" state="frozen"/>
      <selection activeCell="F13" sqref="F13"/>
      <selection pane="bottomLeft" activeCell="H44" sqref="H44"/>
    </sheetView>
  </sheetViews>
  <sheetFormatPr defaultColWidth="8.7109375" defaultRowHeight="12.75"/>
  <cols>
    <col min="1" max="1" width="5.7109375" style="69" customWidth="1"/>
    <col min="2" max="2" width="4.7109375" style="24" customWidth="1"/>
    <col min="3" max="3" width="8.7109375" style="24"/>
    <col min="4" max="4" width="23.28515625" style="24" customWidth="1"/>
    <col min="5" max="5" width="4" style="24" customWidth="1"/>
    <col min="6" max="6" width="17" style="24" customWidth="1"/>
    <col min="7" max="7" width="5.28515625" style="24" customWidth="1"/>
    <col min="8" max="8" width="15.42578125" style="24" customWidth="1"/>
    <col min="9" max="9" width="2.7109375" style="24" customWidth="1"/>
    <col min="10" max="10" width="6.42578125" style="24" customWidth="1"/>
    <col min="11" max="11" width="14.42578125" style="24" customWidth="1"/>
    <col min="12" max="12" width="3.7109375" style="24" customWidth="1"/>
    <col min="13" max="13" width="8.7109375" style="24"/>
    <col min="14" max="14" width="13.5703125" style="24" customWidth="1"/>
    <col min="15" max="15" width="8.7109375" style="24"/>
    <col min="16" max="16" width="13.42578125" style="24" bestFit="1" customWidth="1"/>
    <col min="17" max="17" width="14.42578125" style="24" bestFit="1" customWidth="1"/>
    <col min="18" max="16384" width="8.7109375" style="24"/>
  </cols>
  <sheetData>
    <row r="2" spans="1:14">
      <c r="A2" s="59"/>
      <c r="B2" s="16"/>
      <c r="C2" s="16"/>
      <c r="D2" s="16"/>
      <c r="E2" s="16"/>
      <c r="F2" s="16"/>
      <c r="G2" s="16"/>
      <c r="H2" s="16"/>
      <c r="I2" s="16"/>
      <c r="J2" s="16"/>
      <c r="K2" s="60" t="s">
        <v>56</v>
      </c>
    </row>
    <row r="3" spans="1:14">
      <c r="A3" s="60"/>
      <c r="B3" s="16"/>
      <c r="C3" s="16"/>
      <c r="D3" s="16"/>
      <c r="E3" s="16"/>
      <c r="F3" s="61" t="s">
        <v>0</v>
      </c>
      <c r="G3" s="16"/>
      <c r="H3" s="16"/>
      <c r="I3" s="16"/>
      <c r="J3" s="16"/>
      <c r="K3" s="16"/>
    </row>
    <row r="4" spans="1:14">
      <c r="A4" s="60"/>
      <c r="B4" s="16"/>
      <c r="C4" s="16"/>
      <c r="D4" s="16"/>
      <c r="E4" s="16"/>
      <c r="F4" s="61"/>
      <c r="G4" s="16"/>
      <c r="H4" s="16"/>
      <c r="I4" s="16"/>
      <c r="J4" s="16"/>
      <c r="K4" s="16"/>
    </row>
    <row r="5" spans="1:14">
      <c r="A5" s="60"/>
      <c r="B5" s="16"/>
      <c r="C5" s="16"/>
      <c r="D5" s="16"/>
      <c r="E5" s="62"/>
      <c r="F5" s="61" t="s">
        <v>59</v>
      </c>
      <c r="G5" s="16"/>
      <c r="H5" s="16"/>
      <c r="I5" s="16"/>
      <c r="J5" s="16"/>
      <c r="K5" s="16"/>
    </row>
    <row r="6" spans="1:14">
      <c r="A6" s="63"/>
      <c r="B6" s="16"/>
      <c r="C6" s="16"/>
      <c r="D6" s="64"/>
      <c r="E6" s="64"/>
      <c r="F6" s="65"/>
      <c r="G6" s="16"/>
      <c r="H6" s="16"/>
      <c r="I6" s="16"/>
      <c r="J6" s="16"/>
      <c r="K6" s="16"/>
    </row>
    <row r="7" spans="1:14">
      <c r="A7" s="60"/>
      <c r="B7" s="16"/>
      <c r="C7" s="16"/>
      <c r="D7" s="63"/>
      <c r="E7" s="66" t="s">
        <v>32</v>
      </c>
      <c r="G7" s="104" t="s">
        <v>68</v>
      </c>
      <c r="H7" s="67"/>
      <c r="I7" s="67"/>
      <c r="J7" s="16"/>
      <c r="K7" s="16"/>
    </row>
    <row r="8" spans="1:14">
      <c r="A8" s="60"/>
      <c r="B8" s="16"/>
      <c r="C8" s="16"/>
      <c r="D8" s="63"/>
      <c r="E8" s="63"/>
      <c r="F8" s="66"/>
      <c r="G8" s="68"/>
      <c r="H8" s="67"/>
      <c r="I8" s="67"/>
      <c r="J8" s="16"/>
      <c r="K8" s="16"/>
    </row>
    <row r="9" spans="1:14">
      <c r="A9" s="60"/>
      <c r="B9" s="16"/>
      <c r="C9" s="16"/>
      <c r="D9" s="63"/>
      <c r="E9" s="63"/>
      <c r="F9" s="66"/>
      <c r="G9" s="68"/>
      <c r="H9" s="67"/>
      <c r="I9" s="67"/>
      <c r="J9" s="16"/>
      <c r="K9" s="16"/>
    </row>
    <row r="10" spans="1:14">
      <c r="A10" s="60"/>
      <c r="B10" s="16"/>
      <c r="C10" s="16"/>
      <c r="D10" s="63"/>
      <c r="E10" s="63"/>
      <c r="F10" s="66"/>
      <c r="G10" s="68"/>
      <c r="H10" s="67"/>
      <c r="I10" s="67"/>
      <c r="J10" s="16"/>
      <c r="K10" s="16"/>
    </row>
    <row r="11" spans="1:14">
      <c r="A11" s="60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4">
      <c r="A12" s="60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4" ht="12.75" customHeight="1">
      <c r="E13" s="130" t="s">
        <v>9</v>
      </c>
      <c r="F13" s="130"/>
      <c r="G13" s="130"/>
      <c r="J13" s="60" t="s">
        <v>8</v>
      </c>
      <c r="K13" s="21" t="s">
        <v>8</v>
      </c>
    </row>
    <row r="14" spans="1:14" ht="12.75" customHeight="1">
      <c r="E14" s="70"/>
      <c r="F14" s="70"/>
      <c r="G14" s="70"/>
      <c r="J14" s="60"/>
      <c r="K14" s="21"/>
      <c r="N14" s="71"/>
    </row>
    <row r="15" spans="1:14" ht="12.75" customHeight="1">
      <c r="E15" s="71"/>
      <c r="F15" s="70"/>
      <c r="G15" s="71"/>
      <c r="J15" s="60"/>
      <c r="K15" s="21"/>
      <c r="N15" s="71"/>
    </row>
    <row r="16" spans="1:14" ht="12.75" customHeight="1">
      <c r="A16" s="60"/>
      <c r="B16" s="72"/>
      <c r="C16" s="72"/>
      <c r="D16" s="72"/>
      <c r="E16" s="72"/>
      <c r="F16" s="16"/>
      <c r="G16" s="16"/>
      <c r="H16" s="16"/>
      <c r="I16" s="16"/>
      <c r="J16" s="60" t="s">
        <v>8</v>
      </c>
      <c r="K16" s="21" t="s">
        <v>8</v>
      </c>
      <c r="N16" s="71"/>
    </row>
    <row r="17" spans="1:16" ht="12.75" customHeight="1">
      <c r="A17" s="73" t="s">
        <v>36</v>
      </c>
      <c r="B17" s="72"/>
      <c r="C17" s="72" t="s">
        <v>34</v>
      </c>
      <c r="D17" s="16"/>
      <c r="E17" s="92" t="s">
        <v>7</v>
      </c>
      <c r="F17" s="105">
        <f>Calculation!D4</f>
        <v>26661171.588326275</v>
      </c>
      <c r="G17" s="92" t="s">
        <v>11</v>
      </c>
      <c r="H17" s="105">
        <v>258104643.2622546</v>
      </c>
      <c r="I17" s="14" t="s">
        <v>33</v>
      </c>
      <c r="J17" s="89" t="s">
        <v>7</v>
      </c>
      <c r="K17" s="54">
        <f>ROUND(F17*H17/H18,0)</f>
        <v>11376752</v>
      </c>
      <c r="N17" s="88"/>
      <c r="P17" s="74"/>
    </row>
    <row r="18" spans="1:16" ht="12.75" customHeight="1">
      <c r="A18" s="60"/>
      <c r="B18" s="72"/>
      <c r="C18" s="16" t="s">
        <v>8</v>
      </c>
      <c r="D18" s="16"/>
      <c r="E18" s="92"/>
      <c r="F18" s="15"/>
      <c r="G18" s="92"/>
      <c r="H18" s="108">
        <v>604862644.60926414</v>
      </c>
      <c r="I18" s="86" t="s">
        <v>8</v>
      </c>
      <c r="J18" s="90"/>
      <c r="K18" s="54"/>
      <c r="N18" s="88"/>
      <c r="O18" s="75" t="s">
        <v>8</v>
      </c>
    </row>
    <row r="19" spans="1:16" ht="12.75" customHeight="1">
      <c r="A19" s="60"/>
      <c r="B19" s="72"/>
      <c r="C19" s="16"/>
      <c r="D19" s="16"/>
      <c r="E19" s="92"/>
      <c r="F19" s="15"/>
      <c r="G19" s="92"/>
      <c r="H19" s="86"/>
      <c r="I19" s="86"/>
      <c r="J19" s="90"/>
      <c r="K19" s="54"/>
      <c r="N19" s="88"/>
      <c r="O19" s="75"/>
    </row>
    <row r="20" spans="1:16" ht="12.75" customHeight="1">
      <c r="A20" s="60"/>
      <c r="B20" s="72"/>
      <c r="C20" s="16"/>
      <c r="D20" s="16"/>
      <c r="E20" s="92"/>
      <c r="F20" s="15"/>
      <c r="G20" s="92"/>
      <c r="H20" s="53"/>
      <c r="I20" s="86"/>
      <c r="J20" s="90"/>
      <c r="K20" s="54"/>
      <c r="N20" s="88"/>
      <c r="O20" s="75"/>
    </row>
    <row r="21" spans="1:16" ht="15" customHeight="1">
      <c r="A21" s="60"/>
      <c r="B21" s="72"/>
      <c r="C21" s="72"/>
      <c r="D21" s="19"/>
      <c r="E21" s="19"/>
      <c r="F21" s="20"/>
      <c r="G21" s="16"/>
      <c r="H21" s="16"/>
      <c r="I21" s="16"/>
      <c r="J21" s="16"/>
      <c r="K21" s="21" t="s">
        <v>8</v>
      </c>
      <c r="N21" s="21"/>
    </row>
    <row r="22" spans="1:16" ht="13.5" thickBot="1">
      <c r="A22" s="60" t="s">
        <v>6</v>
      </c>
      <c r="B22" s="72"/>
      <c r="D22" s="72" t="s">
        <v>12</v>
      </c>
      <c r="E22" s="22" t="s">
        <v>7</v>
      </c>
      <c r="F22" s="87" t="s">
        <v>50</v>
      </c>
      <c r="G22" s="76" t="s">
        <v>7</v>
      </c>
      <c r="H22" s="106">
        <f>K17</f>
        <v>11376752</v>
      </c>
      <c r="I22" s="16" t="s">
        <v>8</v>
      </c>
      <c r="J22" s="16" t="s">
        <v>8</v>
      </c>
      <c r="K22" s="107">
        <f>ROUND(H22/H23, 6)</f>
        <v>4.4077999999999999E-2</v>
      </c>
      <c r="N22" s="84"/>
    </row>
    <row r="23" spans="1:16" ht="13.5" thickTop="1">
      <c r="A23" s="60"/>
      <c r="B23" s="72"/>
      <c r="C23" s="72"/>
      <c r="D23" s="19"/>
      <c r="E23" s="19"/>
      <c r="F23" s="19" t="s">
        <v>13</v>
      </c>
      <c r="G23" s="16"/>
      <c r="H23" s="17">
        <f>H17</f>
        <v>258104643.2622546</v>
      </c>
      <c r="I23" s="16"/>
      <c r="J23" s="16"/>
      <c r="K23" s="18"/>
      <c r="N23" s="18"/>
    </row>
    <row r="24" spans="1:16">
      <c r="A24" s="60"/>
      <c r="B24" s="72"/>
      <c r="C24" s="72"/>
      <c r="D24" s="19"/>
      <c r="E24" s="19"/>
      <c r="F24" s="19"/>
      <c r="G24" s="16"/>
      <c r="H24" s="17"/>
      <c r="I24" s="16"/>
      <c r="J24" s="16"/>
      <c r="K24" s="18"/>
      <c r="N24" s="18"/>
    </row>
    <row r="25" spans="1:16">
      <c r="A25" s="60"/>
      <c r="B25" s="72"/>
      <c r="C25" s="72"/>
      <c r="D25" s="19"/>
      <c r="E25" s="19"/>
      <c r="F25" s="19"/>
      <c r="G25" s="16"/>
      <c r="H25" s="17"/>
      <c r="I25" s="16"/>
      <c r="J25" s="16"/>
      <c r="K25" s="18"/>
      <c r="N25" s="18"/>
    </row>
    <row r="26" spans="1:16">
      <c r="A26" s="60"/>
      <c r="B26" s="72"/>
      <c r="C26" s="72"/>
      <c r="D26" s="19"/>
      <c r="E26" s="19"/>
      <c r="F26" s="19"/>
      <c r="G26" s="16"/>
      <c r="H26" s="17"/>
      <c r="I26" s="16"/>
      <c r="J26" s="16"/>
      <c r="K26" s="18"/>
      <c r="N26" s="18"/>
    </row>
    <row r="27" spans="1:16">
      <c r="A27" s="24"/>
      <c r="N27" s="71"/>
    </row>
    <row r="28" spans="1:16">
      <c r="A28" s="24"/>
      <c r="N28" s="71"/>
    </row>
    <row r="29" spans="1:16" ht="13.5" thickBo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N29" s="71"/>
    </row>
    <row r="30" spans="1:16" ht="13.5" thickTop="1">
      <c r="A30" s="24"/>
      <c r="N30" s="71"/>
    </row>
    <row r="31" spans="1:16">
      <c r="A31" s="24"/>
      <c r="N31" s="71"/>
    </row>
    <row r="32" spans="1:16">
      <c r="A32" s="24"/>
      <c r="N32" s="71"/>
    </row>
    <row r="33" spans="1:17">
      <c r="A33" s="24"/>
      <c r="N33" s="71"/>
    </row>
    <row r="34" spans="1:17" ht="12.75" customHeight="1">
      <c r="A34" s="24"/>
      <c r="E34" s="130" t="s">
        <v>15</v>
      </c>
      <c r="F34" s="130"/>
      <c r="G34" s="130"/>
      <c r="N34" s="71"/>
    </row>
    <row r="35" spans="1:17" ht="12.75" customHeight="1">
      <c r="A35" s="24"/>
      <c r="E35" s="70"/>
      <c r="F35" s="70"/>
      <c r="G35" s="70"/>
      <c r="N35" s="71"/>
    </row>
    <row r="36" spans="1:17" ht="12.75" customHeight="1">
      <c r="A36" s="24"/>
      <c r="N36" s="71"/>
    </row>
    <row r="37" spans="1:17" ht="15" customHeight="1">
      <c r="A37" s="24"/>
      <c r="N37" s="71"/>
    </row>
    <row r="38" spans="1:17">
      <c r="A38" s="73" t="s">
        <v>53</v>
      </c>
      <c r="B38" s="72"/>
      <c r="C38" s="72" t="s">
        <v>35</v>
      </c>
      <c r="D38" s="16"/>
      <c r="E38" s="125" t="s">
        <v>7</v>
      </c>
      <c r="F38" s="105">
        <f>F17</f>
        <v>26661171.588326275</v>
      </c>
      <c r="G38" s="125" t="s">
        <v>11</v>
      </c>
      <c r="H38" s="105">
        <f>H39-'BSDR-Page 2'!H17</f>
        <v>346758001.34700954</v>
      </c>
      <c r="I38" s="14" t="s">
        <v>33</v>
      </c>
      <c r="J38" s="131" t="s">
        <v>7</v>
      </c>
      <c r="K38" s="133">
        <f>ROUND(F38*H38/H39,0)</f>
        <v>15284420</v>
      </c>
      <c r="N38" s="129"/>
      <c r="Q38" s="74"/>
    </row>
    <row r="39" spans="1:17" ht="13.5" customHeight="1">
      <c r="A39" s="60"/>
      <c r="B39" s="72"/>
      <c r="C39" s="16" t="s">
        <v>8</v>
      </c>
      <c r="D39" s="16"/>
      <c r="E39" s="125"/>
      <c r="F39" s="15"/>
      <c r="G39" s="125"/>
      <c r="H39" s="86">
        <f>'BSDR-Page 2'!H18</f>
        <v>604862644.60926414</v>
      </c>
      <c r="I39" s="86" t="s">
        <v>8</v>
      </c>
      <c r="J39" s="132"/>
      <c r="K39" s="133"/>
      <c r="N39" s="129"/>
    </row>
    <row r="40" spans="1:17">
      <c r="A40" s="60"/>
      <c r="B40" s="72"/>
      <c r="C40" s="16"/>
      <c r="D40" s="16"/>
      <c r="E40" s="92"/>
      <c r="F40" s="15"/>
      <c r="G40" s="92"/>
      <c r="H40" s="86"/>
      <c r="I40" s="86"/>
      <c r="J40" s="90"/>
      <c r="K40" s="54"/>
      <c r="N40" s="88"/>
    </row>
    <row r="41" spans="1:17">
      <c r="A41" s="60"/>
      <c r="B41" s="72"/>
      <c r="C41" s="16"/>
      <c r="D41" s="16"/>
      <c r="E41" s="92"/>
      <c r="F41" s="15"/>
      <c r="G41" s="92"/>
      <c r="H41" s="53"/>
      <c r="I41" s="86"/>
      <c r="J41" s="90"/>
      <c r="K41" s="54"/>
      <c r="N41" s="88"/>
    </row>
    <row r="42" spans="1:17">
      <c r="A42" s="60"/>
      <c r="B42" s="72"/>
      <c r="C42" s="72"/>
      <c r="D42" s="19"/>
      <c r="E42" s="19"/>
      <c r="F42" s="20"/>
      <c r="G42" s="19"/>
      <c r="H42" s="16"/>
      <c r="I42" s="16"/>
      <c r="J42" s="16"/>
      <c r="K42" s="21" t="s">
        <v>8</v>
      </c>
      <c r="N42" s="21"/>
    </row>
    <row r="43" spans="1:17" ht="13.5" thickBot="1">
      <c r="A43" s="60" t="s">
        <v>54</v>
      </c>
      <c r="B43" s="72"/>
      <c r="D43" s="72" t="s">
        <v>12</v>
      </c>
      <c r="E43" s="22" t="s">
        <v>7</v>
      </c>
      <c r="F43" s="87" t="s">
        <v>51</v>
      </c>
      <c r="G43" s="22" t="s">
        <v>7</v>
      </c>
      <c r="H43" s="106">
        <f>K38</f>
        <v>15284420</v>
      </c>
      <c r="I43" s="16" t="s">
        <v>8</v>
      </c>
      <c r="J43" s="16" t="s">
        <v>8</v>
      </c>
      <c r="K43" s="107">
        <f>ROUND(H43/H44, 6)</f>
        <v>8.7694999999999995E-2</v>
      </c>
      <c r="N43" s="84"/>
    </row>
    <row r="44" spans="1:17" ht="13.5" thickTop="1">
      <c r="A44" s="60"/>
      <c r="B44" s="72"/>
      <c r="C44" s="72"/>
      <c r="D44" s="19"/>
      <c r="E44" s="127" t="s">
        <v>14</v>
      </c>
      <c r="F44" s="127"/>
      <c r="G44" s="127"/>
      <c r="H44" s="17">
        <v>174291657.06910956</v>
      </c>
      <c r="I44" s="16"/>
      <c r="J44" s="16"/>
      <c r="K44" s="23"/>
      <c r="N44" s="71"/>
    </row>
    <row r="45" spans="1:17">
      <c r="A45" s="24"/>
      <c r="E45" s="127"/>
      <c r="F45" s="127"/>
      <c r="G45" s="127"/>
      <c r="N45" s="71"/>
    </row>
    <row r="46" spans="1:17">
      <c r="A46" s="24"/>
      <c r="E46" s="91"/>
      <c r="F46" s="91"/>
      <c r="G46" s="91"/>
      <c r="N46" s="71"/>
    </row>
    <row r="47" spans="1:17" ht="13.5" thickBo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7" ht="13.5" thickTop="1">
      <c r="A48" s="24"/>
    </row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</sheetData>
  <mergeCells count="8">
    <mergeCell ref="N38:N39"/>
    <mergeCell ref="E13:G13"/>
    <mergeCell ref="J38:J39"/>
    <mergeCell ref="K38:K39"/>
    <mergeCell ref="E44:G45"/>
    <mergeCell ref="E34:G34"/>
    <mergeCell ref="E38:E39"/>
    <mergeCell ref="G38:G39"/>
  </mergeCells>
  <phoneticPr fontId="0" type="noConversion"/>
  <printOptions horizontalCentered="1"/>
  <pageMargins left="0.5" right="0" top="0.5" bottom="0.5" header="0" footer="0"/>
  <pageSetup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13"/>
  <sheetViews>
    <sheetView tabSelected="1" zoomScale="90" zoomScaleNormal="90" workbookViewId="0">
      <pane xSplit="2" ySplit="8" topLeftCell="C75" activePane="bottomRight" state="frozen"/>
      <selection pane="topRight" activeCell="C1" sqref="C1"/>
      <selection pane="bottomLeft" activeCell="A9" sqref="A9"/>
      <selection pane="bottomRight" activeCell="L75" sqref="L75"/>
    </sheetView>
  </sheetViews>
  <sheetFormatPr defaultColWidth="9.140625" defaultRowHeight="15" outlineLevelRow="1"/>
  <cols>
    <col min="1" max="1" width="4.7109375" style="30" bestFit="1" customWidth="1"/>
    <col min="2" max="2" width="31.5703125" style="30" customWidth="1"/>
    <col min="3" max="3" width="13.7109375" style="30" customWidth="1"/>
    <col min="4" max="4" width="17.7109375" style="30" bestFit="1" customWidth="1"/>
    <col min="5" max="5" width="16.7109375" style="30" bestFit="1" customWidth="1"/>
    <col min="6" max="6" width="19.5703125" style="30" bestFit="1" customWidth="1"/>
    <col min="7" max="7" width="20" style="31" bestFit="1" customWidth="1"/>
    <col min="8" max="8" width="15.85546875" style="31" bestFit="1" customWidth="1"/>
    <col min="9" max="9" width="14.140625" style="31" bestFit="1" customWidth="1"/>
    <col min="10" max="10" width="14.42578125" style="31" bestFit="1" customWidth="1"/>
    <col min="11" max="11" width="18.5703125" style="31" bestFit="1" customWidth="1"/>
    <col min="12" max="12" width="24.5703125" style="30" bestFit="1" customWidth="1"/>
    <col min="13" max="13" width="17.140625" style="30" customWidth="1"/>
    <col min="14" max="14" width="9.85546875" style="30" bestFit="1" customWidth="1"/>
    <col min="15" max="16384" width="9.140625" style="30"/>
  </cols>
  <sheetData>
    <row r="1" spans="1:13">
      <c r="B1" s="30" t="s">
        <v>49</v>
      </c>
      <c r="D1" s="52">
        <v>7.4999999999999997E-2</v>
      </c>
      <c r="E1" s="27"/>
      <c r="L1" s="135">
        <v>-44395986.109999999</v>
      </c>
    </row>
    <row r="2" spans="1:13">
      <c r="B2" s="30" t="s">
        <v>48</v>
      </c>
      <c r="D2" s="27">
        <f>D1/12</f>
        <v>6.2499999999999995E-3</v>
      </c>
      <c r="E2" s="27"/>
    </row>
    <row r="3" spans="1:13">
      <c r="B3" s="30" t="s">
        <v>47</v>
      </c>
      <c r="D3" s="51">
        <v>2221764.2990271896</v>
      </c>
      <c r="E3" s="32"/>
    </row>
    <row r="4" spans="1:13">
      <c r="B4" s="30" t="s">
        <v>52</v>
      </c>
      <c r="D4" s="28">
        <v>26661171.588326275</v>
      </c>
      <c r="E4" s="32"/>
    </row>
    <row r="5" spans="1:13">
      <c r="B5" s="109" t="s">
        <v>66</v>
      </c>
      <c r="D5" s="28"/>
      <c r="E5" s="32"/>
    </row>
    <row r="6" spans="1:13">
      <c r="C6" s="33"/>
      <c r="D6" s="34"/>
      <c r="E6" s="33"/>
      <c r="F6" s="33"/>
      <c r="G6" s="35"/>
      <c r="H6" s="35"/>
      <c r="I6" s="35"/>
      <c r="J6" s="35"/>
      <c r="K6" s="35"/>
      <c r="L6" s="36"/>
    </row>
    <row r="7" spans="1:13">
      <c r="C7" s="134"/>
      <c r="D7" s="134"/>
      <c r="E7" s="134"/>
      <c r="F7" s="134"/>
      <c r="G7" s="134"/>
      <c r="H7" s="134"/>
      <c r="I7" s="35"/>
      <c r="J7" s="35"/>
      <c r="K7" s="35"/>
      <c r="L7" s="36"/>
    </row>
    <row r="8" spans="1:13" ht="30">
      <c r="A8" s="33" t="s">
        <v>46</v>
      </c>
      <c r="B8" s="37" t="s">
        <v>45</v>
      </c>
      <c r="C8" s="37" t="s">
        <v>44</v>
      </c>
      <c r="D8" s="37" t="s">
        <v>43</v>
      </c>
      <c r="E8" s="37" t="s">
        <v>42</v>
      </c>
      <c r="F8" s="37" t="s">
        <v>41</v>
      </c>
      <c r="G8" s="38" t="s">
        <v>40</v>
      </c>
      <c r="H8" s="38" t="s">
        <v>39</v>
      </c>
      <c r="I8" s="38" t="s">
        <v>58</v>
      </c>
      <c r="J8" s="38" t="s">
        <v>38</v>
      </c>
      <c r="K8" s="38" t="s">
        <v>57</v>
      </c>
      <c r="L8" s="39" t="s">
        <v>37</v>
      </c>
    </row>
    <row r="9" spans="1:13">
      <c r="A9" s="33"/>
      <c r="B9" s="40">
        <v>42156</v>
      </c>
      <c r="C9" s="29"/>
      <c r="D9" s="29"/>
      <c r="E9" s="29"/>
      <c r="F9" s="29"/>
      <c r="G9" s="25"/>
      <c r="H9" s="25">
        <v>193208573.22251999</v>
      </c>
      <c r="I9" s="25"/>
      <c r="J9" s="25">
        <v>-65108222.228077002</v>
      </c>
      <c r="K9" s="25"/>
      <c r="L9" s="50">
        <f>H9+J9</f>
        <v>128100350.994443</v>
      </c>
    </row>
    <row r="10" spans="1:13">
      <c r="A10" s="33">
        <v>1</v>
      </c>
      <c r="B10" s="40">
        <v>42186</v>
      </c>
      <c r="C10" s="47">
        <v>2301190.3082599998</v>
      </c>
      <c r="D10" s="55">
        <v>1081166.9635581565</v>
      </c>
      <c r="E10" s="47">
        <v>862519.87</v>
      </c>
      <c r="F10" s="29"/>
      <c r="G10" s="25">
        <f>C10+D10-E10-F10</f>
        <v>2519837.4018181562</v>
      </c>
      <c r="H10" s="25">
        <f>H9+G10</f>
        <v>195728410.62433815</v>
      </c>
      <c r="I10" s="25">
        <v>-429968.35</v>
      </c>
      <c r="J10" s="25">
        <f>I10+J9</f>
        <v>-65538190.578077003</v>
      </c>
      <c r="K10" s="25"/>
      <c r="L10" s="50">
        <f>L9+C10+D10+I10-E10-F10</f>
        <v>130190220.04626115</v>
      </c>
      <c r="M10" s="41"/>
    </row>
    <row r="11" spans="1:13">
      <c r="A11" s="33">
        <v>2</v>
      </c>
      <c r="B11" s="40">
        <v>42217</v>
      </c>
      <c r="C11" s="47">
        <v>816670.2069799999</v>
      </c>
      <c r="D11" s="55">
        <v>1098805.4583555018</v>
      </c>
      <c r="E11" s="47">
        <v>1720480.79</v>
      </c>
      <c r="F11" s="29"/>
      <c r="G11" s="25">
        <f t="shared" ref="G11:G74" si="0">C11+D11-E11-F11</f>
        <v>194994.87533550151</v>
      </c>
      <c r="H11" s="25">
        <f t="shared" ref="H11:H73" si="1">H10+G11</f>
        <v>195923405.49967366</v>
      </c>
      <c r="I11" s="25">
        <v>-292269.25</v>
      </c>
      <c r="J11" s="25">
        <f t="shared" ref="J11:J43" si="2">I11+J10</f>
        <v>-65830459.828077003</v>
      </c>
      <c r="K11" s="25"/>
      <c r="L11" s="50">
        <f t="shared" ref="L11:L44" si="3">L10+C11+D11+I11-E11-F11</f>
        <v>130092945.67159665</v>
      </c>
    </row>
    <row r="12" spans="1:13">
      <c r="A12" s="33">
        <v>3</v>
      </c>
      <c r="B12" s="40">
        <v>42248</v>
      </c>
      <c r="C12" s="47">
        <v>988202.21127999993</v>
      </c>
      <c r="D12" s="55">
        <v>1097984.4626333334</v>
      </c>
      <c r="E12" s="47">
        <v>1005141.8</v>
      </c>
      <c r="F12" s="29"/>
      <c r="G12" s="25">
        <f t="shared" si="0"/>
        <v>1081044.8739133333</v>
      </c>
      <c r="H12" s="25">
        <f t="shared" si="1"/>
        <v>197004450.37358701</v>
      </c>
      <c r="I12" s="25">
        <v>-327647.95</v>
      </c>
      <c r="J12" s="25">
        <f>I12+J11</f>
        <v>-66158107.778077006</v>
      </c>
      <c r="K12" s="25"/>
      <c r="L12" s="50">
        <f t="shared" si="3"/>
        <v>130846342.59550998</v>
      </c>
    </row>
    <row r="13" spans="1:13">
      <c r="A13" s="33">
        <v>4</v>
      </c>
      <c r="B13" s="40">
        <v>42278</v>
      </c>
      <c r="C13" s="47">
        <v>931778.53876000014</v>
      </c>
      <c r="D13" s="55">
        <v>1104343.1326711618</v>
      </c>
      <c r="E13" s="47">
        <v>1310039.17</v>
      </c>
      <c r="F13" s="29"/>
      <c r="G13" s="25">
        <f t="shared" si="0"/>
        <v>726082.501431162</v>
      </c>
      <c r="H13" s="25">
        <f t="shared" si="1"/>
        <v>197730532.87501818</v>
      </c>
      <c r="I13" s="25">
        <v>-337002.75</v>
      </c>
      <c r="J13" s="25">
        <f t="shared" si="2"/>
        <v>-66495110.528077006</v>
      </c>
      <c r="K13" s="25"/>
      <c r="L13" s="50">
        <f t="shared" si="3"/>
        <v>131235422.34694114</v>
      </c>
    </row>
    <row r="14" spans="1:13">
      <c r="A14" s="33">
        <v>5</v>
      </c>
      <c r="B14" s="40">
        <v>42309</v>
      </c>
      <c r="C14" s="47">
        <v>1928313.1303800002</v>
      </c>
      <c r="D14" s="55">
        <v>1107626.9657732409</v>
      </c>
      <c r="E14" s="47">
        <v>986500.57</v>
      </c>
      <c r="F14" s="29"/>
      <c r="G14" s="25">
        <f t="shared" si="0"/>
        <v>2049439.5261532413</v>
      </c>
      <c r="H14" s="25">
        <f t="shared" si="1"/>
        <v>199779972.40117142</v>
      </c>
      <c r="I14" s="25">
        <v>-2011701.65</v>
      </c>
      <c r="J14" s="25">
        <f t="shared" si="2"/>
        <v>-68506812.178077012</v>
      </c>
      <c r="K14" s="25"/>
      <c r="L14" s="50">
        <f t="shared" si="3"/>
        <v>131273160.2230944</v>
      </c>
    </row>
    <row r="15" spans="1:13">
      <c r="A15" s="33">
        <v>6</v>
      </c>
      <c r="B15" s="40">
        <v>42339</v>
      </c>
      <c r="C15" s="47">
        <v>2250117.6774600004</v>
      </c>
      <c r="D15" s="55">
        <v>1107945.4734479743</v>
      </c>
      <c r="E15" s="47">
        <v>1275419.93</v>
      </c>
      <c r="F15" s="29"/>
      <c r="G15" s="25">
        <f t="shared" si="0"/>
        <v>2082643.2209079748</v>
      </c>
      <c r="H15" s="25">
        <f t="shared" si="1"/>
        <v>201862615.6220794</v>
      </c>
      <c r="I15" s="25">
        <v>-794115</v>
      </c>
      <c r="J15" s="25">
        <f t="shared" si="2"/>
        <v>-69300927.178077012</v>
      </c>
      <c r="K15" s="25"/>
      <c r="L15" s="50">
        <f t="shared" si="3"/>
        <v>132561688.44400236</v>
      </c>
    </row>
    <row r="16" spans="1:13">
      <c r="A16" s="33">
        <v>7</v>
      </c>
      <c r="B16" s="40">
        <v>42370</v>
      </c>
      <c r="C16" s="47">
        <v>2011546.0147200001</v>
      </c>
      <c r="D16" s="55">
        <v>1118820.6516324375</v>
      </c>
      <c r="E16" s="47">
        <v>1595851.46</v>
      </c>
      <c r="F16" s="29"/>
      <c r="G16" s="25">
        <f t="shared" si="0"/>
        <v>1534515.2063524378</v>
      </c>
      <c r="H16" s="25">
        <f t="shared" si="1"/>
        <v>203397130.82843184</v>
      </c>
      <c r="I16" s="25">
        <v>-740278.7</v>
      </c>
      <c r="J16" s="25">
        <f t="shared" si="2"/>
        <v>-70041205.878077015</v>
      </c>
      <c r="K16" s="25"/>
      <c r="L16" s="50">
        <f t="shared" si="3"/>
        <v>133355924.9503548</v>
      </c>
    </row>
    <row r="17" spans="1:13">
      <c r="A17" s="33">
        <v>8</v>
      </c>
      <c r="B17" s="40">
        <v>42401</v>
      </c>
      <c r="C17" s="47">
        <v>2039467.02042</v>
      </c>
      <c r="D17" s="55">
        <v>1125524.007746052</v>
      </c>
      <c r="E17" s="47">
        <v>1526707.51</v>
      </c>
      <c r="F17" s="29"/>
      <c r="G17" s="25">
        <f t="shared" si="0"/>
        <v>1638283.5181660519</v>
      </c>
      <c r="H17" s="25">
        <f t="shared" si="1"/>
        <v>205035414.34659791</v>
      </c>
      <c r="I17" s="25">
        <v>-714095.2</v>
      </c>
      <c r="J17" s="25">
        <f t="shared" si="2"/>
        <v>-70755301.078077018</v>
      </c>
      <c r="K17" s="25"/>
      <c r="L17" s="50">
        <f t="shared" si="3"/>
        <v>134280113.26852086</v>
      </c>
    </row>
    <row r="18" spans="1:13">
      <c r="A18" s="33">
        <v>9</v>
      </c>
      <c r="B18" s="40">
        <v>42430</v>
      </c>
      <c r="C18" s="47">
        <v>3108192.77538</v>
      </c>
      <c r="D18" s="55">
        <v>1133324.1571513733</v>
      </c>
      <c r="E18" s="47">
        <v>1230134.22</v>
      </c>
      <c r="F18" s="29"/>
      <c r="G18" s="25">
        <f t="shared" si="0"/>
        <v>3011382.7125313738</v>
      </c>
      <c r="H18" s="25">
        <f t="shared" si="1"/>
        <v>208046797.0591293</v>
      </c>
      <c r="I18" s="25">
        <v>-1100389.5</v>
      </c>
      <c r="J18" s="25">
        <f t="shared" si="2"/>
        <v>-71855690.578077018</v>
      </c>
      <c r="K18" s="25"/>
      <c r="L18" s="50">
        <f t="shared" si="3"/>
        <v>136191106.48105222</v>
      </c>
    </row>
    <row r="19" spans="1:13">
      <c r="A19" s="33">
        <v>10</v>
      </c>
      <c r="B19" s="40">
        <v>42461</v>
      </c>
      <c r="C19" s="47">
        <v>2238242.7568799998</v>
      </c>
      <c r="D19" s="55">
        <v>1149452.9398651381</v>
      </c>
      <c r="E19" s="47">
        <v>1448879.16</v>
      </c>
      <c r="F19" s="29"/>
      <c r="G19" s="25">
        <f t="shared" si="0"/>
        <v>1938816.5367451378</v>
      </c>
      <c r="H19" s="25">
        <f t="shared" si="1"/>
        <v>209985613.59587443</v>
      </c>
      <c r="I19" s="25">
        <v>-826144.2</v>
      </c>
      <c r="J19" s="25">
        <f t="shared" si="2"/>
        <v>-72681834.778077021</v>
      </c>
      <c r="K19" s="25"/>
      <c r="L19" s="50">
        <f t="shared" si="3"/>
        <v>137303778.81779736</v>
      </c>
    </row>
    <row r="20" spans="1:13">
      <c r="A20" s="33">
        <v>11</v>
      </c>
      <c r="B20" s="40">
        <v>42491</v>
      </c>
      <c r="C20" s="47">
        <v>2351170.8060200005</v>
      </c>
      <c r="D20" s="55">
        <v>1158843.8943872671</v>
      </c>
      <c r="E20" s="47">
        <v>1111171.07</v>
      </c>
      <c r="F20" s="29"/>
      <c r="G20" s="25">
        <f>C20+D20-E20-F20</f>
        <v>2398843.6304072673</v>
      </c>
      <c r="H20" s="25">
        <f t="shared" si="1"/>
        <v>212384457.2262817</v>
      </c>
      <c r="I20" s="25">
        <v>-842178.75</v>
      </c>
      <c r="J20" s="25">
        <f>I20+J19</f>
        <v>-73524013.528077021</v>
      </c>
      <c r="K20" s="25"/>
      <c r="L20" s="50">
        <f t="shared" si="3"/>
        <v>138860443.69820464</v>
      </c>
      <c r="M20" s="42"/>
    </row>
    <row r="21" spans="1:13">
      <c r="A21" s="33">
        <v>12</v>
      </c>
      <c r="B21" s="40">
        <v>42522</v>
      </c>
      <c r="C21" s="47">
        <v>921065.1</v>
      </c>
      <c r="D21" s="55">
        <v>1171982.1459779046</v>
      </c>
      <c r="E21" s="47">
        <v>1172648.4099999999</v>
      </c>
      <c r="F21" s="29"/>
      <c r="G21" s="25">
        <f>C21+D21-E21-F21</f>
        <v>920398.83597790473</v>
      </c>
      <c r="H21" s="25">
        <f>H20+G21</f>
        <v>213304856.06225961</v>
      </c>
      <c r="I21" s="25">
        <v>-349029.1</v>
      </c>
      <c r="J21" s="25">
        <f>I21+J20</f>
        <v>-73873042.628077015</v>
      </c>
      <c r="K21" s="25"/>
      <c r="L21" s="50">
        <f t="shared" si="3"/>
        <v>139431813.43418255</v>
      </c>
      <c r="M21" s="43"/>
    </row>
    <row r="22" spans="1:13">
      <c r="A22" s="33">
        <v>13</v>
      </c>
      <c r="B22" s="40">
        <v>42552</v>
      </c>
      <c r="C22" s="29">
        <v>1481327.75</v>
      </c>
      <c r="D22" s="55">
        <v>1176804.5065208622</v>
      </c>
      <c r="E22" s="29">
        <v>1376084.67</v>
      </c>
      <c r="F22" s="29"/>
      <c r="G22" s="25">
        <f>C22+D22-E22-F22</f>
        <v>1282047.5865208623</v>
      </c>
      <c r="H22" s="25">
        <f>H21+G22</f>
        <v>214586903.64878047</v>
      </c>
      <c r="I22" s="25">
        <v>-533927.80000000005</v>
      </c>
      <c r="J22" s="25">
        <v>-74406970.430000007</v>
      </c>
      <c r="K22" s="25"/>
      <c r="L22" s="50">
        <f t="shared" si="3"/>
        <v>140179933.22070342</v>
      </c>
    </row>
    <row r="23" spans="1:13">
      <c r="A23" s="33">
        <v>14</v>
      </c>
      <c r="B23" s="40">
        <v>42583</v>
      </c>
      <c r="C23" s="29">
        <v>4493640.8899999997</v>
      </c>
      <c r="D23" s="55">
        <v>1183118.6375089702</v>
      </c>
      <c r="E23" s="29">
        <v>1269969.8899999999</v>
      </c>
      <c r="F23" s="29"/>
      <c r="G23" s="25">
        <f t="shared" si="0"/>
        <v>4406789.6375089707</v>
      </c>
      <c r="H23" s="25">
        <f t="shared" si="1"/>
        <v>218993693.28628942</v>
      </c>
      <c r="I23" s="25">
        <v>-1585094.35</v>
      </c>
      <c r="J23" s="25">
        <v>-75992064.780000001</v>
      </c>
      <c r="K23" s="25"/>
      <c r="L23" s="50">
        <f t="shared" si="3"/>
        <v>143001628.50821239</v>
      </c>
    </row>
    <row r="24" spans="1:13">
      <c r="A24" s="33">
        <v>15</v>
      </c>
      <c r="B24" s="40">
        <v>42614</v>
      </c>
      <c r="C24" s="29">
        <v>3388529.81</v>
      </c>
      <c r="D24" s="55">
        <v>1206933.745721367</v>
      </c>
      <c r="E24" s="29">
        <v>1214458.07</v>
      </c>
      <c r="F24" s="29"/>
      <c r="G24" s="25">
        <f t="shared" si="0"/>
        <v>3381005.4857213665</v>
      </c>
      <c r="H24" s="25">
        <f t="shared" si="1"/>
        <v>222374698.7720108</v>
      </c>
      <c r="I24" s="25">
        <v>-1188974.8500000001</v>
      </c>
      <c r="J24" s="25">
        <v>-77181039.629999995</v>
      </c>
      <c r="K24" s="25"/>
      <c r="L24" s="50">
        <f t="shared" si="3"/>
        <v>145193659.14393377</v>
      </c>
    </row>
    <row r="25" spans="1:13">
      <c r="A25" s="33">
        <v>16</v>
      </c>
      <c r="B25" s="40">
        <v>42644</v>
      </c>
      <c r="C25" s="29">
        <v>6751667.7300000004</v>
      </c>
      <c r="D25" s="55">
        <v>1225434.4842924259</v>
      </c>
      <c r="E25" s="29">
        <v>1292256.27</v>
      </c>
      <c r="F25" s="29"/>
      <c r="G25" s="25">
        <f t="shared" si="0"/>
        <v>6684845.9442924261</v>
      </c>
      <c r="H25" s="25">
        <f t="shared" si="1"/>
        <v>229059544.71630323</v>
      </c>
      <c r="I25" s="25">
        <v>-2382525.6</v>
      </c>
      <c r="J25" s="25">
        <v>-79563565.230000004</v>
      </c>
      <c r="K25" s="25"/>
      <c r="L25" s="50">
        <f t="shared" si="3"/>
        <v>149495979.48822618</v>
      </c>
    </row>
    <row r="26" spans="1:13">
      <c r="A26" s="33">
        <v>17</v>
      </c>
      <c r="B26" s="40">
        <v>42675</v>
      </c>
      <c r="C26" s="29">
        <v>1883279.68</v>
      </c>
      <c r="D26" s="55">
        <v>1261746.067987222</v>
      </c>
      <c r="E26" s="29">
        <v>1504933.45</v>
      </c>
      <c r="F26" s="29"/>
      <c r="G26" s="25">
        <f t="shared" si="0"/>
        <v>1640092.297987222</v>
      </c>
      <c r="H26" s="25">
        <f t="shared" si="1"/>
        <v>230699637.01429045</v>
      </c>
      <c r="I26" s="25">
        <v>-667702.69999999995</v>
      </c>
      <c r="J26" s="25">
        <v>-80231267.930000007</v>
      </c>
      <c r="K26" s="25"/>
      <c r="L26" s="50">
        <f t="shared" si="3"/>
        <v>150468369.08621344</v>
      </c>
    </row>
    <row r="27" spans="1:13">
      <c r="A27" s="33">
        <v>18</v>
      </c>
      <c r="B27" s="40">
        <v>42705</v>
      </c>
      <c r="C27" s="29">
        <v>2119436.9300000002</v>
      </c>
      <c r="D27" s="55">
        <v>1269953.0361989609</v>
      </c>
      <c r="E27" s="29">
        <v>1781691.88</v>
      </c>
      <c r="F27" s="29"/>
      <c r="G27" s="25">
        <f t="shared" si="0"/>
        <v>1607698.0861989614</v>
      </c>
      <c r="H27" s="25">
        <f t="shared" si="1"/>
        <v>232307335.10048941</v>
      </c>
      <c r="I27" s="25">
        <v>-746049.85</v>
      </c>
      <c r="J27" s="25">
        <v>-80977317.780000001</v>
      </c>
      <c r="K27" s="25"/>
      <c r="L27" s="50">
        <f t="shared" si="3"/>
        <v>151330017.32241243</v>
      </c>
    </row>
    <row r="28" spans="1:13">
      <c r="A28" s="33">
        <v>19</v>
      </c>
      <c r="B28" s="40">
        <v>42736</v>
      </c>
      <c r="C28" s="29">
        <v>683847.26</v>
      </c>
      <c r="D28" s="55">
        <v>1277225.3473543427</v>
      </c>
      <c r="E28" s="29">
        <v>1685014.4</v>
      </c>
      <c r="F28" s="29"/>
      <c r="G28" s="25">
        <f t="shared" si="0"/>
        <v>276058.2073543428</v>
      </c>
      <c r="H28" s="25">
        <f t="shared" si="1"/>
        <v>232583393.30784374</v>
      </c>
      <c r="I28" s="25">
        <v>-287343.7</v>
      </c>
      <c r="J28" s="25">
        <v>-81264661.480000004</v>
      </c>
      <c r="K28" s="25"/>
      <c r="L28" s="50">
        <f t="shared" si="3"/>
        <v>151318731.82976678</v>
      </c>
    </row>
    <row r="29" spans="1:13">
      <c r="A29" s="33">
        <v>20</v>
      </c>
      <c r="B29" s="40">
        <v>42767</v>
      </c>
      <c r="C29" s="29">
        <v>731186.53</v>
      </c>
      <c r="D29" s="55">
        <v>1277130.0978062039</v>
      </c>
      <c r="E29" s="29">
        <v>1437691.49</v>
      </c>
      <c r="F29" s="29"/>
      <c r="G29" s="25">
        <f t="shared" si="0"/>
        <v>570625.13780620391</v>
      </c>
      <c r="H29" s="25">
        <f t="shared" si="1"/>
        <v>233154018.44564995</v>
      </c>
      <c r="I29" s="25">
        <v>-259010.85</v>
      </c>
      <c r="J29" s="25">
        <v>-81523672.329999998</v>
      </c>
      <c r="K29" s="25"/>
      <c r="L29" s="50">
        <f t="shared" si="3"/>
        <v>151630346.11757299</v>
      </c>
    </row>
    <row r="30" spans="1:13">
      <c r="A30" s="33">
        <v>21</v>
      </c>
      <c r="B30" s="40">
        <v>42795</v>
      </c>
      <c r="C30" s="29">
        <v>1256185.32</v>
      </c>
      <c r="D30" s="55">
        <v>1279760.1224049097</v>
      </c>
      <c r="E30" s="29">
        <v>1758176.78</v>
      </c>
      <c r="F30" s="29"/>
      <c r="G30" s="25">
        <f t="shared" si="0"/>
        <v>777768.66240490996</v>
      </c>
      <c r="H30" s="25">
        <f t="shared" si="1"/>
        <v>233931787.10805488</v>
      </c>
      <c r="I30" s="25">
        <v>-440934.9</v>
      </c>
      <c r="J30" s="25">
        <v>-81964607.230000004</v>
      </c>
      <c r="K30" s="25"/>
      <c r="L30" s="50">
        <f t="shared" si="3"/>
        <v>151967179.87997788</v>
      </c>
    </row>
    <row r="31" spans="1:13">
      <c r="A31" s="33">
        <v>22</v>
      </c>
      <c r="B31" s="40">
        <v>42826</v>
      </c>
      <c r="C31" s="29">
        <v>1197228.92</v>
      </c>
      <c r="D31" s="55">
        <v>1282602.9993369877</v>
      </c>
      <c r="E31" s="29">
        <v>1283647.93</v>
      </c>
      <c r="F31" s="29"/>
      <c r="G31" s="25">
        <f t="shared" si="0"/>
        <v>1196183.9893369877</v>
      </c>
      <c r="H31" s="25">
        <f t="shared" si="1"/>
        <v>235127971.09739187</v>
      </c>
      <c r="I31" s="25">
        <v>-420022.05</v>
      </c>
      <c r="J31" s="25">
        <v>-82384629.280000001</v>
      </c>
      <c r="K31" s="25"/>
      <c r="L31" s="50">
        <f t="shared" si="3"/>
        <v>152743341.81931484</v>
      </c>
    </row>
    <row r="32" spans="1:13">
      <c r="A32" s="33">
        <v>23</v>
      </c>
      <c r="B32" s="40">
        <v>42856</v>
      </c>
      <c r="C32" s="29">
        <v>1908546.06</v>
      </c>
      <c r="D32" s="55">
        <v>1289153.8060751143</v>
      </c>
      <c r="E32" s="29">
        <v>1711105.88</v>
      </c>
      <c r="F32" s="29"/>
      <c r="G32" s="25">
        <f t="shared" si="0"/>
        <v>1486593.9860751145</v>
      </c>
      <c r="H32" s="25">
        <f t="shared" si="1"/>
        <v>236614565.08346698</v>
      </c>
      <c r="I32" s="25">
        <v>-670546.44999999995</v>
      </c>
      <c r="J32" s="25">
        <v>-83055175.730000004</v>
      </c>
      <c r="K32" s="25"/>
      <c r="L32" s="50">
        <f t="shared" si="3"/>
        <v>153559389.35538998</v>
      </c>
    </row>
    <row r="33" spans="1:14">
      <c r="A33" s="33">
        <v>24</v>
      </c>
      <c r="B33" s="40">
        <v>42887</v>
      </c>
      <c r="C33" s="29">
        <v>1745957.5</v>
      </c>
      <c r="D33" s="56">
        <v>1296041.2472689541</v>
      </c>
      <c r="E33" s="29">
        <v>1076349.01</v>
      </c>
      <c r="F33" s="29"/>
      <c r="G33" s="25">
        <f t="shared" si="0"/>
        <v>1965649.7372689543</v>
      </c>
      <c r="H33" s="25">
        <f>H32+G33</f>
        <v>238580214.82073593</v>
      </c>
      <c r="I33" s="25">
        <v>-615784.75</v>
      </c>
      <c r="J33" s="25">
        <v>-83670960.480000004</v>
      </c>
      <c r="K33" s="25"/>
      <c r="L33" s="50">
        <f t="shared" si="3"/>
        <v>154909254.34265894</v>
      </c>
      <c r="M33" s="48"/>
      <c r="N33" s="43"/>
    </row>
    <row r="34" spans="1:14">
      <c r="A34" s="33">
        <v>25</v>
      </c>
      <c r="B34" s="40">
        <v>42917</v>
      </c>
      <c r="C34" s="29">
        <v>1429844.8828399999</v>
      </c>
      <c r="D34" s="29">
        <v>1307434.1077481688</v>
      </c>
      <c r="E34" s="29">
        <v>1631830.28</v>
      </c>
      <c r="F34" s="29"/>
      <c r="G34" s="25">
        <f>C34+D34-E34-F34</f>
        <v>1105448.7105881686</v>
      </c>
      <c r="H34" s="25">
        <f t="shared" si="1"/>
        <v>239685663.53132409</v>
      </c>
      <c r="I34" s="25">
        <v>-505377.95</v>
      </c>
      <c r="J34" s="25">
        <f>I34+J33</f>
        <v>-84176338.430000007</v>
      </c>
      <c r="K34" s="25"/>
      <c r="L34" s="50">
        <f t="shared" si="3"/>
        <v>155509325.10324714</v>
      </c>
    </row>
    <row r="35" spans="1:14">
      <c r="A35" s="33">
        <v>26</v>
      </c>
      <c r="B35" s="40">
        <v>42948</v>
      </c>
      <c r="C35" s="29">
        <v>2147231.54532</v>
      </c>
      <c r="D35" s="29">
        <v>1312498.7049675332</v>
      </c>
      <c r="E35" s="29">
        <v>1488723.6769534172</v>
      </c>
      <c r="F35" s="29"/>
      <c r="G35" s="25">
        <f t="shared" si="0"/>
        <v>1971006.573334116</v>
      </c>
      <c r="H35" s="25">
        <f t="shared" si="1"/>
        <v>241656670.10465822</v>
      </c>
      <c r="I35" s="25">
        <v>-755804</v>
      </c>
      <c r="J35" s="25">
        <f t="shared" si="2"/>
        <v>-84932142.430000007</v>
      </c>
      <c r="K35" s="25"/>
      <c r="L35" s="50">
        <f t="shared" si="3"/>
        <v>156724527.67658126</v>
      </c>
      <c r="M35" s="43"/>
    </row>
    <row r="36" spans="1:14">
      <c r="A36" s="33">
        <v>27</v>
      </c>
      <c r="B36" s="40">
        <v>42979</v>
      </c>
      <c r="C36" s="29">
        <v>1169364.9114199998</v>
      </c>
      <c r="D36" s="29">
        <v>1322755.0146864732</v>
      </c>
      <c r="E36" s="29">
        <v>1278134.6808197035</v>
      </c>
      <c r="F36" s="29"/>
      <c r="G36" s="25">
        <f t="shared" si="0"/>
        <v>1213985.2452867695</v>
      </c>
      <c r="H36" s="25">
        <f t="shared" si="1"/>
        <v>242870655.34994498</v>
      </c>
      <c r="I36" s="25">
        <v>-409832.15</v>
      </c>
      <c r="J36" s="25">
        <f t="shared" si="2"/>
        <v>-85341974.580000013</v>
      </c>
      <c r="K36" s="25"/>
      <c r="L36" s="50">
        <f t="shared" si="3"/>
        <v>157528680.77186802</v>
      </c>
    </row>
    <row r="37" spans="1:14">
      <c r="A37" s="33">
        <v>28</v>
      </c>
      <c r="B37" s="40">
        <v>43009</v>
      </c>
      <c r="C37" s="29">
        <v>2034782.6231599997</v>
      </c>
      <c r="D37" s="29">
        <v>1329542.0668106934</v>
      </c>
      <c r="E37" s="29">
        <v>1394549</v>
      </c>
      <c r="F37" s="29"/>
      <c r="G37" s="25">
        <f t="shared" si="0"/>
        <v>1969775.6899706931</v>
      </c>
      <c r="H37" s="25">
        <f t="shared" si="1"/>
        <v>244840431.03991568</v>
      </c>
      <c r="I37" s="25">
        <v>-715327.55</v>
      </c>
      <c r="J37" s="25">
        <f t="shared" si="2"/>
        <v>-86057302.13000001</v>
      </c>
      <c r="K37" s="25"/>
      <c r="L37" s="50">
        <f t="shared" si="3"/>
        <v>158783128.91183871</v>
      </c>
    </row>
    <row r="38" spans="1:14">
      <c r="A38" s="33">
        <v>29</v>
      </c>
      <c r="B38" s="40">
        <v>43040</v>
      </c>
      <c r="C38" s="29">
        <v>2379961.2665200001</v>
      </c>
      <c r="D38" s="29">
        <v>1340129.6091120462</v>
      </c>
      <c r="E38" s="29">
        <v>1715897.25</v>
      </c>
      <c r="F38" s="29"/>
      <c r="G38" s="25">
        <f t="shared" si="0"/>
        <v>2004193.6256320463</v>
      </c>
      <c r="H38" s="25">
        <f t="shared" si="1"/>
        <v>246844624.66554773</v>
      </c>
      <c r="I38" s="25">
        <v>-843132.15</v>
      </c>
      <c r="J38" s="25">
        <f t="shared" si="2"/>
        <v>-86900434.280000016</v>
      </c>
      <c r="K38" s="25"/>
      <c r="L38" s="50">
        <f t="shared" si="3"/>
        <v>159944190.38747075</v>
      </c>
    </row>
    <row r="39" spans="1:14">
      <c r="A39" s="33">
        <v>30</v>
      </c>
      <c r="B39" s="40">
        <v>43070</v>
      </c>
      <c r="C39" s="29">
        <v>1632642.3752599999</v>
      </c>
      <c r="D39" s="29">
        <v>1349928.9679663805</v>
      </c>
      <c r="E39" s="29">
        <v>1901394.07</v>
      </c>
      <c r="F39" s="29"/>
      <c r="G39" s="25">
        <f t="shared" si="0"/>
        <v>1081177.2732263806</v>
      </c>
      <c r="H39" s="25">
        <f t="shared" si="1"/>
        <v>247925801.93877411</v>
      </c>
      <c r="I39" s="25">
        <v>-608088.6</v>
      </c>
      <c r="J39" s="25">
        <f>I39+J38</f>
        <v>-87508522.88000001</v>
      </c>
      <c r="K39" s="25"/>
      <c r="L39" s="50">
        <f t="shared" si="3"/>
        <v>160417279.06069714</v>
      </c>
    </row>
    <row r="40" spans="1:14">
      <c r="A40" s="33">
        <v>31</v>
      </c>
      <c r="B40" s="40">
        <v>43101</v>
      </c>
      <c r="C40" s="29">
        <v>5456358</v>
      </c>
      <c r="D40" s="29">
        <v>1131307.5</v>
      </c>
      <c r="E40" s="29">
        <v>2067567.62</v>
      </c>
      <c r="F40" s="29"/>
      <c r="G40" s="25">
        <f t="shared" si="0"/>
        <v>4520097.88</v>
      </c>
      <c r="H40" s="25">
        <f t="shared" si="1"/>
        <v>252445899.8187741</v>
      </c>
      <c r="I40" s="25">
        <v>-1196750.6000000001</v>
      </c>
      <c r="J40" s="25">
        <f>I40+J39</f>
        <v>-88705273.480000004</v>
      </c>
      <c r="K40" s="25"/>
      <c r="L40" s="50">
        <f>L39+C40+D40+I40-E40-F40</f>
        <v>163740626.34069714</v>
      </c>
    </row>
    <row r="41" spans="1:14">
      <c r="A41" s="33">
        <v>32</v>
      </c>
      <c r="B41" s="40">
        <v>43132</v>
      </c>
      <c r="C41" s="29">
        <v>2080173.4615499999</v>
      </c>
      <c r="D41" s="29">
        <v>1075230.1138214583</v>
      </c>
      <c r="E41" s="29">
        <v>2036860.09</v>
      </c>
      <c r="F41" s="29"/>
      <c r="G41" s="25">
        <f t="shared" si="0"/>
        <v>1118543.4853714581</v>
      </c>
      <c r="H41" s="25">
        <f t="shared" si="1"/>
        <v>253564443.30414557</v>
      </c>
      <c r="I41" s="25">
        <v>-436836.33</v>
      </c>
      <c r="J41" s="25">
        <f t="shared" si="2"/>
        <v>-89142109.810000002</v>
      </c>
      <c r="K41" s="25"/>
      <c r="L41" s="50">
        <f t="shared" si="3"/>
        <v>164422333.49606857</v>
      </c>
    </row>
    <row r="42" spans="1:14">
      <c r="A42" s="33">
        <v>33</v>
      </c>
      <c r="B42" s="40">
        <v>43160</v>
      </c>
      <c r="C42" s="29">
        <v>2141640.4461000003</v>
      </c>
      <c r="D42" s="29">
        <v>1079706.6574750638</v>
      </c>
      <c r="E42" s="29">
        <v>1967174.48</v>
      </c>
      <c r="F42" s="29"/>
      <c r="G42" s="25">
        <f t="shared" si="0"/>
        <v>1254172.6235750639</v>
      </c>
      <c r="H42" s="25">
        <f t="shared" si="1"/>
        <v>254818615.92772064</v>
      </c>
      <c r="I42" s="25">
        <v>-453002.76</v>
      </c>
      <c r="J42" s="25">
        <f t="shared" si="2"/>
        <v>-89595112.570000008</v>
      </c>
      <c r="K42" s="25"/>
      <c r="L42" s="50">
        <f t="shared" si="3"/>
        <v>165223503.35964364</v>
      </c>
    </row>
    <row r="43" spans="1:14">
      <c r="A43" s="33">
        <v>34</v>
      </c>
      <c r="B43" s="40">
        <v>43191</v>
      </c>
      <c r="C43" s="29">
        <v>1623467.7114500001</v>
      </c>
      <c r="D43" s="29">
        <v>1084967.6729125401</v>
      </c>
      <c r="E43" s="29">
        <v>1630335.143378776</v>
      </c>
      <c r="F43" s="29"/>
      <c r="G43" s="25">
        <f t="shared" si="0"/>
        <v>1078100.2409837642</v>
      </c>
      <c r="H43" s="25">
        <f t="shared" si="1"/>
        <v>255896716.16870439</v>
      </c>
      <c r="I43" s="25">
        <v>-341820.99</v>
      </c>
      <c r="J43" s="25">
        <f t="shared" si="2"/>
        <v>-89936933.560000002</v>
      </c>
      <c r="K43" s="25"/>
      <c r="L43" s="50">
        <f>L42+C43+D43+I43-E43-F43</f>
        <v>165959782.61062741</v>
      </c>
    </row>
    <row r="44" spans="1:14">
      <c r="A44" s="33">
        <v>35</v>
      </c>
      <c r="B44" s="40">
        <v>43221</v>
      </c>
      <c r="C44" s="29">
        <v>3059774.0461499998</v>
      </c>
      <c r="D44" s="29">
        <v>1089802.5733273337</v>
      </c>
      <c r="E44" s="29">
        <v>2220470.4063975154</v>
      </c>
      <c r="F44" s="29"/>
      <c r="G44" s="25">
        <f>C44+D44-E44-F44</f>
        <v>1929106.2130798181</v>
      </c>
      <c r="H44" s="25">
        <f t="shared" si="1"/>
        <v>257825822.3817842</v>
      </c>
      <c r="I44" s="25">
        <v>-684175.8</v>
      </c>
      <c r="J44" s="25">
        <f>I44+J43</f>
        <v>-90621109.359999999</v>
      </c>
      <c r="K44" s="25"/>
      <c r="L44" s="50">
        <f t="shared" si="3"/>
        <v>167204713.02370721</v>
      </c>
    </row>
    <row r="45" spans="1:14">
      <c r="A45" s="33">
        <v>36</v>
      </c>
      <c r="B45" s="40">
        <v>43252</v>
      </c>
      <c r="C45" s="29">
        <v>4218219.7903999994</v>
      </c>
      <c r="D45" s="29">
        <v>1097977.6163732244</v>
      </c>
      <c r="E45" s="29">
        <v>1517739.86</v>
      </c>
      <c r="F45" s="29"/>
      <c r="G45" s="25">
        <f>C45+D45-E45-F45</f>
        <v>3798457.5467732232</v>
      </c>
      <c r="H45" s="25">
        <f t="shared" si="1"/>
        <v>261624279.92855743</v>
      </c>
      <c r="I45" s="25">
        <v>-885643.29</v>
      </c>
      <c r="J45" s="25">
        <f>I45+J44</f>
        <v>-91506752.650000006</v>
      </c>
      <c r="K45" s="25"/>
      <c r="L45" s="50">
        <f>L44+C45+D45+I45-E45-F45</f>
        <v>170117527.28048041</v>
      </c>
      <c r="M45" s="41"/>
    </row>
    <row r="46" spans="1:14">
      <c r="A46" s="33">
        <v>38</v>
      </c>
      <c r="B46" s="40">
        <v>43282</v>
      </c>
      <c r="C46" s="29">
        <v>2677689.6108499998</v>
      </c>
      <c r="D46" s="29">
        <v>1117105.0966593684</v>
      </c>
      <c r="E46" s="29">
        <v>1381783.28</v>
      </c>
      <c r="F46" s="29"/>
      <c r="G46" s="25">
        <f>C46+D46-E46-F46</f>
        <v>2413011.4275093684</v>
      </c>
      <c r="H46" s="25">
        <f>H45+G46</f>
        <v>264037291.35606679</v>
      </c>
      <c r="I46" s="25">
        <v>-562541.06999999995</v>
      </c>
      <c r="J46" s="25">
        <f>I46+J45+K46</f>
        <v>-91747908.421022117</v>
      </c>
      <c r="K46" s="25">
        <v>321385.29897787567</v>
      </c>
      <c r="L46" s="50">
        <f>K46+C46+D46+I46-E46-F46+L45</f>
        <v>172289382.93696767</v>
      </c>
    </row>
    <row r="47" spans="1:14">
      <c r="A47" s="33">
        <v>39</v>
      </c>
      <c r="B47" s="40">
        <v>43313</v>
      </c>
      <c r="C47" s="29">
        <v>2876807.3509999998</v>
      </c>
      <c r="D47" s="29">
        <v>1131366.9488036346</v>
      </c>
      <c r="E47" s="29">
        <v>1727110.15</v>
      </c>
      <c r="F47" s="29"/>
      <c r="G47" s="25">
        <f>C47+D47-E47-F47</f>
        <v>2281064.1498036343</v>
      </c>
      <c r="H47" s="25">
        <f>H46+G47</f>
        <v>266318355.50587043</v>
      </c>
      <c r="I47" s="25">
        <v>-604077.17999999993</v>
      </c>
      <c r="J47" s="25">
        <f t="shared" ref="J47:J68" si="4">I47+J46+K47</f>
        <v>-92030600.302044243</v>
      </c>
      <c r="K47" s="25">
        <v>321385.29897787567</v>
      </c>
      <c r="L47" s="50">
        <f t="shared" ref="L47:L110" si="5">K47+C47+D47+I47-E47-F47+L46</f>
        <v>174287755.20574918</v>
      </c>
    </row>
    <row r="48" spans="1:14">
      <c r="A48" s="33">
        <v>40</v>
      </c>
      <c r="B48" s="40">
        <v>43344</v>
      </c>
      <c r="C48" s="29">
        <v>1205400.63515</v>
      </c>
      <c r="D48" s="55">
        <v>1144489.5933686332</v>
      </c>
      <c r="E48" s="29">
        <v>1516986.17</v>
      </c>
      <c r="F48" s="29"/>
      <c r="G48" s="25">
        <f>C48+D48-E48-F48</f>
        <v>832904.05851863325</v>
      </c>
      <c r="H48" s="25">
        <f t="shared" si="1"/>
        <v>267151259.56438905</v>
      </c>
      <c r="I48" s="25">
        <v>-253769.46</v>
      </c>
      <c r="J48" s="25">
        <f t="shared" si="4"/>
        <v>-91962984.463066354</v>
      </c>
      <c r="K48" s="25">
        <v>321385.29897787567</v>
      </c>
      <c r="L48" s="50">
        <f t="shared" si="5"/>
        <v>175188275.10324571</v>
      </c>
    </row>
    <row r="49" spans="1:13">
      <c r="A49" s="33">
        <v>41</v>
      </c>
      <c r="B49" s="40">
        <v>43374</v>
      </c>
      <c r="C49" s="29">
        <v>4248394.4084499991</v>
      </c>
      <c r="D49" s="55">
        <v>1150403.0073621937</v>
      </c>
      <c r="E49" s="29">
        <v>1578465.16</v>
      </c>
      <c r="F49" s="29"/>
      <c r="G49" s="25">
        <f t="shared" si="0"/>
        <v>3820332.2558121923</v>
      </c>
      <c r="H49" s="25">
        <f t="shared" si="1"/>
        <v>270971591.82020122</v>
      </c>
      <c r="I49" s="25">
        <v>-891972.9</v>
      </c>
      <c r="J49" s="25">
        <f>I49+J48+K49</f>
        <v>-92533572.064088479</v>
      </c>
      <c r="K49" s="25">
        <v>321385.29897787567</v>
      </c>
      <c r="L49" s="50">
        <f t="shared" si="5"/>
        <v>178438019.75803578</v>
      </c>
    </row>
    <row r="50" spans="1:13">
      <c r="A50" s="33">
        <v>42</v>
      </c>
      <c r="B50" s="40">
        <v>43405</v>
      </c>
      <c r="C50" s="29">
        <v>3547002.0897500003</v>
      </c>
      <c r="D50" s="55">
        <v>1171742.9972619817</v>
      </c>
      <c r="E50" s="29">
        <v>1733380.19</v>
      </c>
      <c r="F50" s="29"/>
      <c r="G50" s="25">
        <f t="shared" si="0"/>
        <v>2985364.8970119818</v>
      </c>
      <c r="H50" s="25">
        <f t="shared" si="1"/>
        <v>273956956.71721321</v>
      </c>
      <c r="I50" s="25">
        <v>-744446.22</v>
      </c>
      <c r="J50" s="25">
        <f t="shared" si="4"/>
        <v>-92956632.985110596</v>
      </c>
      <c r="K50" s="25">
        <v>321385.29897787567</v>
      </c>
      <c r="L50" s="50">
        <f t="shared" si="5"/>
        <v>181000323.73402563</v>
      </c>
    </row>
    <row r="51" spans="1:13">
      <c r="A51" s="33">
        <v>43</v>
      </c>
      <c r="B51" s="40">
        <v>43435</v>
      </c>
      <c r="C51" s="29">
        <v>1358449.5706999998</v>
      </c>
      <c r="D51" s="55">
        <v>1188568.7933709817</v>
      </c>
      <c r="E51" s="29">
        <v>1727108.96</v>
      </c>
      <c r="F51" s="29"/>
      <c r="G51" s="25">
        <f t="shared" si="0"/>
        <v>819909.40407098178</v>
      </c>
      <c r="H51" s="25">
        <f t="shared" si="1"/>
        <v>274776866.12128419</v>
      </c>
      <c r="I51" s="25">
        <v>-300057.65999999997</v>
      </c>
      <c r="J51" s="25">
        <f t="shared" si="4"/>
        <v>-92935305.346132711</v>
      </c>
      <c r="K51" s="25">
        <v>321385.29897787567</v>
      </c>
      <c r="L51" s="50">
        <f t="shared" si="5"/>
        <v>181841560.77707449</v>
      </c>
    </row>
    <row r="52" spans="1:13">
      <c r="A52" s="33">
        <v>44</v>
      </c>
      <c r="B52" s="40">
        <v>43466</v>
      </c>
      <c r="C52" s="29">
        <v>2258713.3401500001</v>
      </c>
      <c r="D52" s="55">
        <v>1194092.916620336</v>
      </c>
      <c r="E52" s="29">
        <v>2088178.32</v>
      </c>
      <c r="F52" s="29"/>
      <c r="G52" s="25">
        <f t="shared" si="0"/>
        <v>1364627.936770336</v>
      </c>
      <c r="H52" s="25">
        <f t="shared" si="1"/>
        <v>276141494.05805451</v>
      </c>
      <c r="I52" s="25">
        <v>-474329.73</v>
      </c>
      <c r="J52" s="25">
        <f t="shared" si="4"/>
        <v>-93248942.426643774</v>
      </c>
      <c r="K52" s="25">
        <v>160692.64948893784</v>
      </c>
      <c r="L52" s="50">
        <f>K52+C52+D52+I52-E52-F52+L51</f>
        <v>182892551.63333377</v>
      </c>
    </row>
    <row r="53" spans="1:13">
      <c r="A53" s="33">
        <v>45</v>
      </c>
      <c r="B53" s="40">
        <v>43497</v>
      </c>
      <c r="C53" s="29">
        <v>1283088.4322499998</v>
      </c>
      <c r="D53" s="55">
        <v>1200994.4232431052</v>
      </c>
      <c r="E53" s="29">
        <v>1660066.93</v>
      </c>
      <c r="F53" s="29"/>
      <c r="G53" s="25">
        <f t="shared" si="0"/>
        <v>824015.92549310508</v>
      </c>
      <c r="H53" s="25">
        <f t="shared" si="1"/>
        <v>276965509.98354763</v>
      </c>
      <c r="I53" s="25">
        <v>-269448.48</v>
      </c>
      <c r="J53" s="25">
        <f t="shared" si="4"/>
        <v>-93357698.257154837</v>
      </c>
      <c r="K53" s="25">
        <v>160692.64948893784</v>
      </c>
      <c r="L53" s="50">
        <f t="shared" si="5"/>
        <v>183607811.72831583</v>
      </c>
    </row>
    <row r="54" spans="1:13">
      <c r="A54" s="33">
        <v>46</v>
      </c>
      <c r="B54" s="40">
        <v>43525</v>
      </c>
      <c r="C54" s="29">
        <v>2237364.6175999995</v>
      </c>
      <c r="D54" s="55">
        <v>1205691.2978668206</v>
      </c>
      <c r="E54" s="29">
        <v>1958812.43</v>
      </c>
      <c r="F54" s="29"/>
      <c r="G54" s="25">
        <f t="shared" si="0"/>
        <v>1484243.48546682</v>
      </c>
      <c r="H54" s="25">
        <f t="shared" si="1"/>
        <v>278449753.46901447</v>
      </c>
      <c r="I54" s="25">
        <v>-469846.64999999997</v>
      </c>
      <c r="J54" s="25">
        <f t="shared" si="4"/>
        <v>-93666852.257665902</v>
      </c>
      <c r="K54" s="25">
        <v>160692.64948893784</v>
      </c>
      <c r="L54" s="50">
        <f t="shared" si="5"/>
        <v>184782901.21327159</v>
      </c>
    </row>
    <row r="55" spans="1:13">
      <c r="A55" s="33">
        <v>47</v>
      </c>
      <c r="B55" s="40">
        <v>43556</v>
      </c>
      <c r="C55" s="29">
        <v>2626279.0330499997</v>
      </c>
      <c r="D55" s="55">
        <v>1213407.7188180299</v>
      </c>
      <c r="E55" s="29">
        <v>1378152.46</v>
      </c>
      <c r="F55" s="29"/>
      <c r="G55" s="25">
        <f t="shared" si="0"/>
        <v>2461534.2918680296</v>
      </c>
      <c r="H55" s="25">
        <f t="shared" si="1"/>
        <v>280911287.7608825</v>
      </c>
      <c r="I55" s="25">
        <v>-551518.59</v>
      </c>
      <c r="J55" s="25">
        <f t="shared" si="4"/>
        <v>-94057678.198176965</v>
      </c>
      <c r="K55" s="25">
        <v>160692.64948893784</v>
      </c>
      <c r="L55" s="50">
        <f t="shared" si="5"/>
        <v>186853609.56462854</v>
      </c>
    </row>
    <row r="56" spans="1:13">
      <c r="A56" s="33">
        <v>48</v>
      </c>
      <c r="B56" s="40">
        <v>43586</v>
      </c>
      <c r="C56" s="29">
        <v>3022645.4856999996</v>
      </c>
      <c r="D56" s="55">
        <v>1227005.3703252738</v>
      </c>
      <c r="E56" s="29">
        <v>1577873.2524418053</v>
      </c>
      <c r="F56" s="29"/>
      <c r="G56" s="25">
        <f t="shared" si="0"/>
        <v>2671777.6035834677</v>
      </c>
      <c r="H56" s="25">
        <f t="shared" si="1"/>
        <v>283583065.36446595</v>
      </c>
      <c r="I56" s="25">
        <v>-634755.44999999995</v>
      </c>
      <c r="J56" s="25">
        <f t="shared" si="4"/>
        <v>-94531740.998688027</v>
      </c>
      <c r="K56" s="25">
        <v>160692.64948893784</v>
      </c>
      <c r="L56" s="50">
        <f t="shared" si="5"/>
        <v>189051324.36770093</v>
      </c>
      <c r="M56" s="41"/>
    </row>
    <row r="57" spans="1:13">
      <c r="A57" s="33">
        <v>49</v>
      </c>
      <c r="B57" s="40">
        <v>43617</v>
      </c>
      <c r="C57" s="29">
        <v>3040211.4142500004</v>
      </c>
      <c r="D57" s="55">
        <v>1241437.0308654495</v>
      </c>
      <c r="E57" s="29">
        <v>1561836.89</v>
      </c>
      <c r="F57" s="29"/>
      <c r="G57" s="25">
        <f t="shared" si="0"/>
        <v>2719811.5551154502</v>
      </c>
      <c r="H57" s="25">
        <f t="shared" si="1"/>
        <v>286302876.91958141</v>
      </c>
      <c r="I57" s="25">
        <v>-638444.30999999994</v>
      </c>
      <c r="J57" s="25">
        <f t="shared" si="4"/>
        <v>-95009492.659199089</v>
      </c>
      <c r="K57" s="25">
        <v>160692.64948893784</v>
      </c>
      <c r="L57" s="50">
        <f t="shared" si="5"/>
        <v>191293384.26230532</v>
      </c>
    </row>
    <row r="58" spans="1:13">
      <c r="A58" s="33">
        <v>50</v>
      </c>
      <c r="B58" s="40">
        <v>43647</v>
      </c>
      <c r="C58" s="29">
        <v>2201161.2479500002</v>
      </c>
      <c r="D58" s="55">
        <v>1256159.8908400182</v>
      </c>
      <c r="E58" s="29">
        <v>1783214.0800000001</v>
      </c>
      <c r="F58" s="29"/>
      <c r="G58" s="25">
        <f t="shared" si="0"/>
        <v>1674107.0587900183</v>
      </c>
      <c r="H58" s="25">
        <f>H57+G58</f>
        <v>287976983.97837144</v>
      </c>
      <c r="I58" s="25">
        <v>-462243.81</v>
      </c>
      <c r="J58" s="25">
        <f t="shared" si="4"/>
        <v>-95311043.81971015</v>
      </c>
      <c r="K58" s="25">
        <v>160692.64948893784</v>
      </c>
      <c r="L58" s="50">
        <f t="shared" si="5"/>
        <v>192665940.16058427</v>
      </c>
      <c r="M58" s="49"/>
    </row>
    <row r="59" spans="1:13">
      <c r="A59" s="33">
        <v>51</v>
      </c>
      <c r="B59" s="40">
        <v>43678</v>
      </c>
      <c r="C59" s="29">
        <v>2228366.3372499999</v>
      </c>
      <c r="D59" s="55">
        <v>1265173.0079053831</v>
      </c>
      <c r="E59" s="29">
        <v>1736249.9</v>
      </c>
      <c r="F59" s="29"/>
      <c r="G59" s="25">
        <f t="shared" si="0"/>
        <v>1757289.4451553831</v>
      </c>
      <c r="H59" s="25">
        <f t="shared" si="1"/>
        <v>289734273.42352682</v>
      </c>
      <c r="I59" s="25">
        <v>-467956.86</v>
      </c>
      <c r="J59" s="25">
        <f t="shared" si="4"/>
        <v>-95618308.030221209</v>
      </c>
      <c r="K59" s="25">
        <v>160692.64948893784</v>
      </c>
      <c r="L59" s="50">
        <f t="shared" si="5"/>
        <v>194115965.39522859</v>
      </c>
    </row>
    <row r="60" spans="1:13">
      <c r="A60" s="33">
        <v>52</v>
      </c>
      <c r="B60" s="40">
        <v>43709</v>
      </c>
      <c r="C60" s="29">
        <v>2210801.56115</v>
      </c>
      <c r="D60" s="55">
        <v>1274694.8402795473</v>
      </c>
      <c r="E60" s="29">
        <v>1647087.2020373587</v>
      </c>
      <c r="F60" s="29"/>
      <c r="G60" s="25">
        <f t="shared" si="0"/>
        <v>1838409.1993921883</v>
      </c>
      <c r="H60" s="25">
        <f t="shared" si="1"/>
        <v>291572682.62291902</v>
      </c>
      <c r="I60" s="25">
        <v>-464268.42</v>
      </c>
      <c r="J60" s="25">
        <f>I60+J59+K60</f>
        <v>-95921883.80073227</v>
      </c>
      <c r="K60" s="25">
        <v>160692.64948893784</v>
      </c>
      <c r="L60" s="50">
        <f>K60+C60+D60+I60-E60-F60+L59</f>
        <v>195650798.82410973</v>
      </c>
    </row>
    <row r="61" spans="1:13">
      <c r="A61" s="33">
        <v>53</v>
      </c>
      <c r="B61" s="40">
        <v>43739</v>
      </c>
      <c r="C61" s="29">
        <v>2197624.2015999998</v>
      </c>
      <c r="D61" s="55">
        <v>1284773.5797958667</v>
      </c>
      <c r="E61" s="29">
        <v>1605615.4728201609</v>
      </c>
      <c r="F61" s="29"/>
      <c r="G61" s="25">
        <f t="shared" si="0"/>
        <v>1876782.3085757056</v>
      </c>
      <c r="H61" s="25">
        <f t="shared" si="1"/>
        <v>293449464.93149471</v>
      </c>
      <c r="I61" s="25">
        <v>-461501.04</v>
      </c>
      <c r="J61" s="25">
        <f t="shared" si="4"/>
        <v>-96222692.191243336</v>
      </c>
      <c r="K61" s="25">
        <v>160692.64948893784</v>
      </c>
      <c r="L61" s="50">
        <f t="shared" si="5"/>
        <v>197226772.74217439</v>
      </c>
    </row>
    <row r="62" spans="1:13">
      <c r="A62" s="33">
        <v>54</v>
      </c>
      <c r="B62" s="40">
        <v>43770</v>
      </c>
      <c r="C62" s="29">
        <v>1847310.2518000002</v>
      </c>
      <c r="D62" s="55">
        <v>1295122.4751911578</v>
      </c>
      <c r="E62" s="29">
        <v>1928845.8972633644</v>
      </c>
      <c r="F62" s="29"/>
      <c r="G62" s="25">
        <f t="shared" si="0"/>
        <v>1213586.8297277936</v>
      </c>
      <c r="H62" s="25">
        <f t="shared" si="1"/>
        <v>294663051.76122248</v>
      </c>
      <c r="I62" s="25">
        <v>-387935.1</v>
      </c>
      <c r="J62" s="25">
        <f>I62+J61+K62</f>
        <v>-96449934.641754389</v>
      </c>
      <c r="K62" s="25">
        <v>160692.64948893784</v>
      </c>
      <c r="L62" s="50">
        <f t="shared" si="5"/>
        <v>198213117.12139112</v>
      </c>
    </row>
    <row r="63" spans="1:13">
      <c r="A63" s="33">
        <v>55</v>
      </c>
      <c r="B63" s="40">
        <v>43800</v>
      </c>
      <c r="C63" s="29">
        <v>1041926.5975</v>
      </c>
      <c r="D63" s="55">
        <v>1301599.469948014</v>
      </c>
      <c r="E63" s="29">
        <v>2086274.4301260402</v>
      </c>
      <c r="F63" s="29"/>
      <c r="G63" s="25">
        <f t="shared" si="0"/>
        <v>257251.63732197369</v>
      </c>
      <c r="H63" s="25">
        <f t="shared" si="1"/>
        <v>294920303.39854443</v>
      </c>
      <c r="I63" s="25">
        <v>-218804.66999999998</v>
      </c>
      <c r="J63" s="25">
        <f t="shared" si="4"/>
        <v>-96508046.66226545</v>
      </c>
      <c r="K63" s="25">
        <v>160692.64948893784</v>
      </c>
      <c r="L63" s="50">
        <f t="shared" si="5"/>
        <v>198412256.73820204</v>
      </c>
    </row>
    <row r="64" spans="1:13">
      <c r="A64" s="33">
        <v>56</v>
      </c>
      <c r="B64" s="40">
        <v>43831</v>
      </c>
      <c r="C64" s="29">
        <v>1346533.8681000001</v>
      </c>
      <c r="D64" s="55">
        <v>1302907.1534317392</v>
      </c>
      <c r="E64" s="29">
        <v>2038134.0040252367</v>
      </c>
      <c r="F64" s="29"/>
      <c r="G64" s="25">
        <f t="shared" si="0"/>
        <v>611307.01750650257</v>
      </c>
      <c r="H64" s="25">
        <f t="shared" si="1"/>
        <v>295531610.41605091</v>
      </c>
      <c r="I64" s="25">
        <v>-282772.14</v>
      </c>
      <c r="J64" s="25">
        <f t="shared" si="4"/>
        <v>-96630126.15277651</v>
      </c>
      <c r="K64" s="25">
        <v>160692.64948893784</v>
      </c>
      <c r="L64" s="50">
        <f t="shared" si="5"/>
        <v>198901484.26519749</v>
      </c>
    </row>
    <row r="65" spans="1:13">
      <c r="A65" s="33">
        <v>57</v>
      </c>
      <c r="B65" s="40">
        <v>43862</v>
      </c>
      <c r="C65" s="29">
        <v>1157663.7034999998</v>
      </c>
      <c r="D65" s="55">
        <v>1306119.7475256757</v>
      </c>
      <c r="E65" s="29">
        <v>1981065.8139825335</v>
      </c>
      <c r="F65" s="29"/>
      <c r="G65" s="25">
        <f>C65+D65-E65-F65</f>
        <v>482717.63704314199</v>
      </c>
      <c r="H65" s="25">
        <f t="shared" si="1"/>
        <v>296014328.05309403</v>
      </c>
      <c r="I65" s="25">
        <v>-243109.44</v>
      </c>
      <c r="J65" s="25">
        <f>I65+J64+K65</f>
        <v>-96712542.943287566</v>
      </c>
      <c r="K65" s="25">
        <v>160692.64948893784</v>
      </c>
      <c r="L65" s="50">
        <f t="shared" si="5"/>
        <v>199301785.11172956</v>
      </c>
    </row>
    <row r="66" spans="1:13">
      <c r="A66" s="33">
        <v>58</v>
      </c>
      <c r="B66" s="40">
        <v>43891</v>
      </c>
      <c r="C66" s="29">
        <v>1228026.83375</v>
      </c>
      <c r="D66" s="55">
        <v>1308748.3897512362</v>
      </c>
      <c r="E66" s="29">
        <v>1686752.6209487598</v>
      </c>
      <c r="F66" s="29"/>
      <c r="G66" s="25">
        <f t="shared" si="0"/>
        <v>850022.60255247634</v>
      </c>
      <c r="H66" s="25">
        <f t="shared" si="1"/>
        <v>296864350.6556465</v>
      </c>
      <c r="I66" s="25">
        <v>-257885.66999999998</v>
      </c>
      <c r="J66" s="25">
        <f t="shared" si="4"/>
        <v>-96809735.963798627</v>
      </c>
      <c r="K66" s="25">
        <v>160692.64948893784</v>
      </c>
      <c r="L66" s="50">
        <f t="shared" si="5"/>
        <v>200054614.69377097</v>
      </c>
    </row>
    <row r="67" spans="1:13">
      <c r="A67" s="33">
        <v>59</v>
      </c>
      <c r="B67" s="40">
        <v>43922</v>
      </c>
      <c r="C67" s="29">
        <v>725769.76850000001</v>
      </c>
      <c r="D67" s="55">
        <v>1313691.970673308</v>
      </c>
      <c r="E67" s="29">
        <v>1531398.3883453652</v>
      </c>
      <c r="F67" s="29"/>
      <c r="G67" s="25">
        <f t="shared" si="0"/>
        <v>508063.35082794284</v>
      </c>
      <c r="H67" s="25">
        <f t="shared" si="1"/>
        <v>297372414.00647444</v>
      </c>
      <c r="I67" s="25">
        <v>-152411.69999999998</v>
      </c>
      <c r="J67" s="25">
        <f>I67+J66+K67</f>
        <v>-96801455.014309689</v>
      </c>
      <c r="K67" s="25">
        <v>160692.64948893784</v>
      </c>
      <c r="L67" s="50">
        <f t="shared" si="5"/>
        <v>200570958.99408785</v>
      </c>
    </row>
    <row r="68" spans="1:13">
      <c r="A68" s="33">
        <v>60</v>
      </c>
      <c r="B68" s="40">
        <v>43952</v>
      </c>
      <c r="C68" s="29">
        <v>1606729.5769</v>
      </c>
      <c r="D68" s="55">
        <v>1317082.6315787225</v>
      </c>
      <c r="E68" s="29">
        <v>1705922.8998124253</v>
      </c>
      <c r="F68" s="29"/>
      <c r="G68" s="25">
        <f t="shared" si="0"/>
        <v>1217889.3086662975</v>
      </c>
      <c r="H68" s="25">
        <f t="shared" si="1"/>
        <v>298590303.31514072</v>
      </c>
      <c r="I68" s="25">
        <v>-337413.3</v>
      </c>
      <c r="J68" s="25">
        <f t="shared" si="4"/>
        <v>-96978175.664820746</v>
      </c>
      <c r="K68" s="25">
        <v>160692.64948893784</v>
      </c>
      <c r="L68" s="50">
        <f t="shared" si="5"/>
        <v>201612127.65224308</v>
      </c>
      <c r="M68" s="41"/>
    </row>
    <row r="69" spans="1:13">
      <c r="A69" s="33">
        <v>61</v>
      </c>
      <c r="B69" s="40">
        <v>43983</v>
      </c>
      <c r="C69" s="29">
        <v>1869181.8123499861</v>
      </c>
      <c r="D69" s="55">
        <v>1323919.6391006082</v>
      </c>
      <c r="E69" s="29">
        <v>1568254.0136263268</v>
      </c>
      <c r="F69" s="29"/>
      <c r="G69" s="25">
        <f t="shared" si="0"/>
        <v>1624847.4378242674</v>
      </c>
      <c r="H69" s="25">
        <f t="shared" si="1"/>
        <v>300215150.75296497</v>
      </c>
      <c r="I69" s="25">
        <v>-392528.22</v>
      </c>
      <c r="J69" s="25">
        <f>I69+J68+K69</f>
        <v>-97210011.235331804</v>
      </c>
      <c r="K69" s="25">
        <v>160692.64948893784</v>
      </c>
      <c r="L69" s="50">
        <f>K69+C69+D69+I69-E69-F69+L68</f>
        <v>203005139.51955628</v>
      </c>
    </row>
    <row r="70" spans="1:13">
      <c r="A70" s="33">
        <v>62</v>
      </c>
      <c r="B70" s="40">
        <v>44013</v>
      </c>
      <c r="C70" s="29">
        <v>2218272.1458999999</v>
      </c>
      <c r="D70" s="55">
        <v>1333067.0836959649</v>
      </c>
      <c r="E70" s="29">
        <v>1861938.5966599351</v>
      </c>
      <c r="F70" s="29"/>
      <c r="G70" s="25">
        <f>C70+D70-E70-F70</f>
        <v>1689400.6329360297</v>
      </c>
      <c r="H70" s="25">
        <f>H69+G70</f>
        <v>301904551.38590097</v>
      </c>
      <c r="I70" s="25">
        <v>-465837.12</v>
      </c>
      <c r="J70" s="25">
        <f t="shared" ref="J70:J105" si="6">I70+J69+K70</f>
        <v>-97515155.705842867</v>
      </c>
      <c r="K70" s="25">
        <v>160692.64948893801</v>
      </c>
      <c r="L70" s="50">
        <f>K70+C70+D70+I70-E70-F70+L69</f>
        <v>204389395.68198127</v>
      </c>
    </row>
    <row r="71" spans="1:13">
      <c r="A71" s="33">
        <v>63</v>
      </c>
      <c r="B71" s="40">
        <v>44044</v>
      </c>
      <c r="C71" s="29">
        <v>1447856.1295000003</v>
      </c>
      <c r="D71" s="55">
        <v>1342157.0324958889</v>
      </c>
      <c r="E71" s="29">
        <v>1823157.3971764713</v>
      </c>
      <c r="F71" s="29"/>
      <c r="G71" s="25">
        <f>C71+D71-E71-F71</f>
        <v>966855.76481941785</v>
      </c>
      <c r="H71" s="25">
        <f t="shared" si="1"/>
        <v>302871407.15072042</v>
      </c>
      <c r="I71" s="25">
        <v>-304049.76</v>
      </c>
      <c r="J71" s="25">
        <f t="shared" si="6"/>
        <v>-97658512.816353932</v>
      </c>
      <c r="K71" s="25">
        <v>160692.64948893784</v>
      </c>
      <c r="L71" s="50">
        <f>K71+C71+D71+I71-E71-F71+L70</f>
        <v>205212894.33628961</v>
      </c>
    </row>
    <row r="72" spans="1:13">
      <c r="A72" s="33">
        <v>64</v>
      </c>
      <c r="B72" s="40">
        <v>44075</v>
      </c>
      <c r="C72" s="29">
        <v>2649556.4545499999</v>
      </c>
      <c r="D72" s="55">
        <v>1347564.6736591803</v>
      </c>
      <c r="E72" s="29">
        <v>1561650.97</v>
      </c>
      <c r="F72" s="29"/>
      <c r="G72" s="25">
        <f t="shared" si="0"/>
        <v>2435470.1582091805</v>
      </c>
      <c r="H72" s="25">
        <f t="shared" si="1"/>
        <v>305306877.30892962</v>
      </c>
      <c r="I72" s="25">
        <v>-556406.76</v>
      </c>
      <c r="J72" s="25">
        <f t="shared" si="6"/>
        <v>-98054226.926864997</v>
      </c>
      <c r="K72" s="25">
        <v>160692.64948893784</v>
      </c>
      <c r="L72" s="50">
        <f>K72+C72+D72+I72-E72-F72+L71</f>
        <v>207252650.38398772</v>
      </c>
    </row>
    <row r="73" spans="1:13">
      <c r="A73" s="33">
        <v>65</v>
      </c>
      <c r="B73" s="40">
        <v>44105</v>
      </c>
      <c r="C73" s="29">
        <v>3834807.5258499999</v>
      </c>
      <c r="D73" s="55">
        <v>1360959.0717057313</v>
      </c>
      <c r="E73" s="29">
        <v>2076528.84</v>
      </c>
      <c r="F73" s="29"/>
      <c r="G73" s="25">
        <f t="shared" si="0"/>
        <v>3119237.7575557316</v>
      </c>
      <c r="H73" s="25">
        <f t="shared" si="1"/>
        <v>308426115.06648535</v>
      </c>
      <c r="I73" s="25">
        <v>-805309.67999999993</v>
      </c>
      <c r="J73" s="25">
        <f t="shared" si="6"/>
        <v>-98698843.957376063</v>
      </c>
      <c r="K73" s="25">
        <v>160692.64948893784</v>
      </c>
      <c r="L73" s="50">
        <f t="shared" si="5"/>
        <v>209727271.1110324</v>
      </c>
    </row>
    <row r="74" spans="1:13">
      <c r="A74" s="33">
        <v>66</v>
      </c>
      <c r="B74" s="40">
        <v>44136</v>
      </c>
      <c r="C74" s="29">
        <v>2517153.0894499999</v>
      </c>
      <c r="D74" s="55">
        <v>1377209.0811466577</v>
      </c>
      <c r="E74" s="29">
        <v>1446125.09</v>
      </c>
      <c r="F74" s="29"/>
      <c r="G74" s="25">
        <f t="shared" si="0"/>
        <v>2448237.0805966575</v>
      </c>
      <c r="H74" s="25">
        <f t="shared" ref="H74:H138" si="7">H73+G74</f>
        <v>310874352.14708203</v>
      </c>
      <c r="I74" s="25">
        <v>-528602.13</v>
      </c>
      <c r="J74" s="25">
        <f t="shared" si="6"/>
        <v>-99066753.437887117</v>
      </c>
      <c r="K74" s="25">
        <v>160692.64948893784</v>
      </c>
      <c r="L74" s="50">
        <f t="shared" si="5"/>
        <v>211807598.71111798</v>
      </c>
    </row>
    <row r="75" spans="1:13">
      <c r="A75" s="33">
        <v>67</v>
      </c>
      <c r="B75" s="40">
        <v>44166</v>
      </c>
      <c r="C75" s="29">
        <v>1400590.99315</v>
      </c>
      <c r="D75" s="55">
        <v>1390869.8990538863</v>
      </c>
      <c r="E75" s="29">
        <v>2618370.8851745129</v>
      </c>
      <c r="F75" s="29"/>
      <c r="G75" s="25">
        <f t="shared" ref="G75:G139" si="8">C75+D75-E75-F75</f>
        <v>173090.0070293732</v>
      </c>
      <c r="H75" s="25">
        <f t="shared" si="7"/>
        <v>311047442.15411139</v>
      </c>
      <c r="I75" s="25">
        <v>-294124.11</v>
      </c>
      <c r="J75" s="25">
        <f t="shared" si="6"/>
        <v>-99200184.898398176</v>
      </c>
      <c r="K75" s="25">
        <v>160692.64948893784</v>
      </c>
      <c r="L75" s="50">
        <f>K75+C75+D75+I75-E75-F75+L74</f>
        <v>211847257.25763631</v>
      </c>
    </row>
    <row r="76" spans="1:13">
      <c r="A76" s="33">
        <v>68</v>
      </c>
      <c r="B76" s="40">
        <v>44197</v>
      </c>
      <c r="C76" s="29">
        <v>690134.70444999996</v>
      </c>
      <c r="D76" s="55">
        <v>1352291.6596550345</v>
      </c>
      <c r="E76" s="29">
        <v>2468951.1098144846</v>
      </c>
      <c r="F76" s="29"/>
      <c r="G76" s="25">
        <f>C76+D76-E76-F76</f>
        <v>-426524.74570944998</v>
      </c>
      <c r="H76" s="25">
        <f t="shared" si="7"/>
        <v>310620917.40840191</v>
      </c>
      <c r="I76" s="25">
        <v>-144928.35</v>
      </c>
      <c r="J76" s="25">
        <f t="shared" si="6"/>
        <v>-98812285.848398164</v>
      </c>
      <c r="K76" s="25">
        <v>532827.4</v>
      </c>
      <c r="L76" s="50">
        <f t="shared" si="5"/>
        <v>211808631.56192687</v>
      </c>
    </row>
    <row r="77" spans="1:13" ht="14.45" customHeight="1">
      <c r="A77" s="33">
        <v>69</v>
      </c>
      <c r="B77" s="40">
        <v>44228</v>
      </c>
      <c r="C77" s="29">
        <v>315186.37744999997</v>
      </c>
      <c r="D77" s="55">
        <v>1323803.9480718886</v>
      </c>
      <c r="E77" s="29">
        <v>2555968.11</v>
      </c>
      <c r="F77" s="29"/>
      <c r="G77" s="25">
        <f t="shared" si="8"/>
        <v>-916977.78447811119</v>
      </c>
      <c r="H77" s="25">
        <f t="shared" si="7"/>
        <v>309703939.62392378</v>
      </c>
      <c r="I77" s="25">
        <v>-66189.06</v>
      </c>
      <c r="J77" s="25">
        <f>I77+J76+K77</f>
        <v>-98076883.528398171</v>
      </c>
      <c r="K77" s="25">
        <v>801591.38</v>
      </c>
      <c r="L77" s="50">
        <f t="shared" si="5"/>
        <v>211627056.09744877</v>
      </c>
    </row>
    <row r="78" spans="1:13" ht="14.45" customHeight="1">
      <c r="A78" s="33">
        <v>70</v>
      </c>
      <c r="B78" s="40">
        <v>44256</v>
      </c>
      <c r="C78" s="29">
        <v>345424.69544999994</v>
      </c>
      <c r="D78" s="55">
        <v>1322669.1014189003</v>
      </c>
      <c r="E78" s="29">
        <v>1960984.52</v>
      </c>
      <c r="F78" s="29"/>
      <c r="G78" s="25">
        <f t="shared" si="8"/>
        <v>-292890.72313109972</v>
      </c>
      <c r="H78" s="25">
        <f t="shared" si="7"/>
        <v>309411048.90079266</v>
      </c>
      <c r="I78" s="25">
        <v>-72539.25</v>
      </c>
      <c r="J78" s="25">
        <f t="shared" si="6"/>
        <v>-97347831.398398176</v>
      </c>
      <c r="K78" s="25">
        <v>801591.38</v>
      </c>
      <c r="L78" s="50">
        <f t="shared" si="5"/>
        <v>212063217.50431767</v>
      </c>
    </row>
    <row r="79" spans="1:13" ht="14.45" customHeight="1">
      <c r="A79" s="33">
        <v>71</v>
      </c>
      <c r="B79" s="40">
        <v>44287</v>
      </c>
      <c r="C79" s="29">
        <v>602534.26135000004</v>
      </c>
      <c r="D79" s="55">
        <v>1325395.1102118311</v>
      </c>
      <c r="E79" s="29">
        <v>2266436.8415665375</v>
      </c>
      <c r="F79" s="29"/>
      <c r="G79" s="25">
        <f t="shared" si="8"/>
        <v>-338507.47000470641</v>
      </c>
      <c r="H79" s="25">
        <f t="shared" si="7"/>
        <v>309072541.43078798</v>
      </c>
      <c r="I79" s="25">
        <v>-126532.14</v>
      </c>
      <c r="J79" s="25">
        <f t="shared" si="6"/>
        <v>-96672772.158398181</v>
      </c>
      <c r="K79" s="25">
        <v>801591.38</v>
      </c>
      <c r="L79" s="50">
        <f t="shared" si="5"/>
        <v>212399769.27431297</v>
      </c>
    </row>
    <row r="80" spans="1:13" ht="14.45" customHeight="1">
      <c r="A80" s="33">
        <v>72</v>
      </c>
      <c r="B80" s="40">
        <v>44317</v>
      </c>
      <c r="C80" s="29">
        <v>653148.92960000003</v>
      </c>
      <c r="D80" s="55">
        <v>1327498.5587743018</v>
      </c>
      <c r="E80" s="29">
        <v>1870559.5785595994</v>
      </c>
      <c r="F80" s="29"/>
      <c r="G80" s="25">
        <f t="shared" si="8"/>
        <v>110087.90981470235</v>
      </c>
      <c r="H80" s="25">
        <f t="shared" si="7"/>
        <v>309182629.3406027</v>
      </c>
      <c r="I80" s="25">
        <v>-137161.29</v>
      </c>
      <c r="J80" s="25">
        <f>I80+J79+K80</f>
        <v>-96008342.068398193</v>
      </c>
      <c r="K80" s="25">
        <v>801591.38</v>
      </c>
      <c r="L80" s="50">
        <f t="shared" si="5"/>
        <v>213174287.27412766</v>
      </c>
      <c r="M80" s="41"/>
    </row>
    <row r="81" spans="1:13" ht="14.45" customHeight="1">
      <c r="A81" s="33">
        <v>73</v>
      </c>
      <c r="B81" s="40">
        <v>44348</v>
      </c>
      <c r="C81" s="29">
        <v>349467.15515000001</v>
      </c>
      <c r="D81" s="55">
        <v>1332339.2962731435</v>
      </c>
      <c r="E81" s="29">
        <v>2218196.9890521378</v>
      </c>
      <c r="F81" s="29"/>
      <c r="G81" s="25">
        <f t="shared" si="8"/>
        <v>-536390.53762899432</v>
      </c>
      <c r="H81" s="25">
        <f t="shared" si="7"/>
        <v>308646238.80297369</v>
      </c>
      <c r="I81" s="25">
        <v>-73388.069999999992</v>
      </c>
      <c r="J81" s="25">
        <f t="shared" si="6"/>
        <v>-95280138.75839819</v>
      </c>
      <c r="K81" s="25">
        <v>801591.38</v>
      </c>
      <c r="L81" s="50">
        <f t="shared" si="5"/>
        <v>213366100.04649866</v>
      </c>
    </row>
    <row r="82" spans="1:13" ht="14.45" customHeight="1">
      <c r="A82" s="33">
        <v>74</v>
      </c>
      <c r="B82" s="40">
        <v>44378</v>
      </c>
      <c r="C82" s="29">
        <v>167013.06385000001</v>
      </c>
      <c r="D82" s="55">
        <v>1333538.1261004622</v>
      </c>
      <c r="E82" s="29">
        <v>2323057.9900000002</v>
      </c>
      <c r="F82" s="29"/>
      <c r="G82" s="25">
        <f>C82+D82-E82-F82</f>
        <v>-822506.80004953803</v>
      </c>
      <c r="H82" s="25">
        <f>H81+G82</f>
        <v>307823732.00292414</v>
      </c>
      <c r="I82" s="25">
        <v>-35072.729999999996</v>
      </c>
      <c r="J82" s="25">
        <f t="shared" si="6"/>
        <v>-94513620.108398199</v>
      </c>
      <c r="K82" s="25">
        <v>801591.38</v>
      </c>
      <c r="L82" s="50">
        <f t="shared" si="5"/>
        <v>213310111.89644912</v>
      </c>
    </row>
    <row r="83" spans="1:13" ht="14.45" customHeight="1">
      <c r="A83" s="33">
        <v>75</v>
      </c>
      <c r="B83" s="40">
        <v>44409</v>
      </c>
      <c r="C83" s="29">
        <v>562974.30720000004</v>
      </c>
      <c r="D83" s="55">
        <v>1333188.2001626524</v>
      </c>
      <c r="E83" s="29">
        <v>3259199.9886138295</v>
      </c>
      <c r="F83" s="29"/>
      <c r="G83" s="25">
        <f t="shared" si="8"/>
        <v>-1363037.4812511769</v>
      </c>
      <c r="H83" s="25">
        <f t="shared" si="7"/>
        <v>306460694.52167296</v>
      </c>
      <c r="I83" s="25">
        <v>-118224.54</v>
      </c>
      <c r="J83" s="25">
        <f t="shared" si="6"/>
        <v>-93830253.26839821</v>
      </c>
      <c r="K83" s="25">
        <v>801591.38</v>
      </c>
      <c r="L83" s="50">
        <f t="shared" si="5"/>
        <v>212630441.25519794</v>
      </c>
    </row>
    <row r="84" spans="1:13" ht="14.45" customHeight="1">
      <c r="A84" s="33">
        <v>76</v>
      </c>
      <c r="B84" s="40">
        <v>44440</v>
      </c>
      <c r="C84" s="29">
        <v>-1795179.2548499999</v>
      </c>
      <c r="D84" s="55">
        <v>1328940.2586548326</v>
      </c>
      <c r="E84" s="29">
        <v>1212424.4898162088</v>
      </c>
      <c r="F84" s="29"/>
      <c r="G84" s="25">
        <f t="shared" si="8"/>
        <v>-1678663.4860113761</v>
      </c>
      <c r="H84" s="25">
        <f t="shared" si="7"/>
        <v>304782031.03566158</v>
      </c>
      <c r="I84" s="25">
        <v>376987.58999999997</v>
      </c>
      <c r="J84" s="25">
        <f t="shared" si="6"/>
        <v>-92651674.298398212</v>
      </c>
      <c r="K84" s="25">
        <v>801591.38</v>
      </c>
      <c r="L84" s="50">
        <f t="shared" si="5"/>
        <v>212130356.73918656</v>
      </c>
    </row>
    <row r="85" spans="1:13" ht="14.45" customHeight="1">
      <c r="A85" s="33">
        <v>77</v>
      </c>
      <c r="B85" s="40">
        <v>44470</v>
      </c>
      <c r="C85" s="29">
        <v>1922935.7248499999</v>
      </c>
      <c r="D85" s="55">
        <v>1325814.7304297613</v>
      </c>
      <c r="E85" s="29">
        <v>2377842.4858495505</v>
      </c>
      <c r="F85" s="29"/>
      <c r="G85" s="25">
        <f t="shared" si="8"/>
        <v>870907.96943021053</v>
      </c>
      <c r="H85" s="25">
        <f t="shared" si="7"/>
        <v>305652939.00509179</v>
      </c>
      <c r="I85" s="25">
        <v>-403816.56</v>
      </c>
      <c r="J85" s="25">
        <f t="shared" si="6"/>
        <v>-92253899.478398219</v>
      </c>
      <c r="K85" s="25">
        <v>801591.38</v>
      </c>
      <c r="L85" s="50">
        <f t="shared" si="5"/>
        <v>213399039.52861676</v>
      </c>
    </row>
    <row r="86" spans="1:13" ht="14.45" customHeight="1">
      <c r="A86" s="33">
        <v>78</v>
      </c>
      <c r="B86" s="40">
        <v>44501</v>
      </c>
      <c r="C86" s="29">
        <v>58741.558500000006</v>
      </c>
      <c r="D86" s="55">
        <v>1333743.9978637001</v>
      </c>
      <c r="E86" s="29">
        <v>2449755.6383997235</v>
      </c>
      <c r="F86" s="29"/>
      <c r="G86" s="25">
        <f t="shared" si="8"/>
        <v>-1057270.0820360233</v>
      </c>
      <c r="H86" s="25">
        <f t="shared" si="7"/>
        <v>304595668.92305577</v>
      </c>
      <c r="I86" s="25">
        <v>-12335.82</v>
      </c>
      <c r="J86" s="25">
        <f t="shared" si="6"/>
        <v>-91464643.918398216</v>
      </c>
      <c r="K86" s="25">
        <v>801591.38</v>
      </c>
      <c r="L86" s="50">
        <f t="shared" si="5"/>
        <v>213131025.00658074</v>
      </c>
    </row>
    <row r="87" spans="1:13" ht="14.45" customHeight="1">
      <c r="A87" s="33">
        <v>79</v>
      </c>
      <c r="B87" s="40">
        <v>44531</v>
      </c>
      <c r="C87" s="29">
        <v>118718.81919999998</v>
      </c>
      <c r="D87" s="55">
        <v>1332068.907100975</v>
      </c>
      <c r="E87" s="29">
        <v>3142937.27</v>
      </c>
      <c r="F87" s="29"/>
      <c r="G87" s="25">
        <f t="shared" si="8"/>
        <v>-1692149.5436990249</v>
      </c>
      <c r="H87" s="25">
        <f t="shared" si="7"/>
        <v>302903519.37935674</v>
      </c>
      <c r="I87" s="25">
        <v>-24930.989999999998</v>
      </c>
      <c r="J87" s="25">
        <f t="shared" si="6"/>
        <v>-90687983.528398216</v>
      </c>
      <c r="K87" s="25">
        <v>801591.38</v>
      </c>
      <c r="L87" s="50">
        <f t="shared" si="5"/>
        <v>212215535.85288173</v>
      </c>
    </row>
    <row r="88" spans="1:13" ht="14.45" customHeight="1">
      <c r="A88" s="33">
        <v>80</v>
      </c>
      <c r="B88" s="40">
        <v>44562</v>
      </c>
      <c r="C88" s="29">
        <v>38965.831700000002</v>
      </c>
      <c r="D88" s="55">
        <v>1326347.099890356</v>
      </c>
      <c r="E88" s="29">
        <v>3226752.3058961709</v>
      </c>
      <c r="F88" s="29"/>
      <c r="G88" s="25">
        <f t="shared" si="8"/>
        <v>-1861439.374305815</v>
      </c>
      <c r="H88" s="25">
        <f t="shared" si="7"/>
        <v>301042080.0050509</v>
      </c>
      <c r="I88" s="25">
        <v>-8182.86</v>
      </c>
      <c r="J88" s="25">
        <f t="shared" si="6"/>
        <v>-89894575.00839822</v>
      </c>
      <c r="K88" s="25">
        <v>801591.38</v>
      </c>
      <c r="L88" s="50">
        <f t="shared" si="5"/>
        <v>211147504.99857593</v>
      </c>
    </row>
    <row r="89" spans="1:13" ht="14.45" customHeight="1">
      <c r="A89" s="33">
        <v>81</v>
      </c>
      <c r="B89" s="40">
        <v>44593</v>
      </c>
      <c r="C89" s="29">
        <v>10227.097400000001</v>
      </c>
      <c r="D89" s="55">
        <v>1319671.9070509446</v>
      </c>
      <c r="E89" s="29">
        <v>1868330.68</v>
      </c>
      <c r="F89" s="29"/>
      <c r="G89" s="25">
        <f t="shared" si="8"/>
        <v>-538431.67554905522</v>
      </c>
      <c r="H89" s="25">
        <f t="shared" si="7"/>
        <v>300503648.32950187</v>
      </c>
      <c r="I89" s="25">
        <v>-2147.67</v>
      </c>
      <c r="J89" s="25">
        <f t="shared" si="6"/>
        <v>-89095131.298398226</v>
      </c>
      <c r="K89" s="25">
        <v>801591.38</v>
      </c>
      <c r="L89" s="50">
        <f t="shared" si="5"/>
        <v>211408517.03302687</v>
      </c>
    </row>
    <row r="90" spans="1:13" ht="14.45" customHeight="1">
      <c r="A90" s="33">
        <v>82</v>
      </c>
      <c r="B90" s="40">
        <v>44621</v>
      </c>
      <c r="C90" s="29">
        <v>38719.325599999996</v>
      </c>
      <c r="D90" s="55">
        <v>1321303.2322662631</v>
      </c>
      <c r="E90" s="29">
        <v>2267940.41</v>
      </c>
      <c r="F90" s="29"/>
      <c r="G90" s="25">
        <f t="shared" si="8"/>
        <v>-907917.85213373695</v>
      </c>
      <c r="H90" s="25">
        <f t="shared" si="7"/>
        <v>299595730.47736812</v>
      </c>
      <c r="I90" s="25">
        <v>-8130.99</v>
      </c>
      <c r="J90" s="25">
        <f t="shared" si="6"/>
        <v>-88301670.908398226</v>
      </c>
      <c r="K90" s="25">
        <v>801591.38</v>
      </c>
      <c r="L90" s="50">
        <f t="shared" si="5"/>
        <v>211294059.57089314</v>
      </c>
    </row>
    <row r="91" spans="1:13" ht="14.45" customHeight="1">
      <c r="A91" s="33">
        <v>83</v>
      </c>
      <c r="B91" s="40">
        <v>44652</v>
      </c>
      <c r="C91" s="29">
        <v>127425.66759999999</v>
      </c>
      <c r="D91" s="55">
        <v>1320587.8731279271</v>
      </c>
      <c r="E91" s="29">
        <v>2337767.54</v>
      </c>
      <c r="F91" s="29"/>
      <c r="G91" s="25">
        <f t="shared" si="8"/>
        <v>-889753.99927207292</v>
      </c>
      <c r="H91" s="25">
        <f t="shared" si="7"/>
        <v>298705976.47809607</v>
      </c>
      <c r="I91" s="25">
        <v>-26759.46</v>
      </c>
      <c r="J91" s="25">
        <f t="shared" si="6"/>
        <v>-87526838.988398224</v>
      </c>
      <c r="K91" s="25">
        <v>801591.38</v>
      </c>
      <c r="L91" s="50">
        <f t="shared" si="5"/>
        <v>211179137.49162108</v>
      </c>
    </row>
    <row r="92" spans="1:13" ht="14.45" customHeight="1">
      <c r="A92" s="33">
        <v>84</v>
      </c>
      <c r="B92" s="40">
        <v>44682</v>
      </c>
      <c r="C92" s="29">
        <v>86204.13665</v>
      </c>
      <c r="D92" s="55">
        <v>1319869.6101324768</v>
      </c>
      <c r="E92" s="29">
        <v>3547823.5647623492</v>
      </c>
      <c r="F92" s="29"/>
      <c r="G92" s="25">
        <f t="shared" si="8"/>
        <v>-2141749.8179798722</v>
      </c>
      <c r="H92" s="25">
        <f t="shared" si="7"/>
        <v>296564226.6601162</v>
      </c>
      <c r="I92" s="25">
        <v>-18102.84</v>
      </c>
      <c r="J92" s="25">
        <f t="shared" si="6"/>
        <v>-86743350.448398232</v>
      </c>
      <c r="K92" s="25">
        <v>801591.38</v>
      </c>
      <c r="L92" s="50">
        <f t="shared" si="5"/>
        <v>209820876.2136412</v>
      </c>
      <c r="M92" s="41"/>
    </row>
    <row r="93" spans="1:13" ht="14.45" customHeight="1">
      <c r="A93" s="33">
        <v>85</v>
      </c>
      <c r="B93" s="40">
        <v>44713</v>
      </c>
      <c r="C93" s="29">
        <v>26183.841299998239</v>
      </c>
      <c r="D93" s="55">
        <v>1311380.4771451026</v>
      </c>
      <c r="E93" s="29">
        <v>1758747.5544925677</v>
      </c>
      <c r="F93" s="29"/>
      <c r="G93" s="25">
        <f t="shared" si="8"/>
        <v>-421183.23604746675</v>
      </c>
      <c r="H93" s="25">
        <f t="shared" si="7"/>
        <v>296143043.42406875</v>
      </c>
      <c r="I93" s="25">
        <v>-5498.6399999999994</v>
      </c>
      <c r="J93" s="25">
        <f>I93+J92+K93-(L1*0.21)</f>
        <v>-76624100.625298232</v>
      </c>
      <c r="K93" s="25">
        <v>801591.38</v>
      </c>
      <c r="L93" s="50">
        <f>K93+C93+D93+I93-E93-F93+L92-(L1*0.21)</f>
        <v>219518942.80069372</v>
      </c>
      <c r="M93" s="43"/>
    </row>
    <row r="94" spans="1:13" ht="14.45" customHeight="1">
      <c r="A94" s="33">
        <v>86</v>
      </c>
      <c r="B94" s="40">
        <v>44743</v>
      </c>
      <c r="C94" s="29">
        <v>17224.46845</v>
      </c>
      <c r="D94" s="55">
        <v>1371993.3933141809</v>
      </c>
      <c r="E94" s="29">
        <v>2922124.76</v>
      </c>
      <c r="F94" s="29"/>
      <c r="G94" s="25">
        <f t="shared" si="8"/>
        <v>-1532906.8982358188</v>
      </c>
      <c r="H94" s="25">
        <f>H93+G94</f>
        <v>294610136.52583295</v>
      </c>
      <c r="I94" s="25">
        <v>-3617.04</v>
      </c>
      <c r="J94" s="25">
        <f>I94+J93+K94-((D94-E94)*0.21)</f>
        <v>-75500598.698294222</v>
      </c>
      <c r="K94" s="25">
        <v>801591.38</v>
      </c>
      <c r="L94" s="50">
        <f>K94+C94+D94+I94-E94-F94+L93-((D94-E94)*0.21)</f>
        <v>219109537.82946193</v>
      </c>
      <c r="M94" s="43"/>
    </row>
    <row r="95" spans="1:13" ht="14.45" customHeight="1">
      <c r="A95" s="33">
        <v>87</v>
      </c>
      <c r="B95" s="40">
        <v>44774</v>
      </c>
      <c r="C95" s="29">
        <v>57127.901949999999</v>
      </c>
      <c r="D95" s="55">
        <v>1369434.6122439825</v>
      </c>
      <c r="E95" s="29">
        <v>2852250.299877218</v>
      </c>
      <c r="F95" s="29"/>
      <c r="G95" s="25">
        <f t="shared" si="8"/>
        <v>-1425687.7856832354</v>
      </c>
      <c r="H95" s="25">
        <f t="shared" si="7"/>
        <v>293184448.74014974</v>
      </c>
      <c r="I95" s="25">
        <v>-11996.88</v>
      </c>
      <c r="J95" s="25">
        <f>I95+J94+K95-((D95-E95)*0.21)</f>
        <v>-74399612.903891236</v>
      </c>
      <c r="K95" s="25">
        <v>801591.38</v>
      </c>
      <c r="L95" s="50">
        <f>K95+C95+D95+I95-E95-F95+L94-((D95-E95)*0.21)</f>
        <v>218784835.83818167</v>
      </c>
      <c r="M95" s="43"/>
    </row>
    <row r="96" spans="1:13" ht="14.45" customHeight="1">
      <c r="A96" s="33">
        <v>88</v>
      </c>
      <c r="B96" s="40">
        <v>44805</v>
      </c>
      <c r="C96" s="29">
        <v>-203938.12330000001</v>
      </c>
      <c r="D96" s="55">
        <v>1367405.224798481</v>
      </c>
      <c r="E96" s="29">
        <v>1959889.3904159209</v>
      </c>
      <c r="F96" s="29"/>
      <c r="G96" s="25">
        <f t="shared" si="8"/>
        <v>-796422.28891743999</v>
      </c>
      <c r="H96" s="25">
        <f t="shared" si="7"/>
        <v>292388026.45123231</v>
      </c>
      <c r="I96" s="25">
        <v>42826.979999999996</v>
      </c>
      <c r="J96" s="25">
        <f>I96+J95+K96-((D96-E96)*0.21)</f>
        <v>-73430772.869111568</v>
      </c>
      <c r="K96" s="25">
        <v>801591.38</v>
      </c>
      <c r="L96" s="50">
        <f>K96+C96+D96+I96-E96-F96+L95-((D96-E96)*0.21)</f>
        <v>218957253.58404389</v>
      </c>
      <c r="M96" s="43"/>
    </row>
    <row r="97" spans="1:13" ht="14.45" customHeight="1">
      <c r="A97" s="33">
        <v>89</v>
      </c>
      <c r="B97" s="40">
        <v>44835</v>
      </c>
      <c r="C97" s="29">
        <v>54842.5936</v>
      </c>
      <c r="D97" s="55">
        <v>1368482.8357101197</v>
      </c>
      <c r="E97" s="29">
        <v>2305037.2610563603</v>
      </c>
      <c r="F97" s="29"/>
      <c r="G97" s="25">
        <f t="shared" si="8"/>
        <v>-881711.83174624061</v>
      </c>
      <c r="H97" s="25">
        <f t="shared" si="7"/>
        <v>291506314.61948609</v>
      </c>
      <c r="I97" s="25">
        <v>-11517.029999999999</v>
      </c>
      <c r="J97" s="25">
        <f>I97+J96+K97-((D97-E97)*0.21)</f>
        <v>-72444022.089788869</v>
      </c>
      <c r="K97" s="25">
        <v>801591.38</v>
      </c>
      <c r="L97" s="50">
        <f>K97+C97+D97+I97-E97-F97+L96-((D97-E97)*0.21)</f>
        <v>219062292.53162038</v>
      </c>
      <c r="M97" s="43"/>
    </row>
    <row r="98" spans="1:13" ht="14.45" customHeight="1">
      <c r="A98" s="33">
        <v>90</v>
      </c>
      <c r="B98" s="40">
        <v>44866</v>
      </c>
      <c r="C98" s="29">
        <v>8308.1401000000005</v>
      </c>
      <c r="D98" s="55">
        <v>1369139.3291324726</v>
      </c>
      <c r="E98" s="29">
        <v>2321363.9442589362</v>
      </c>
      <c r="F98" s="29"/>
      <c r="G98" s="25">
        <f t="shared" si="8"/>
        <v>-943916.47502646362</v>
      </c>
      <c r="H98" s="25">
        <f t="shared" si="7"/>
        <v>290562398.14445961</v>
      </c>
      <c r="I98" s="25">
        <v>-1744.6799999999998</v>
      </c>
      <c r="J98" s="25">
        <f>I98+J97+K98-((D98-E98)*0.21)</f>
        <v>-71444208.220612317</v>
      </c>
      <c r="K98" s="25">
        <v>801591.38</v>
      </c>
      <c r="L98" s="50">
        <f>K98+C98+D98+I98-E98-F98+L97-((D98-E98)*0.21)</f>
        <v>219118189.92577046</v>
      </c>
      <c r="M98" s="43"/>
    </row>
    <row r="99" spans="1:13" ht="14.45" customHeight="1">
      <c r="A99" s="33">
        <v>91</v>
      </c>
      <c r="B99" s="40">
        <v>44896</v>
      </c>
      <c r="C99" s="29">
        <v>19818.012850000003</v>
      </c>
      <c r="D99" s="55">
        <v>1369488.6878459107</v>
      </c>
      <c r="E99" s="29">
        <v>2751248.6661874265</v>
      </c>
      <c r="F99" s="29"/>
      <c r="G99" s="25">
        <f t="shared" si="8"/>
        <v>-1361941.9654915158</v>
      </c>
      <c r="H99" s="25">
        <f t="shared" si="7"/>
        <v>289200456.17896807</v>
      </c>
      <c r="I99" s="25">
        <v>-4161.78</v>
      </c>
      <c r="J99" s="25">
        <f>I99+J98+K99-((D99-E99)*0.21)</f>
        <v>-70356609.025160611</v>
      </c>
      <c r="K99" s="25">
        <v>801591.38</v>
      </c>
      <c r="L99" s="50">
        <f>K99+C99+D99+I99-E99-F99+L98-((D99-E99)*0.21)</f>
        <v>218843847.15573066</v>
      </c>
      <c r="M99" s="43"/>
    </row>
    <row r="100" spans="1:13" ht="14.45" customHeight="1">
      <c r="A100" s="33">
        <v>92</v>
      </c>
      <c r="B100" s="40">
        <v>44927</v>
      </c>
      <c r="C100" s="29">
        <v>10062.001550000001</v>
      </c>
      <c r="D100" s="55">
        <v>1367774.0455331616</v>
      </c>
      <c r="E100" s="29">
        <v>2005857.7834442272</v>
      </c>
      <c r="F100" s="29"/>
      <c r="G100" s="25">
        <f t="shared" si="8"/>
        <v>-628021.73636106565</v>
      </c>
      <c r="H100" s="25">
        <f t="shared" si="7"/>
        <v>288572434.44260699</v>
      </c>
      <c r="I100" s="25">
        <v>-2113.02</v>
      </c>
      <c r="J100" s="25">
        <f>I100+J99+K100-((D100-E100)*0.21)</f>
        <v>-69423133.080199286</v>
      </c>
      <c r="K100" s="25">
        <v>801591.38</v>
      </c>
      <c r="L100" s="50">
        <f>K100+C100+D100+I100-E100-F100+L99-((D100-E100)*0.21)</f>
        <v>219149301.36433092</v>
      </c>
      <c r="M100" s="43"/>
    </row>
    <row r="101" spans="1:13" ht="14.45" customHeight="1">
      <c r="A101" s="33">
        <v>93</v>
      </c>
      <c r="B101" s="40">
        <v>44958</v>
      </c>
      <c r="C101" s="29">
        <v>3042.5468000000001</v>
      </c>
      <c r="D101" s="55">
        <v>1369683.134336913</v>
      </c>
      <c r="E101" s="29">
        <v>2492231.5520669483</v>
      </c>
      <c r="F101" s="29"/>
      <c r="G101" s="25">
        <f t="shared" si="8"/>
        <v>-1119505.8709300354</v>
      </c>
      <c r="H101" s="25">
        <f t="shared" si="7"/>
        <v>287452928.57167697</v>
      </c>
      <c r="I101" s="25">
        <v>-639.03</v>
      </c>
      <c r="J101" s="25">
        <f>I101+J100+K101-((D101-E101)*0.21)</f>
        <v>-68386445.562475979</v>
      </c>
      <c r="K101" s="25">
        <v>801591.38</v>
      </c>
      <c r="L101" s="50">
        <f>K101+C101+D101+I101-E101-F101+L100-((D101-E101)*0.21)</f>
        <v>219066483.01112419</v>
      </c>
      <c r="M101" s="43"/>
    </row>
    <row r="102" spans="1:13" ht="14.45" customHeight="1">
      <c r="A102" s="33">
        <v>94</v>
      </c>
      <c r="B102" s="40">
        <v>44986</v>
      </c>
      <c r="C102" s="29">
        <v>1184.9156</v>
      </c>
      <c r="D102" s="55">
        <v>1369165.5196293709</v>
      </c>
      <c r="E102" s="29">
        <v>1459382.0218524863</v>
      </c>
      <c r="F102" s="29"/>
      <c r="G102" s="25">
        <f t="shared" si="8"/>
        <v>-89031.586623115465</v>
      </c>
      <c r="H102" s="25">
        <f t="shared" si="7"/>
        <v>287363896.98505384</v>
      </c>
      <c r="I102" s="25">
        <v>-248.85</v>
      </c>
      <c r="J102" s="25">
        <f>I102+J101+K102-((D102-E102)*0.21)</f>
        <v>-67566157.567009121</v>
      </c>
      <c r="K102" s="25">
        <v>801591.38</v>
      </c>
      <c r="L102" s="50">
        <f>K102+C102+D102+I102-E102-F102+L101-((D102-E102)*0.21)</f>
        <v>219797739.41996795</v>
      </c>
      <c r="M102" s="43"/>
    </row>
    <row r="103" spans="1:13" ht="14.45" customHeight="1">
      <c r="A103" s="33">
        <v>95</v>
      </c>
      <c r="B103" s="40">
        <v>45017</v>
      </c>
      <c r="C103" s="29">
        <v>-10886.023000000001</v>
      </c>
      <c r="D103" s="55">
        <v>1373735.8721846442</v>
      </c>
      <c r="E103" s="29">
        <v>2119565.6753591625</v>
      </c>
      <c r="F103" s="29"/>
      <c r="G103" s="25">
        <f t="shared" si="8"/>
        <v>-756715.82617451833</v>
      </c>
      <c r="H103" s="25">
        <f t="shared" si="7"/>
        <v>286607181.15887934</v>
      </c>
      <c r="I103" s="25">
        <v>2286.06</v>
      </c>
      <c r="J103" s="25">
        <f>I103+J102+K103-((D103-E103)*0.21)</f>
        <v>-66605655.868342467</v>
      </c>
      <c r="K103" s="25">
        <v>801591.38</v>
      </c>
      <c r="L103" s="50">
        <f>K103+C103+D103+I103-E103-F103+L102-((D103-E103)*0.21)</f>
        <v>220001525.29246005</v>
      </c>
      <c r="M103" s="43"/>
    </row>
    <row r="104" spans="1:13" ht="14.45" customHeight="1">
      <c r="A104" s="33">
        <v>96</v>
      </c>
      <c r="B104" s="40">
        <v>45047</v>
      </c>
      <c r="C104" s="29">
        <v>-23071.605749999999</v>
      </c>
      <c r="D104" s="55">
        <v>1375009.5338877197</v>
      </c>
      <c r="E104" s="29">
        <v>1573890.2527854</v>
      </c>
      <c r="F104" s="29"/>
      <c r="G104" s="25">
        <f t="shared" si="8"/>
        <v>-221952.32464768039</v>
      </c>
      <c r="H104" s="25">
        <f t="shared" si="7"/>
        <v>286385228.83423167</v>
      </c>
      <c r="I104" s="25">
        <v>4845.12</v>
      </c>
      <c r="J104" s="25">
        <f>I104+J103+K104-((D104-E104)*0.21)</f>
        <v>-65757454.417373955</v>
      </c>
      <c r="K104" s="25">
        <v>801591.38</v>
      </c>
      <c r="L104" s="50">
        <f>K104+C104+D104+I104-E104-F104+L103-((D104-E104)*0.21)</f>
        <v>220627774.41878086</v>
      </c>
      <c r="M104" s="43"/>
    </row>
    <row r="105" spans="1:13" ht="14.45" customHeight="1">
      <c r="A105" s="33">
        <v>97</v>
      </c>
      <c r="B105" s="40">
        <v>45078</v>
      </c>
      <c r="C105" s="29">
        <v>490.60879999999997</v>
      </c>
      <c r="D105" s="55">
        <v>1378923.5909272248</v>
      </c>
      <c r="E105" s="29">
        <v>2418323</v>
      </c>
      <c r="F105" s="29"/>
      <c r="G105" s="25">
        <f t="shared" si="8"/>
        <v>-1038908.8002727751</v>
      </c>
      <c r="H105" s="25">
        <f t="shared" si="7"/>
        <v>285346320.03395891</v>
      </c>
      <c r="I105" s="25">
        <v>-103.11</v>
      </c>
      <c r="J105" s="25">
        <f>I105+J104+K105-((D105-E105)*0.21)</f>
        <v>-64737692.271468669</v>
      </c>
      <c r="K105" s="25">
        <v>801591.38</v>
      </c>
      <c r="L105" s="50">
        <f>K105+C105+D105+I105-E105-F105+L104-((D105-E105)*0.21)</f>
        <v>220608627.76441336</v>
      </c>
      <c r="M105" s="43"/>
    </row>
    <row r="106" spans="1:13" ht="14.45" customHeight="1">
      <c r="A106" s="85" t="s">
        <v>62</v>
      </c>
      <c r="B106" s="40"/>
      <c r="C106" s="29"/>
      <c r="D106" s="55"/>
      <c r="E106" s="29"/>
      <c r="F106" s="29"/>
      <c r="G106" s="25"/>
      <c r="H106" s="25"/>
      <c r="I106" s="25"/>
      <c r="J106" s="25">
        <f>-H105*0.21</f>
        <v>-59922727.207131371</v>
      </c>
      <c r="K106" s="25">
        <v>-5145699.4880088121</v>
      </c>
      <c r="L106" s="50">
        <f>H105+J106+K106</f>
        <v>220277893.33881873</v>
      </c>
    </row>
    <row r="107" spans="1:13" ht="14.45" customHeight="1">
      <c r="A107" s="33">
        <v>98</v>
      </c>
      <c r="B107" s="40">
        <v>45108</v>
      </c>
      <c r="C107" s="29"/>
      <c r="D107" s="55">
        <f>L106*$D$2</f>
        <v>1376736.8333676169</v>
      </c>
      <c r="E107" s="29"/>
      <c r="F107" s="29">
        <f t="shared" ref="F107:F134" si="9">$D$3</f>
        <v>2221764.2990271896</v>
      </c>
      <c r="G107" s="25">
        <f t="shared" si="8"/>
        <v>-845027.46565957274</v>
      </c>
      <c r="H107" s="25">
        <f>H105+G107</f>
        <v>284501292.56829935</v>
      </c>
      <c r="I107" s="25">
        <f t="shared" ref="I107:I135" si="10">-G107*0.21</f>
        <v>177455.76778851027</v>
      </c>
      <c r="J107" s="25">
        <f>I107+J106</f>
        <v>-59745271.439342864</v>
      </c>
      <c r="K107" s="25">
        <v>801591.38</v>
      </c>
      <c r="L107" s="50">
        <f>K107+C107+D107+I107-E107-F107+L106</f>
        <v>220411913.02094766</v>
      </c>
    </row>
    <row r="108" spans="1:13" ht="14.45" customHeight="1">
      <c r="A108" s="33">
        <v>99</v>
      </c>
      <c r="B108" s="40">
        <v>45139</v>
      </c>
      <c r="C108" s="29"/>
      <c r="D108" s="55">
        <f t="shared" ref="D108:D135" si="11">L107*$D$2</f>
        <v>1377574.4563809228</v>
      </c>
      <c r="E108" s="29"/>
      <c r="F108" s="29">
        <f t="shared" si="9"/>
        <v>2221764.2990271896</v>
      </c>
      <c r="G108" s="25">
        <f t="shared" si="8"/>
        <v>-844189.8426462668</v>
      </c>
      <c r="H108" s="25">
        <f t="shared" si="7"/>
        <v>283657102.72565311</v>
      </c>
      <c r="I108" s="25">
        <f t="shared" si="10"/>
        <v>177279.86695571602</v>
      </c>
      <c r="J108" s="25">
        <f t="shared" ref="J83:J147" si="12">I108+J107</f>
        <v>-59567991.572387151</v>
      </c>
      <c r="K108" s="25">
        <v>801591.38</v>
      </c>
      <c r="L108" s="50">
        <f>K108+C108+D108+I108-E108-F108+L107</f>
        <v>220546594.42525712</v>
      </c>
    </row>
    <row r="109" spans="1:13" ht="14.45" customHeight="1">
      <c r="A109" s="33">
        <v>100</v>
      </c>
      <c r="B109" s="40">
        <v>45170</v>
      </c>
      <c r="C109" s="29"/>
      <c r="D109" s="55">
        <f t="shared" si="11"/>
        <v>1378416.2151578569</v>
      </c>
      <c r="E109" s="29"/>
      <c r="F109" s="29">
        <f t="shared" si="9"/>
        <v>2221764.2990271896</v>
      </c>
      <c r="G109" s="25">
        <f t="shared" si="8"/>
        <v>-843348.08386933268</v>
      </c>
      <c r="H109" s="25">
        <f t="shared" si="7"/>
        <v>282813754.64178377</v>
      </c>
      <c r="I109" s="25">
        <f t="shared" si="10"/>
        <v>177103.09761255985</v>
      </c>
      <c r="J109" s="25">
        <f t="shared" si="12"/>
        <v>-59390888.474774592</v>
      </c>
      <c r="K109" s="25">
        <v>801591.38</v>
      </c>
      <c r="L109" s="50">
        <f t="shared" si="5"/>
        <v>220681940.81900033</v>
      </c>
    </row>
    <row r="110" spans="1:13" ht="14.45" customHeight="1">
      <c r="A110" s="33">
        <v>101</v>
      </c>
      <c r="B110" s="40">
        <v>45200</v>
      </c>
      <c r="C110" s="29"/>
      <c r="D110" s="55">
        <f t="shared" si="11"/>
        <v>1379262.1301187519</v>
      </c>
      <c r="E110" s="29"/>
      <c r="F110" s="29">
        <f t="shared" si="9"/>
        <v>2221764.2990271896</v>
      </c>
      <c r="G110" s="25">
        <f t="shared" si="8"/>
        <v>-842502.16890843771</v>
      </c>
      <c r="H110" s="25">
        <f t="shared" si="7"/>
        <v>281971252.47287536</v>
      </c>
      <c r="I110" s="25">
        <f t="shared" si="10"/>
        <v>176925.45547077191</v>
      </c>
      <c r="J110" s="25">
        <f t="shared" si="12"/>
        <v>-59213963.019303821</v>
      </c>
      <c r="K110" s="25">
        <v>801591.38</v>
      </c>
      <c r="L110" s="50">
        <f t="shared" si="5"/>
        <v>220817955.48556268</v>
      </c>
    </row>
    <row r="111" spans="1:13" ht="14.45" customHeight="1">
      <c r="A111" s="33">
        <v>102</v>
      </c>
      <c r="B111" s="40">
        <v>45231</v>
      </c>
      <c r="C111" s="29"/>
      <c r="D111" s="55">
        <f t="shared" si="11"/>
        <v>1380112.2217847668</v>
      </c>
      <c r="E111" s="29"/>
      <c r="F111" s="29">
        <f t="shared" si="9"/>
        <v>2221764.2990271896</v>
      </c>
      <c r="G111" s="25">
        <f t="shared" si="8"/>
        <v>-841652.07724242285</v>
      </c>
      <c r="H111" s="25">
        <f t="shared" si="7"/>
        <v>281129600.39563292</v>
      </c>
      <c r="I111" s="25">
        <f t="shared" si="10"/>
        <v>176746.9362209088</v>
      </c>
      <c r="J111" s="25">
        <f t="shared" si="12"/>
        <v>-59037216.083082914</v>
      </c>
      <c r="K111" s="25">
        <v>801591.38</v>
      </c>
      <c r="L111" s="50">
        <f t="shared" ref="L111:L174" si="13">K111+C111+D111+I111-E111-F111+L110</f>
        <v>220954641.72454116</v>
      </c>
    </row>
    <row r="112" spans="1:13" ht="14.45" customHeight="1">
      <c r="A112" s="33">
        <v>103</v>
      </c>
      <c r="B112" s="40">
        <v>45261</v>
      </c>
      <c r="C112" s="29"/>
      <c r="D112" s="55">
        <f t="shared" si="11"/>
        <v>1380966.5107783822</v>
      </c>
      <c r="E112" s="29"/>
      <c r="F112" s="29">
        <f t="shared" si="9"/>
        <v>2221764.2990271896</v>
      </c>
      <c r="G112" s="25">
        <f t="shared" si="8"/>
        <v>-840797.78824880742</v>
      </c>
      <c r="H112" s="25">
        <f t="shared" si="7"/>
        <v>280288802.60738409</v>
      </c>
      <c r="I112" s="25">
        <f t="shared" si="10"/>
        <v>176567.53553224955</v>
      </c>
      <c r="J112" s="25">
        <f t="shared" si="12"/>
        <v>-58860648.547550663</v>
      </c>
      <c r="K112" s="25">
        <v>801591.38</v>
      </c>
      <c r="L112" s="50">
        <f t="shared" si="13"/>
        <v>221092002.85182461</v>
      </c>
    </row>
    <row r="113" spans="1:13" ht="14.45" customHeight="1">
      <c r="A113" s="33">
        <v>104</v>
      </c>
      <c r="B113" s="40">
        <v>45292</v>
      </c>
      <c r="C113" s="29"/>
      <c r="D113" s="55">
        <f t="shared" si="11"/>
        <v>1381825.0178239038</v>
      </c>
      <c r="E113" s="29"/>
      <c r="F113" s="29">
        <f t="shared" si="9"/>
        <v>2221764.2990271896</v>
      </c>
      <c r="G113" s="25">
        <f t="shared" si="8"/>
        <v>-839939.28120328579</v>
      </c>
      <c r="H113" s="25">
        <f t="shared" si="7"/>
        <v>279448863.32618082</v>
      </c>
      <c r="I113" s="25">
        <f t="shared" si="10"/>
        <v>176387.24905269002</v>
      </c>
      <c r="J113" s="25">
        <f t="shared" si="12"/>
        <v>-58684261.298497975</v>
      </c>
      <c r="K113" s="25">
        <v>336151.21</v>
      </c>
      <c r="L113" s="50">
        <f t="shared" si="13"/>
        <v>220764602.02967402</v>
      </c>
    </row>
    <row r="114" spans="1:13" ht="14.45" hidden="1" customHeight="1" outlineLevel="1">
      <c r="A114" s="33">
        <v>105</v>
      </c>
      <c r="B114" s="40">
        <v>45323</v>
      </c>
      <c r="C114" s="29"/>
      <c r="D114" s="55">
        <f t="shared" si="11"/>
        <v>1379778.7626854626</v>
      </c>
      <c r="E114" s="29"/>
      <c r="F114" s="29">
        <f t="shared" si="9"/>
        <v>2221764.2990271896</v>
      </c>
      <c r="G114" s="25">
        <f t="shared" si="8"/>
        <v>-841985.53634172701</v>
      </c>
      <c r="H114" s="25">
        <f t="shared" si="7"/>
        <v>278606877.78983909</v>
      </c>
      <c r="I114" s="25">
        <f t="shared" si="10"/>
        <v>176816.96263176267</v>
      </c>
      <c r="J114" s="25">
        <f t="shared" si="12"/>
        <v>-58507444.335866213</v>
      </c>
      <c r="K114" s="25"/>
      <c r="L114" s="50">
        <f t="shared" si="13"/>
        <v>220099433.45596406</v>
      </c>
    </row>
    <row r="115" spans="1:13" ht="14.45" hidden="1" customHeight="1" outlineLevel="1">
      <c r="A115" s="33">
        <v>106</v>
      </c>
      <c r="B115" s="40">
        <v>45352</v>
      </c>
      <c r="C115" s="29"/>
      <c r="D115" s="55">
        <f t="shared" si="11"/>
        <v>1375621.4590997752</v>
      </c>
      <c r="E115" s="29"/>
      <c r="F115" s="29">
        <f t="shared" si="9"/>
        <v>2221764.2990271896</v>
      </c>
      <c r="G115" s="25">
        <f t="shared" si="8"/>
        <v>-846142.83992741443</v>
      </c>
      <c r="H115" s="25">
        <f t="shared" si="7"/>
        <v>277760734.94991165</v>
      </c>
      <c r="I115" s="25">
        <f t="shared" si="10"/>
        <v>177689.99638475702</v>
      </c>
      <c r="J115" s="25">
        <f t="shared" si="12"/>
        <v>-58329754.339481458</v>
      </c>
      <c r="K115" s="25"/>
      <c r="L115" s="50">
        <f t="shared" si="13"/>
        <v>219430980.61242139</v>
      </c>
    </row>
    <row r="116" spans="1:13" ht="14.45" hidden="1" customHeight="1" outlineLevel="1">
      <c r="A116" s="33">
        <v>107</v>
      </c>
      <c r="B116" s="40">
        <v>45383</v>
      </c>
      <c r="C116" s="29"/>
      <c r="D116" s="55">
        <f t="shared" si="11"/>
        <v>1371443.6288276336</v>
      </c>
      <c r="E116" s="29"/>
      <c r="F116" s="29">
        <f t="shared" si="9"/>
        <v>2221764.2990271896</v>
      </c>
      <c r="G116" s="25">
        <f t="shared" si="8"/>
        <v>-850320.67019955604</v>
      </c>
      <c r="H116" s="25">
        <f t="shared" si="7"/>
        <v>276910414.27971208</v>
      </c>
      <c r="I116" s="25">
        <f t="shared" si="10"/>
        <v>178567.34074190675</v>
      </c>
      <c r="J116" s="25">
        <f t="shared" si="12"/>
        <v>-58151186.998739548</v>
      </c>
      <c r="K116" s="25"/>
      <c r="L116" s="50">
        <f t="shared" si="13"/>
        <v>218759227.28296375</v>
      </c>
    </row>
    <row r="117" spans="1:13" ht="14.45" hidden="1" customHeight="1" outlineLevel="1">
      <c r="A117" s="33">
        <v>108</v>
      </c>
      <c r="B117" s="40">
        <v>45413</v>
      </c>
      <c r="C117" s="29"/>
      <c r="D117" s="55">
        <f t="shared" si="11"/>
        <v>1367245.1705185233</v>
      </c>
      <c r="E117" s="29"/>
      <c r="F117" s="29">
        <f t="shared" si="9"/>
        <v>2221764.2990271896</v>
      </c>
      <c r="G117" s="25">
        <f t="shared" si="8"/>
        <v>-854519.1285086663</v>
      </c>
      <c r="H117" s="25">
        <f t="shared" si="7"/>
        <v>276055895.15120339</v>
      </c>
      <c r="I117" s="25">
        <f t="shared" si="10"/>
        <v>179449.01698681992</v>
      </c>
      <c r="J117" s="25">
        <f t="shared" si="12"/>
        <v>-57971737.981752731</v>
      </c>
      <c r="K117" s="25"/>
      <c r="L117" s="50">
        <f t="shared" si="13"/>
        <v>218084157.17144191</v>
      </c>
      <c r="M117" s="41"/>
    </row>
    <row r="118" spans="1:13" ht="14.45" hidden="1" customHeight="1" outlineLevel="1">
      <c r="A118" s="33">
        <v>109</v>
      </c>
      <c r="B118" s="40">
        <v>45444</v>
      </c>
      <c r="C118" s="29"/>
      <c r="D118" s="55">
        <f t="shared" si="11"/>
        <v>1363025.982321512</v>
      </c>
      <c r="E118" s="29"/>
      <c r="F118" s="29">
        <f t="shared" si="9"/>
        <v>2221764.2990271896</v>
      </c>
      <c r="G118" s="25">
        <f t="shared" si="8"/>
        <v>-858738.31670567766</v>
      </c>
      <c r="H118" s="25">
        <f t="shared" si="7"/>
        <v>275197156.83449769</v>
      </c>
      <c r="I118" s="25">
        <f t="shared" si="10"/>
        <v>180335.04650819229</v>
      </c>
      <c r="J118" s="25">
        <f t="shared" si="12"/>
        <v>-57791402.935244538</v>
      </c>
      <c r="K118" s="25"/>
      <c r="L118" s="50">
        <f t="shared" si="13"/>
        <v>217405753.90124443</v>
      </c>
    </row>
    <row r="119" spans="1:13" ht="14.45" hidden="1" customHeight="1" outlineLevel="1">
      <c r="A119" s="33">
        <v>110</v>
      </c>
      <c r="B119" s="40">
        <v>45474</v>
      </c>
      <c r="C119" s="29"/>
      <c r="D119" s="55">
        <f t="shared" si="11"/>
        <v>1358785.9618827775</v>
      </c>
      <c r="E119" s="29"/>
      <c r="F119" s="29">
        <f t="shared" si="9"/>
        <v>2221764.2990271896</v>
      </c>
      <c r="G119" s="25">
        <f t="shared" si="8"/>
        <v>-862978.3371444121</v>
      </c>
      <c r="H119" s="25">
        <f t="shared" si="7"/>
        <v>274334178.49735326</v>
      </c>
      <c r="I119" s="25">
        <f t="shared" si="10"/>
        <v>181225.45080032654</v>
      </c>
      <c r="J119" s="25">
        <f t="shared" si="12"/>
        <v>-57610177.484444208</v>
      </c>
      <c r="K119" s="25"/>
      <c r="L119" s="50">
        <f t="shared" si="13"/>
        <v>216724001.01490036</v>
      </c>
    </row>
    <row r="120" spans="1:13" ht="14.45" hidden="1" customHeight="1" outlineLevel="1">
      <c r="A120" s="33">
        <v>111</v>
      </c>
      <c r="B120" s="40">
        <v>45505</v>
      </c>
      <c r="C120" s="29"/>
      <c r="D120" s="55">
        <f t="shared" si="11"/>
        <v>1354525.0063431272</v>
      </c>
      <c r="E120" s="29"/>
      <c r="F120" s="29">
        <f t="shared" si="9"/>
        <v>2221764.2990271896</v>
      </c>
      <c r="G120" s="25">
        <f t="shared" si="8"/>
        <v>-867239.29268406238</v>
      </c>
      <c r="H120" s="25">
        <f t="shared" si="7"/>
        <v>273466939.20466918</v>
      </c>
      <c r="I120" s="25">
        <f t="shared" si="10"/>
        <v>182120.25146365308</v>
      </c>
      <c r="J120" s="25">
        <f t="shared" si="12"/>
        <v>-57428057.232980557</v>
      </c>
      <c r="K120" s="25"/>
      <c r="L120" s="50">
        <f t="shared" si="13"/>
        <v>216038881.97367996</v>
      </c>
    </row>
    <row r="121" spans="1:13" ht="14.45" hidden="1" customHeight="1" outlineLevel="1">
      <c r="A121" s="33">
        <v>112</v>
      </c>
      <c r="B121" s="40">
        <v>45536</v>
      </c>
      <c r="C121" s="29"/>
      <c r="D121" s="55">
        <f t="shared" si="11"/>
        <v>1350243.0123354997</v>
      </c>
      <c r="E121" s="29"/>
      <c r="F121" s="29">
        <f t="shared" si="9"/>
        <v>2221764.2990271896</v>
      </c>
      <c r="G121" s="25">
        <f t="shared" si="8"/>
        <v>-871521.28669168986</v>
      </c>
      <c r="H121" s="25">
        <f t="shared" si="7"/>
        <v>272595417.91797751</v>
      </c>
      <c r="I121" s="25">
        <f t="shared" si="10"/>
        <v>183019.47020525485</v>
      </c>
      <c r="J121" s="25">
        <f t="shared" si="12"/>
        <v>-57245037.762775302</v>
      </c>
      <c r="K121" s="25"/>
      <c r="L121" s="50">
        <f t="shared" si="13"/>
        <v>215350380.15719351</v>
      </c>
    </row>
    <row r="122" spans="1:13" ht="14.45" hidden="1" customHeight="1" outlineLevel="1">
      <c r="A122" s="33">
        <v>113</v>
      </c>
      <c r="B122" s="40">
        <v>45566</v>
      </c>
      <c r="C122" s="29"/>
      <c r="D122" s="55">
        <f t="shared" si="11"/>
        <v>1345939.8759824594</v>
      </c>
      <c r="E122" s="29"/>
      <c r="F122" s="29">
        <f t="shared" si="9"/>
        <v>2221764.2990271896</v>
      </c>
      <c r="G122" s="25">
        <f t="shared" si="8"/>
        <v>-875824.42304473021</v>
      </c>
      <c r="H122" s="25">
        <f t="shared" si="7"/>
        <v>271719593.49493277</v>
      </c>
      <c r="I122" s="25">
        <f t="shared" si="10"/>
        <v>183923.12883939335</v>
      </c>
      <c r="J122" s="25">
        <f t="shared" si="12"/>
        <v>-57061114.633935906</v>
      </c>
      <c r="K122" s="25"/>
      <c r="L122" s="50">
        <f t="shared" si="13"/>
        <v>214658478.86298817</v>
      </c>
    </row>
    <row r="123" spans="1:13" ht="14.45" hidden="1" customHeight="1" outlineLevel="1">
      <c r="A123" s="33">
        <v>114</v>
      </c>
      <c r="B123" s="40">
        <v>45597</v>
      </c>
      <c r="C123" s="29"/>
      <c r="D123" s="55">
        <f t="shared" si="11"/>
        <v>1341615.492893676</v>
      </c>
      <c r="E123" s="29"/>
      <c r="F123" s="29">
        <f t="shared" si="9"/>
        <v>2221764.2990271896</v>
      </c>
      <c r="G123" s="25">
        <f t="shared" si="8"/>
        <v>-880148.80613351357</v>
      </c>
      <c r="H123" s="25">
        <f t="shared" si="7"/>
        <v>270839444.68879926</v>
      </c>
      <c r="I123" s="25">
        <f t="shared" si="10"/>
        <v>184831.24928803786</v>
      </c>
      <c r="J123" s="25">
        <f t="shared" si="12"/>
        <v>-56876283.384647869</v>
      </c>
      <c r="K123" s="25"/>
      <c r="L123" s="50">
        <f t="shared" si="13"/>
        <v>213963161.30614269</v>
      </c>
    </row>
    <row r="124" spans="1:13" ht="14.45" hidden="1" customHeight="1" outlineLevel="1">
      <c r="A124" s="33">
        <v>115</v>
      </c>
      <c r="B124" s="40">
        <v>45627</v>
      </c>
      <c r="C124" s="29"/>
      <c r="D124" s="55">
        <f t="shared" si="11"/>
        <v>1337269.7581633916</v>
      </c>
      <c r="E124" s="29"/>
      <c r="F124" s="29">
        <f t="shared" si="9"/>
        <v>2221764.2990271896</v>
      </c>
      <c r="G124" s="25">
        <f t="shared" si="8"/>
        <v>-884494.540863798</v>
      </c>
      <c r="H124" s="25">
        <f t="shared" si="7"/>
        <v>269954950.14793545</v>
      </c>
      <c r="I124" s="25">
        <f t="shared" si="10"/>
        <v>185743.85358139756</v>
      </c>
      <c r="J124" s="25">
        <f t="shared" si="12"/>
        <v>-56690539.53106647</v>
      </c>
      <c r="K124" s="25"/>
      <c r="L124" s="50">
        <f t="shared" si="13"/>
        <v>213264410.61886027</v>
      </c>
    </row>
    <row r="125" spans="1:13" ht="14.45" hidden="1" customHeight="1" outlineLevel="1">
      <c r="A125" s="33">
        <v>116</v>
      </c>
      <c r="B125" s="40">
        <v>45658</v>
      </c>
      <c r="C125" s="29"/>
      <c r="D125" s="55">
        <f t="shared" si="11"/>
        <v>1332902.5663678767</v>
      </c>
      <c r="E125" s="29"/>
      <c r="F125" s="29">
        <f t="shared" si="9"/>
        <v>2221764.2990271896</v>
      </c>
      <c r="G125" s="25">
        <f t="shared" si="8"/>
        <v>-888861.7326593129</v>
      </c>
      <c r="H125" s="25">
        <f t="shared" si="7"/>
        <v>269066088.41527611</v>
      </c>
      <c r="I125" s="25">
        <f t="shared" si="10"/>
        <v>186660.96385845571</v>
      </c>
      <c r="J125" s="25">
        <f t="shared" si="12"/>
        <v>-56503878.567208014</v>
      </c>
      <c r="K125" s="25"/>
      <c r="L125" s="50">
        <f t="shared" si="13"/>
        <v>212562209.85005942</v>
      </c>
    </row>
    <row r="126" spans="1:13" ht="14.45" hidden="1" customHeight="1" outlineLevel="1">
      <c r="A126" s="33">
        <v>117</v>
      </c>
      <c r="B126" s="40">
        <v>45689</v>
      </c>
      <c r="C126" s="29"/>
      <c r="D126" s="55">
        <f t="shared" si="11"/>
        <v>1328513.8115628713</v>
      </c>
      <c r="E126" s="29"/>
      <c r="F126" s="29">
        <f t="shared" si="9"/>
        <v>2221764.2990271896</v>
      </c>
      <c r="G126" s="25">
        <f t="shared" si="8"/>
        <v>-893250.48746431828</v>
      </c>
      <c r="H126" s="25">
        <f t="shared" si="7"/>
        <v>268172837.9278118</v>
      </c>
      <c r="I126" s="25">
        <f t="shared" si="10"/>
        <v>187582.60236750683</v>
      </c>
      <c r="J126" s="25">
        <f t="shared" si="12"/>
        <v>-56316295.964840509</v>
      </c>
      <c r="K126" s="25"/>
      <c r="L126" s="50">
        <f t="shared" si="13"/>
        <v>211856541.9649626</v>
      </c>
    </row>
    <row r="127" spans="1:13" ht="14.45" hidden="1" customHeight="1" outlineLevel="1">
      <c r="A127" s="33">
        <v>118</v>
      </c>
      <c r="B127" s="40">
        <v>45717</v>
      </c>
      <c r="C127" s="29"/>
      <c r="D127" s="55">
        <f t="shared" si="11"/>
        <v>1324103.3872810162</v>
      </c>
      <c r="E127" s="29"/>
      <c r="F127" s="29">
        <f t="shared" si="9"/>
        <v>2221764.2990271896</v>
      </c>
      <c r="G127" s="25">
        <f t="shared" si="8"/>
        <v>-897660.9117461734</v>
      </c>
      <c r="H127" s="25">
        <f t="shared" si="7"/>
        <v>267275177.01606563</v>
      </c>
      <c r="I127" s="25">
        <f t="shared" si="10"/>
        <v>188508.79146669642</v>
      </c>
      <c r="J127" s="25">
        <f t="shared" si="12"/>
        <v>-56127787.173373811</v>
      </c>
      <c r="K127" s="25"/>
      <c r="L127" s="50">
        <f t="shared" si="13"/>
        <v>211147389.84468311</v>
      </c>
    </row>
    <row r="128" spans="1:13" ht="14.45" hidden="1" customHeight="1" outlineLevel="1">
      <c r="A128" s="33">
        <v>119</v>
      </c>
      <c r="B128" s="40">
        <v>45748</v>
      </c>
      <c r="C128" s="29"/>
      <c r="D128" s="55">
        <f t="shared" si="11"/>
        <v>1319671.1865292694</v>
      </c>
      <c r="E128" s="29"/>
      <c r="F128" s="29">
        <f t="shared" si="9"/>
        <v>2221764.2990271896</v>
      </c>
      <c r="G128" s="25">
        <f t="shared" si="8"/>
        <v>-902093.11249792017</v>
      </c>
      <c r="H128" s="25">
        <f t="shared" si="7"/>
        <v>266373083.9035677</v>
      </c>
      <c r="I128" s="25">
        <f t="shared" si="10"/>
        <v>189439.55362456324</v>
      </c>
      <c r="J128" s="25">
        <f t="shared" si="12"/>
        <v>-55938347.619749248</v>
      </c>
      <c r="K128" s="25"/>
      <c r="L128" s="50">
        <f t="shared" si="13"/>
        <v>210434736.28580976</v>
      </c>
    </row>
    <row r="129" spans="1:13" ht="14.45" hidden="1" customHeight="1" outlineLevel="1">
      <c r="A129" s="33">
        <v>120</v>
      </c>
      <c r="B129" s="40">
        <v>45778</v>
      </c>
      <c r="C129" s="29"/>
      <c r="D129" s="55">
        <f t="shared" si="11"/>
        <v>1315217.1017863108</v>
      </c>
      <c r="E129" s="29"/>
      <c r="F129" s="29">
        <f t="shared" si="9"/>
        <v>2221764.2990271896</v>
      </c>
      <c r="G129" s="25">
        <f t="shared" si="8"/>
        <v>-906547.19724087883</v>
      </c>
      <c r="H129" s="25">
        <f t="shared" si="7"/>
        <v>265466536.70632681</v>
      </c>
      <c r="I129" s="25">
        <f t="shared" si="10"/>
        <v>190374.91142058454</v>
      </c>
      <c r="J129" s="25">
        <f t="shared" si="12"/>
        <v>-55747972.708328664</v>
      </c>
      <c r="K129" s="25"/>
      <c r="L129" s="50">
        <f t="shared" si="13"/>
        <v>209718563.99998945</v>
      </c>
      <c r="M129" s="41"/>
    </row>
    <row r="130" spans="1:13" ht="14.45" hidden="1" customHeight="1" outlineLevel="1">
      <c r="A130" s="33">
        <v>121</v>
      </c>
      <c r="B130" s="40">
        <v>45809</v>
      </c>
      <c r="C130" s="29"/>
      <c r="D130" s="55">
        <f t="shared" si="11"/>
        <v>1310741.024999934</v>
      </c>
      <c r="E130" s="29"/>
      <c r="F130" s="29">
        <f t="shared" si="9"/>
        <v>2221764.2990271896</v>
      </c>
      <c r="G130" s="25">
        <f t="shared" si="8"/>
        <v>-911023.2740272556</v>
      </c>
      <c r="H130" s="25">
        <f t="shared" si="7"/>
        <v>264555513.43229955</v>
      </c>
      <c r="I130" s="25">
        <f t="shared" si="10"/>
        <v>191314.88754572367</v>
      </c>
      <c r="J130" s="25">
        <f t="shared" si="12"/>
        <v>-55556657.820782937</v>
      </c>
      <c r="K130" s="25"/>
      <c r="L130" s="50">
        <f t="shared" si="13"/>
        <v>208998855.61350793</v>
      </c>
    </row>
    <row r="131" spans="1:13" ht="14.45" hidden="1" customHeight="1" outlineLevel="1">
      <c r="A131" s="33">
        <v>122</v>
      </c>
      <c r="B131" s="40">
        <v>45839</v>
      </c>
      <c r="C131" s="29"/>
      <c r="D131" s="55">
        <f t="shared" si="11"/>
        <v>1306242.8475844245</v>
      </c>
      <c r="E131" s="29"/>
      <c r="F131" s="29">
        <f t="shared" si="9"/>
        <v>2221764.2990271896</v>
      </c>
      <c r="G131" s="25">
        <f t="shared" si="8"/>
        <v>-915521.45144276507</v>
      </c>
      <c r="H131" s="25">
        <f t="shared" si="7"/>
        <v>263639991.98085678</v>
      </c>
      <c r="I131" s="25">
        <f t="shared" si="10"/>
        <v>192259.50480298066</v>
      </c>
      <c r="J131" s="25">
        <f t="shared" si="12"/>
        <v>-55364398.315979958</v>
      </c>
      <c r="K131" s="25"/>
      <c r="L131" s="50">
        <f t="shared" si="13"/>
        <v>208275593.66686815</v>
      </c>
    </row>
    <row r="132" spans="1:13" ht="14.45" hidden="1" customHeight="1" outlineLevel="1">
      <c r="A132" s="33">
        <v>123</v>
      </c>
      <c r="B132" s="40">
        <v>45870</v>
      </c>
      <c r="C132" s="29"/>
      <c r="D132" s="55">
        <f t="shared" si="11"/>
        <v>1301722.4604179258</v>
      </c>
      <c r="E132" s="29"/>
      <c r="F132" s="29">
        <f t="shared" si="9"/>
        <v>2221764.2990271896</v>
      </c>
      <c r="G132" s="25">
        <f t="shared" si="8"/>
        <v>-920041.83860926377</v>
      </c>
      <c r="H132" s="25">
        <f t="shared" si="7"/>
        <v>262719950.1422475</v>
      </c>
      <c r="I132" s="25">
        <f t="shared" si="10"/>
        <v>193208.78610794537</v>
      </c>
      <c r="J132" s="25">
        <f t="shared" si="12"/>
        <v>-55171189.529872015</v>
      </c>
      <c r="K132" s="25"/>
      <c r="L132" s="50">
        <f t="shared" si="13"/>
        <v>207548760.61436683</v>
      </c>
    </row>
    <row r="133" spans="1:13" ht="14.45" hidden="1" customHeight="1" outlineLevel="1">
      <c r="A133" s="33">
        <v>124</v>
      </c>
      <c r="B133" s="40">
        <v>45901</v>
      </c>
      <c r="C133" s="29"/>
      <c r="D133" s="55">
        <f t="shared" si="11"/>
        <v>1297179.7538397927</v>
      </c>
      <c r="E133" s="29"/>
      <c r="F133" s="29">
        <f t="shared" si="9"/>
        <v>2221764.2990271896</v>
      </c>
      <c r="G133" s="25">
        <f t="shared" si="8"/>
        <v>-924584.54518739693</v>
      </c>
      <c r="H133" s="25">
        <f t="shared" si="7"/>
        <v>261795365.59706011</v>
      </c>
      <c r="I133" s="25">
        <f t="shared" si="10"/>
        <v>194162.75448935333</v>
      </c>
      <c r="J133" s="25">
        <f t="shared" si="12"/>
        <v>-54977026.77538266</v>
      </c>
      <c r="K133" s="25"/>
      <c r="L133" s="50">
        <f t="shared" si="13"/>
        <v>206818338.82366878</v>
      </c>
    </row>
    <row r="134" spans="1:13" ht="14.45" hidden="1" customHeight="1" outlineLevel="1">
      <c r="A134" s="33">
        <v>125</v>
      </c>
      <c r="B134" s="40">
        <v>45931</v>
      </c>
      <c r="C134" s="29"/>
      <c r="D134" s="55">
        <f t="shared" si="11"/>
        <v>1292614.6176479298</v>
      </c>
      <c r="E134" s="29"/>
      <c r="F134" s="29">
        <f t="shared" si="9"/>
        <v>2221764.2990271896</v>
      </c>
      <c r="G134" s="25">
        <f t="shared" si="8"/>
        <v>-929149.6813792598</v>
      </c>
      <c r="H134" s="25">
        <f t="shared" si="7"/>
        <v>260866215.91568086</v>
      </c>
      <c r="I134" s="25">
        <f t="shared" si="10"/>
        <v>195121.43308964456</v>
      </c>
      <c r="J134" s="25">
        <f t="shared" si="12"/>
        <v>-54781905.342293017</v>
      </c>
      <c r="K134" s="25"/>
      <c r="L134" s="50">
        <f t="shared" si="13"/>
        <v>206084310.57537916</v>
      </c>
    </row>
    <row r="135" spans="1:13" ht="14.45" hidden="1" customHeight="1" outlineLevel="1">
      <c r="A135" s="33">
        <v>126</v>
      </c>
      <c r="B135" s="40">
        <v>45962</v>
      </c>
      <c r="C135" s="29"/>
      <c r="D135" s="55">
        <f t="shared" si="11"/>
        <v>1288026.9410961196</v>
      </c>
      <c r="E135" s="29"/>
      <c r="F135" s="29">
        <f t="shared" ref="F135:F198" si="14">$D$3</f>
        <v>2221764.2990271896</v>
      </c>
      <c r="G135" s="25">
        <f t="shared" si="8"/>
        <v>-933737.35793107003</v>
      </c>
      <c r="H135" s="25">
        <f t="shared" si="7"/>
        <v>259932478.55774978</v>
      </c>
      <c r="I135" s="25">
        <f t="shared" si="10"/>
        <v>196084.84516552469</v>
      </c>
      <c r="J135" s="25">
        <f t="shared" si="12"/>
        <v>-54585820.497127488</v>
      </c>
      <c r="K135" s="25"/>
      <c r="L135" s="50">
        <f t="shared" si="13"/>
        <v>205346658.06261361</v>
      </c>
    </row>
    <row r="136" spans="1:13" ht="14.45" hidden="1" customHeight="1" outlineLevel="1">
      <c r="A136" s="33">
        <v>127</v>
      </c>
      <c r="B136" s="40">
        <v>45992</v>
      </c>
      <c r="C136" s="29"/>
      <c r="D136" s="55">
        <f t="shared" ref="D136:D199" si="15">L135*$D$2</f>
        <v>1283416.612891335</v>
      </c>
      <c r="E136" s="29"/>
      <c r="F136" s="29">
        <f t="shared" si="14"/>
        <v>2221764.2990271896</v>
      </c>
      <c r="G136" s="25">
        <f t="shared" si="8"/>
        <v>-938347.68613585457</v>
      </c>
      <c r="H136" s="25">
        <f t="shared" si="7"/>
        <v>258994130.87161392</v>
      </c>
      <c r="I136" s="25">
        <f t="shared" ref="I136:I199" si="16">-G136*0.21</f>
        <v>197053.01408852945</v>
      </c>
      <c r="J136" s="25">
        <f t="shared" si="12"/>
        <v>-54388767.483038962</v>
      </c>
      <c r="K136" s="25"/>
      <c r="L136" s="50">
        <f t="shared" si="13"/>
        <v>204605363.39056629</v>
      </c>
    </row>
    <row r="137" spans="1:13" ht="14.45" hidden="1" customHeight="1" outlineLevel="1">
      <c r="A137" s="33">
        <v>128</v>
      </c>
      <c r="B137" s="40">
        <v>46023</v>
      </c>
      <c r="C137" s="29"/>
      <c r="D137" s="55">
        <f t="shared" si="15"/>
        <v>1278783.5211910391</v>
      </c>
      <c r="E137" s="29"/>
      <c r="F137" s="29">
        <f t="shared" si="14"/>
        <v>2221764.2990271896</v>
      </c>
      <c r="G137" s="25">
        <f t="shared" si="8"/>
        <v>-942980.77783615049</v>
      </c>
      <c r="H137" s="25">
        <f t="shared" si="7"/>
        <v>258051150.09377778</v>
      </c>
      <c r="I137" s="25">
        <f t="shared" si="16"/>
        <v>198025.96334559159</v>
      </c>
      <c r="J137" s="25">
        <f t="shared" si="12"/>
        <v>-54190741.519693367</v>
      </c>
      <c r="K137" s="25"/>
      <c r="L137" s="50">
        <f t="shared" si="13"/>
        <v>203860408.57607573</v>
      </c>
    </row>
    <row r="138" spans="1:13" ht="14.45" hidden="1" customHeight="1" outlineLevel="1">
      <c r="A138" s="33">
        <v>129</v>
      </c>
      <c r="B138" s="40">
        <v>46054</v>
      </c>
      <c r="C138" s="29"/>
      <c r="D138" s="55">
        <f t="shared" si="15"/>
        <v>1274127.5536004733</v>
      </c>
      <c r="E138" s="29"/>
      <c r="F138" s="29">
        <f t="shared" si="14"/>
        <v>2221764.2990271896</v>
      </c>
      <c r="G138" s="25">
        <f t="shared" si="8"/>
        <v>-947636.74542671628</v>
      </c>
      <c r="H138" s="25">
        <f t="shared" si="7"/>
        <v>257103513.34835106</v>
      </c>
      <c r="I138" s="25">
        <f t="shared" si="16"/>
        <v>199003.71653961041</v>
      </c>
      <c r="J138" s="25">
        <f t="shared" si="12"/>
        <v>-53991737.803153753</v>
      </c>
      <c r="K138" s="25"/>
      <c r="L138" s="50">
        <f t="shared" si="13"/>
        <v>203111775.54718864</v>
      </c>
    </row>
    <row r="139" spans="1:13" ht="14.45" hidden="1" customHeight="1" outlineLevel="1">
      <c r="A139" s="33">
        <v>130</v>
      </c>
      <c r="B139" s="40">
        <v>46082</v>
      </c>
      <c r="C139" s="29"/>
      <c r="D139" s="55">
        <f t="shared" si="15"/>
        <v>1269448.597169929</v>
      </c>
      <c r="E139" s="29"/>
      <c r="F139" s="29">
        <f t="shared" si="14"/>
        <v>2221764.2990271896</v>
      </c>
      <c r="G139" s="25">
        <f t="shared" si="8"/>
        <v>-952315.70185726066</v>
      </c>
      <c r="H139" s="25">
        <f t="shared" ref="H139:H202" si="17">H138+G139</f>
        <v>256151197.64649379</v>
      </c>
      <c r="I139" s="25">
        <f t="shared" si="16"/>
        <v>199986.29739002473</v>
      </c>
      <c r="J139" s="25">
        <f t="shared" si="12"/>
        <v>-53791751.505763732</v>
      </c>
      <c r="K139" s="25"/>
      <c r="L139" s="50">
        <f t="shared" si="13"/>
        <v>202359446.14272141</v>
      </c>
    </row>
    <row r="140" spans="1:13" ht="14.45" hidden="1" customHeight="1" outlineLevel="1">
      <c r="A140" s="33">
        <v>131</v>
      </c>
      <c r="B140" s="40">
        <v>46113</v>
      </c>
      <c r="C140" s="29"/>
      <c r="D140" s="55">
        <f t="shared" si="15"/>
        <v>1264746.5383920087</v>
      </c>
      <c r="E140" s="29"/>
      <c r="F140" s="29">
        <f t="shared" si="14"/>
        <v>2221764.2990271896</v>
      </c>
      <c r="G140" s="25">
        <f t="shared" ref="G140:G203" si="18">C140+D140-E140-F140</f>
        <v>-957017.76063518086</v>
      </c>
      <c r="H140" s="25">
        <f t="shared" si="17"/>
        <v>255194179.88585863</v>
      </c>
      <c r="I140" s="25">
        <f t="shared" si="16"/>
        <v>200973.72973338797</v>
      </c>
      <c r="J140" s="25">
        <f t="shared" si="12"/>
        <v>-53590777.776030347</v>
      </c>
      <c r="K140" s="25"/>
      <c r="L140" s="50">
        <f t="shared" si="13"/>
        <v>201603402.11181962</v>
      </c>
    </row>
    <row r="141" spans="1:13" ht="14.45" hidden="1" customHeight="1" outlineLevel="1">
      <c r="A141" s="33">
        <v>132</v>
      </c>
      <c r="B141" s="40">
        <v>46143</v>
      </c>
      <c r="C141" s="29"/>
      <c r="D141" s="55">
        <f t="shared" si="15"/>
        <v>1260021.2631988726</v>
      </c>
      <c r="E141" s="29"/>
      <c r="F141" s="29">
        <f t="shared" si="14"/>
        <v>2221764.2990271896</v>
      </c>
      <c r="G141" s="25">
        <f t="shared" si="18"/>
        <v>-961743.03582831705</v>
      </c>
      <c r="H141" s="25">
        <f t="shared" si="17"/>
        <v>254232436.8500303</v>
      </c>
      <c r="I141" s="25">
        <f t="shared" si="16"/>
        <v>201966.03752394658</v>
      </c>
      <c r="J141" s="25">
        <f t="shared" si="12"/>
        <v>-53388811.738506399</v>
      </c>
      <c r="K141" s="25"/>
      <c r="L141" s="50">
        <f t="shared" si="13"/>
        <v>200843625.11351526</v>
      </c>
      <c r="M141" s="41"/>
    </row>
    <row r="142" spans="1:13" ht="14.45" hidden="1" customHeight="1" outlineLevel="1">
      <c r="A142" s="33">
        <v>133</v>
      </c>
      <c r="B142" s="40">
        <v>46174</v>
      </c>
      <c r="C142" s="29"/>
      <c r="D142" s="55">
        <f t="shared" si="15"/>
        <v>1255272.6569594704</v>
      </c>
      <c r="E142" s="29"/>
      <c r="F142" s="29">
        <f t="shared" si="14"/>
        <v>2221764.2990271896</v>
      </c>
      <c r="G142" s="25">
        <f t="shared" si="18"/>
        <v>-966491.64206771925</v>
      </c>
      <c r="H142" s="25">
        <f t="shared" si="17"/>
        <v>253265945.20796257</v>
      </c>
      <c r="I142" s="25">
        <f t="shared" si="16"/>
        <v>202963.24483422103</v>
      </c>
      <c r="J142" s="25">
        <f t="shared" si="12"/>
        <v>-53185848.493672177</v>
      </c>
      <c r="K142" s="25"/>
      <c r="L142" s="50">
        <f t="shared" si="13"/>
        <v>200080096.71628177</v>
      </c>
    </row>
    <row r="143" spans="1:13" ht="14.45" hidden="1" customHeight="1" outlineLevel="1">
      <c r="A143" s="33">
        <v>134</v>
      </c>
      <c r="B143" s="40">
        <v>46204</v>
      </c>
      <c r="C143" s="29"/>
      <c r="D143" s="55">
        <f t="shared" si="15"/>
        <v>1250500.6044767611</v>
      </c>
      <c r="E143" s="29"/>
      <c r="F143" s="29">
        <f t="shared" si="14"/>
        <v>2221764.2990271896</v>
      </c>
      <c r="G143" s="25">
        <f t="shared" si="18"/>
        <v>-971263.69455042854</v>
      </c>
      <c r="H143" s="25">
        <f t="shared" si="17"/>
        <v>252294681.51341215</v>
      </c>
      <c r="I143" s="25">
        <f t="shared" si="16"/>
        <v>203965.37585558998</v>
      </c>
      <c r="J143" s="25">
        <f t="shared" si="12"/>
        <v>-52981883.11781659</v>
      </c>
      <c r="K143" s="25"/>
      <c r="L143" s="50">
        <f t="shared" si="13"/>
        <v>199312798.39758694</v>
      </c>
    </row>
    <row r="144" spans="1:13" ht="14.45" hidden="1" customHeight="1" outlineLevel="1">
      <c r="A144" s="33">
        <v>135</v>
      </c>
      <c r="B144" s="40">
        <v>46235</v>
      </c>
      <c r="C144" s="29"/>
      <c r="D144" s="55">
        <f t="shared" si="15"/>
        <v>1245704.9899849184</v>
      </c>
      <c r="E144" s="29"/>
      <c r="F144" s="29">
        <f t="shared" si="14"/>
        <v>2221764.2990271896</v>
      </c>
      <c r="G144" s="25">
        <f t="shared" si="18"/>
        <v>-976059.30904227123</v>
      </c>
      <c r="H144" s="25">
        <f t="shared" si="17"/>
        <v>251318622.20436987</v>
      </c>
      <c r="I144" s="25">
        <f t="shared" si="16"/>
        <v>204972.45489887695</v>
      </c>
      <c r="J144" s="25">
        <f t="shared" si="12"/>
        <v>-52776910.662917711</v>
      </c>
      <c r="K144" s="25"/>
      <c r="L144" s="50">
        <f t="shared" si="13"/>
        <v>198541711.54344356</v>
      </c>
    </row>
    <row r="145" spans="1:13" ht="14.45" hidden="1" customHeight="1" outlineLevel="1">
      <c r="A145" s="33">
        <v>136</v>
      </c>
      <c r="B145" s="40">
        <v>46266</v>
      </c>
      <c r="C145" s="29"/>
      <c r="D145" s="55">
        <f t="shared" si="15"/>
        <v>1240885.6971465221</v>
      </c>
      <c r="E145" s="29"/>
      <c r="F145" s="29">
        <f t="shared" si="14"/>
        <v>2221764.2990271896</v>
      </c>
      <c r="G145" s="25">
        <f t="shared" si="18"/>
        <v>-980878.6018806675</v>
      </c>
      <c r="H145" s="25">
        <f t="shared" si="17"/>
        <v>250337743.6024892</v>
      </c>
      <c r="I145" s="25">
        <f t="shared" si="16"/>
        <v>205984.50639494017</v>
      </c>
      <c r="J145" s="25">
        <f t="shared" si="12"/>
        <v>-52570926.156522773</v>
      </c>
      <c r="K145" s="25"/>
      <c r="L145" s="50">
        <f t="shared" si="13"/>
        <v>197766817.44795784</v>
      </c>
    </row>
    <row r="146" spans="1:13" ht="14.45" hidden="1" customHeight="1" outlineLevel="1">
      <c r="A146" s="33">
        <v>137</v>
      </c>
      <c r="B146" s="40">
        <v>46296</v>
      </c>
      <c r="C146" s="29"/>
      <c r="D146" s="55">
        <f t="shared" si="15"/>
        <v>1236042.6090497365</v>
      </c>
      <c r="E146" s="29"/>
      <c r="F146" s="29">
        <f t="shared" si="14"/>
        <v>2221764.2990271896</v>
      </c>
      <c r="G146" s="25">
        <f t="shared" si="18"/>
        <v>-985721.68997745309</v>
      </c>
      <c r="H146" s="25">
        <f t="shared" si="17"/>
        <v>249352021.91251174</v>
      </c>
      <c r="I146" s="25">
        <f t="shared" si="16"/>
        <v>207001.55489526514</v>
      </c>
      <c r="J146" s="25">
        <f t="shared" si="12"/>
        <v>-52363924.601627506</v>
      </c>
      <c r="K146" s="25"/>
      <c r="L146" s="50">
        <f t="shared" si="13"/>
        <v>196988097.31287566</v>
      </c>
    </row>
    <row r="147" spans="1:13" ht="14.45" hidden="1" customHeight="1" outlineLevel="1">
      <c r="A147" s="33">
        <v>138</v>
      </c>
      <c r="B147" s="40">
        <v>46327</v>
      </c>
      <c r="C147" s="29"/>
      <c r="D147" s="55">
        <f t="shared" si="15"/>
        <v>1231175.6082054728</v>
      </c>
      <c r="E147" s="29"/>
      <c r="F147" s="29">
        <f t="shared" si="14"/>
        <v>2221764.2990271896</v>
      </c>
      <c r="G147" s="25">
        <f t="shared" si="18"/>
        <v>-990588.69082171679</v>
      </c>
      <c r="H147" s="25">
        <f t="shared" si="17"/>
        <v>248361433.22169003</v>
      </c>
      <c r="I147" s="25">
        <f t="shared" si="16"/>
        <v>208023.62507256051</v>
      </c>
      <c r="J147" s="25">
        <f t="shared" si="12"/>
        <v>-52155900.976554945</v>
      </c>
      <c r="K147" s="25"/>
      <c r="L147" s="50">
        <f t="shared" si="13"/>
        <v>196205532.24712649</v>
      </c>
    </row>
    <row r="148" spans="1:13" ht="14.45" hidden="1" customHeight="1" outlineLevel="1">
      <c r="A148" s="33">
        <v>139</v>
      </c>
      <c r="B148" s="40">
        <v>46357</v>
      </c>
      <c r="C148" s="29"/>
      <c r="D148" s="55">
        <f t="shared" si="15"/>
        <v>1226284.5765445405</v>
      </c>
      <c r="E148" s="29"/>
      <c r="F148" s="29">
        <f t="shared" si="14"/>
        <v>2221764.2990271896</v>
      </c>
      <c r="G148" s="25">
        <f t="shared" si="18"/>
        <v>-995479.72248264914</v>
      </c>
      <c r="H148" s="25">
        <f t="shared" si="17"/>
        <v>247365953.49920738</v>
      </c>
      <c r="I148" s="25">
        <f t="shared" si="16"/>
        <v>209050.74172135632</v>
      </c>
      <c r="J148" s="25">
        <f t="shared" ref="J148:J211" si="19">I148+J147</f>
        <v>-51946850.234833591</v>
      </c>
      <c r="K148" s="25"/>
      <c r="L148" s="50">
        <f t="shared" si="13"/>
        <v>195419103.2663652</v>
      </c>
    </row>
    <row r="149" spans="1:13" ht="14.45" hidden="1" customHeight="1" outlineLevel="1">
      <c r="A149" s="33">
        <v>140</v>
      </c>
      <c r="B149" s="40">
        <v>46388</v>
      </c>
      <c r="C149" s="29"/>
      <c r="D149" s="55">
        <f t="shared" si="15"/>
        <v>1221369.3954147825</v>
      </c>
      <c r="E149" s="29"/>
      <c r="F149" s="29">
        <f t="shared" si="14"/>
        <v>2221764.2990271896</v>
      </c>
      <c r="G149" s="25">
        <f t="shared" si="18"/>
        <v>-1000394.9036124072</v>
      </c>
      <c r="H149" s="25">
        <f t="shared" si="17"/>
        <v>246365558.59559497</v>
      </c>
      <c r="I149" s="25">
        <f t="shared" si="16"/>
        <v>210082.92975860549</v>
      </c>
      <c r="J149" s="25">
        <f t="shared" si="19"/>
        <v>-51736767.305074982</v>
      </c>
      <c r="K149" s="25"/>
      <c r="L149" s="50">
        <f t="shared" si="13"/>
        <v>194628791.2925114</v>
      </c>
    </row>
    <row r="150" spans="1:13" ht="14.45" hidden="1" customHeight="1" outlineLevel="1">
      <c r="A150" s="33">
        <v>141</v>
      </c>
      <c r="B150" s="40">
        <v>46419</v>
      </c>
      <c r="C150" s="29"/>
      <c r="D150" s="55">
        <f t="shared" si="15"/>
        <v>1216429.9455781961</v>
      </c>
      <c r="E150" s="29"/>
      <c r="F150" s="29">
        <f t="shared" si="14"/>
        <v>2221764.2990271896</v>
      </c>
      <c r="G150" s="25">
        <f t="shared" si="18"/>
        <v>-1005334.3534489935</v>
      </c>
      <c r="H150" s="25">
        <f t="shared" si="17"/>
        <v>245360224.24214599</v>
      </c>
      <c r="I150" s="25">
        <f t="shared" si="16"/>
        <v>211120.21422428862</v>
      </c>
      <c r="J150" s="25">
        <f t="shared" si="19"/>
        <v>-51525647.090850696</v>
      </c>
      <c r="K150" s="25"/>
      <c r="L150" s="50">
        <f t="shared" si="13"/>
        <v>193834577.1532867</v>
      </c>
    </row>
    <row r="151" spans="1:13" ht="14.45" hidden="1" customHeight="1" outlineLevel="1">
      <c r="A151" s="33">
        <v>142</v>
      </c>
      <c r="B151" s="40">
        <v>46447</v>
      </c>
      <c r="C151" s="29"/>
      <c r="D151" s="55">
        <f t="shared" si="15"/>
        <v>1211466.1072080417</v>
      </c>
      <c r="E151" s="29"/>
      <c r="F151" s="29">
        <f t="shared" si="14"/>
        <v>2221764.2990271896</v>
      </c>
      <c r="G151" s="25">
        <f t="shared" si="18"/>
        <v>-1010298.1918191479</v>
      </c>
      <c r="H151" s="25">
        <f t="shared" si="17"/>
        <v>244349926.05032682</v>
      </c>
      <c r="I151" s="25">
        <f t="shared" si="16"/>
        <v>212162.62028202106</v>
      </c>
      <c r="J151" s="25">
        <f t="shared" si="19"/>
        <v>-51313484.470568672</v>
      </c>
      <c r="K151" s="25"/>
      <c r="L151" s="50">
        <f t="shared" si="13"/>
        <v>193036441.58174956</v>
      </c>
    </row>
    <row r="152" spans="1:13" ht="14.45" hidden="1" customHeight="1" outlineLevel="1">
      <c r="A152" s="33">
        <v>143</v>
      </c>
      <c r="B152" s="40">
        <v>46478</v>
      </c>
      <c r="C152" s="29"/>
      <c r="D152" s="55">
        <f t="shared" si="15"/>
        <v>1206477.7598859346</v>
      </c>
      <c r="E152" s="29"/>
      <c r="F152" s="29">
        <f t="shared" si="14"/>
        <v>2221764.2990271896</v>
      </c>
      <c r="G152" s="25">
        <f t="shared" si="18"/>
        <v>-1015286.539141255</v>
      </c>
      <c r="H152" s="25">
        <f t="shared" si="17"/>
        <v>243334639.51118556</v>
      </c>
      <c r="I152" s="25">
        <f t="shared" si="16"/>
        <v>213210.17321966353</v>
      </c>
      <c r="J152" s="25">
        <f t="shared" si="19"/>
        <v>-51100274.297349006</v>
      </c>
      <c r="K152" s="25"/>
      <c r="L152" s="50">
        <f t="shared" si="13"/>
        <v>192234365.21582797</v>
      </c>
    </row>
    <row r="153" spans="1:13" ht="14.45" hidden="1" customHeight="1" outlineLevel="1">
      <c r="A153" s="33">
        <v>144</v>
      </c>
      <c r="B153" s="40">
        <v>46508</v>
      </c>
      <c r="C153" s="29"/>
      <c r="D153" s="55">
        <f t="shared" si="15"/>
        <v>1201464.7825989248</v>
      </c>
      <c r="E153" s="29"/>
      <c r="F153" s="29">
        <f t="shared" si="14"/>
        <v>2221764.2990271896</v>
      </c>
      <c r="G153" s="25">
        <f t="shared" si="18"/>
        <v>-1020299.5164282648</v>
      </c>
      <c r="H153" s="25">
        <f t="shared" si="17"/>
        <v>242314339.99475729</v>
      </c>
      <c r="I153" s="25">
        <f t="shared" si="16"/>
        <v>214262.8984499356</v>
      </c>
      <c r="J153" s="25">
        <f t="shared" si="19"/>
        <v>-50886011.398899071</v>
      </c>
      <c r="K153" s="25"/>
      <c r="L153" s="50">
        <f t="shared" si="13"/>
        <v>191428328.59784964</v>
      </c>
      <c r="M153" s="41"/>
    </row>
    <row r="154" spans="1:13" ht="14.45" hidden="1" customHeight="1" outlineLevel="1">
      <c r="A154" s="33">
        <v>145</v>
      </c>
      <c r="B154" s="40">
        <v>46539</v>
      </c>
      <c r="C154" s="29"/>
      <c r="D154" s="55">
        <f t="shared" si="15"/>
        <v>1196427.05373656</v>
      </c>
      <c r="E154" s="29"/>
      <c r="F154" s="29">
        <f t="shared" si="14"/>
        <v>2221764.2990271896</v>
      </c>
      <c r="G154" s="25">
        <f t="shared" si="18"/>
        <v>-1025337.2452906296</v>
      </c>
      <c r="H154" s="25">
        <f t="shared" si="17"/>
        <v>241289002.74946666</v>
      </c>
      <c r="I154" s="25">
        <f t="shared" si="16"/>
        <v>215320.82151103221</v>
      </c>
      <c r="J154" s="25">
        <f t="shared" si="19"/>
        <v>-50670690.577388041</v>
      </c>
      <c r="K154" s="25"/>
      <c r="L154" s="50">
        <f t="shared" si="13"/>
        <v>190618312.17407003</v>
      </c>
    </row>
    <row r="155" spans="1:13" ht="14.45" hidden="1" customHeight="1" outlineLevel="1">
      <c r="A155" s="33">
        <v>146</v>
      </c>
      <c r="B155" s="40">
        <v>46569</v>
      </c>
      <c r="C155" s="29"/>
      <c r="D155" s="55">
        <f t="shared" si="15"/>
        <v>1191364.4510879377</v>
      </c>
      <c r="E155" s="29"/>
      <c r="F155" s="29">
        <f t="shared" si="14"/>
        <v>2221764.2990271896</v>
      </c>
      <c r="G155" s="25">
        <f t="shared" si="18"/>
        <v>-1030399.8479392519</v>
      </c>
      <c r="H155" s="25">
        <f t="shared" si="17"/>
        <v>240258602.9015274</v>
      </c>
      <c r="I155" s="25">
        <f t="shared" si="16"/>
        <v>216383.96806724291</v>
      </c>
      <c r="J155" s="25">
        <f t="shared" si="19"/>
        <v>-50454306.609320797</v>
      </c>
      <c r="K155" s="25"/>
      <c r="L155" s="50">
        <f t="shared" si="13"/>
        <v>189804296.29419804</v>
      </c>
    </row>
    <row r="156" spans="1:13" ht="14.45" hidden="1" customHeight="1" outlineLevel="1">
      <c r="A156" s="33">
        <v>147</v>
      </c>
      <c r="B156" s="40">
        <v>46600</v>
      </c>
      <c r="C156" s="29"/>
      <c r="D156" s="55">
        <f t="shared" si="15"/>
        <v>1186276.8518387377</v>
      </c>
      <c r="E156" s="29"/>
      <c r="F156" s="29">
        <f t="shared" si="14"/>
        <v>2221764.2990271896</v>
      </c>
      <c r="G156" s="25">
        <f t="shared" si="18"/>
        <v>-1035487.4471884519</v>
      </c>
      <c r="H156" s="25">
        <f t="shared" si="17"/>
        <v>239223115.45433897</v>
      </c>
      <c r="I156" s="25">
        <f t="shared" si="16"/>
        <v>217452.36390957489</v>
      </c>
      <c r="J156" s="25">
        <f t="shared" si="19"/>
        <v>-50236854.245411225</v>
      </c>
      <c r="K156" s="25"/>
      <c r="L156" s="50">
        <f t="shared" si="13"/>
        <v>188986261.21091917</v>
      </c>
    </row>
    <row r="157" spans="1:13" ht="14.45" hidden="1" customHeight="1" outlineLevel="1">
      <c r="A157" s="33">
        <v>148</v>
      </c>
      <c r="B157" s="40">
        <v>46631</v>
      </c>
      <c r="C157" s="29"/>
      <c r="D157" s="55">
        <f t="shared" si="15"/>
        <v>1181164.1325682448</v>
      </c>
      <c r="E157" s="29"/>
      <c r="F157" s="29">
        <f t="shared" si="14"/>
        <v>2221764.2990271896</v>
      </c>
      <c r="G157" s="25">
        <f t="shared" si="18"/>
        <v>-1040600.1664589448</v>
      </c>
      <c r="H157" s="25">
        <f t="shared" si="17"/>
        <v>238182515.28788003</v>
      </c>
      <c r="I157" s="25">
        <f t="shared" si="16"/>
        <v>218526.0349563784</v>
      </c>
      <c r="J157" s="25">
        <f t="shared" si="19"/>
        <v>-50018328.210454844</v>
      </c>
      <c r="K157" s="25"/>
      <c r="L157" s="50">
        <f t="shared" si="13"/>
        <v>188164187.0794166</v>
      </c>
    </row>
    <row r="158" spans="1:13" ht="14.45" hidden="1" customHeight="1" outlineLevel="1">
      <c r="A158" s="33">
        <v>149</v>
      </c>
      <c r="B158" s="40">
        <v>46661</v>
      </c>
      <c r="C158" s="29"/>
      <c r="D158" s="55">
        <f t="shared" si="15"/>
        <v>1176026.1692463537</v>
      </c>
      <c r="E158" s="29"/>
      <c r="F158" s="29">
        <f t="shared" si="14"/>
        <v>2221764.2990271896</v>
      </c>
      <c r="G158" s="25">
        <f t="shared" si="18"/>
        <v>-1045738.1297808359</v>
      </c>
      <c r="H158" s="25">
        <f t="shared" si="17"/>
        <v>237136777.1580992</v>
      </c>
      <c r="I158" s="25">
        <f t="shared" si="16"/>
        <v>219605.00725397555</v>
      </c>
      <c r="J158" s="25">
        <f t="shared" si="19"/>
        <v>-49798723.203200869</v>
      </c>
      <c r="K158" s="25"/>
      <c r="L158" s="50">
        <f t="shared" si="13"/>
        <v>187338053.95688975</v>
      </c>
    </row>
    <row r="159" spans="1:13" ht="14.45" hidden="1" customHeight="1" outlineLevel="1">
      <c r="A159" s="33">
        <v>150</v>
      </c>
      <c r="B159" s="40">
        <v>46692</v>
      </c>
      <c r="C159" s="29"/>
      <c r="D159" s="55">
        <f t="shared" si="15"/>
        <v>1170862.8372305608</v>
      </c>
      <c r="E159" s="29"/>
      <c r="F159" s="29">
        <f t="shared" si="14"/>
        <v>2221764.2990271896</v>
      </c>
      <c r="G159" s="25">
        <f t="shared" si="18"/>
        <v>-1050901.4617966288</v>
      </c>
      <c r="H159" s="25">
        <f t="shared" si="17"/>
        <v>236085875.69630256</v>
      </c>
      <c r="I159" s="25">
        <f t="shared" si="16"/>
        <v>220689.30697729203</v>
      </c>
      <c r="J159" s="25">
        <f t="shared" si="19"/>
        <v>-49578033.896223575</v>
      </c>
      <c r="K159" s="25"/>
      <c r="L159" s="50">
        <f t="shared" si="13"/>
        <v>186507841.80207041</v>
      </c>
    </row>
    <row r="160" spans="1:13" ht="14.45" hidden="1" customHeight="1" outlineLevel="1">
      <c r="A160" s="33">
        <v>151</v>
      </c>
      <c r="B160" s="40">
        <v>46722</v>
      </c>
      <c r="C160" s="29"/>
      <c r="D160" s="55">
        <f t="shared" si="15"/>
        <v>1165674.01126294</v>
      </c>
      <c r="E160" s="29"/>
      <c r="F160" s="29">
        <f t="shared" si="14"/>
        <v>2221764.2990271896</v>
      </c>
      <c r="G160" s="25">
        <f t="shared" si="18"/>
        <v>-1056090.2877642496</v>
      </c>
      <c r="H160" s="25">
        <f t="shared" si="17"/>
        <v>235029785.40853831</v>
      </c>
      <c r="I160" s="25">
        <f t="shared" si="16"/>
        <v>221778.96043049241</v>
      </c>
      <c r="J160" s="25">
        <f t="shared" si="19"/>
        <v>-49356254.935793079</v>
      </c>
      <c r="K160" s="25"/>
      <c r="L160" s="50">
        <f t="shared" si="13"/>
        <v>185673530.47473666</v>
      </c>
    </row>
    <row r="161" spans="1:13" ht="14.45" hidden="1" customHeight="1" outlineLevel="1">
      <c r="A161" s="33">
        <v>152</v>
      </c>
      <c r="B161" s="40">
        <v>46753</v>
      </c>
      <c r="C161" s="29"/>
      <c r="D161" s="55">
        <f t="shared" si="15"/>
        <v>1160459.5654671041</v>
      </c>
      <c r="E161" s="29"/>
      <c r="F161" s="29">
        <f t="shared" si="14"/>
        <v>2221764.2990271896</v>
      </c>
      <c r="G161" s="25">
        <f t="shared" si="18"/>
        <v>-1061304.7335600855</v>
      </c>
      <c r="H161" s="25">
        <f t="shared" si="17"/>
        <v>233968480.67497823</v>
      </c>
      <c r="I161" s="25">
        <f t="shared" si="16"/>
        <v>222873.99404761795</v>
      </c>
      <c r="J161" s="25">
        <f t="shared" si="19"/>
        <v>-49133380.94174546</v>
      </c>
      <c r="K161" s="25"/>
      <c r="L161" s="50">
        <f t="shared" si="13"/>
        <v>184835099.73522419</v>
      </c>
    </row>
    <row r="162" spans="1:13" ht="14.45" hidden="1" customHeight="1" outlineLevel="1">
      <c r="A162" s="33">
        <v>153</v>
      </c>
      <c r="B162" s="40">
        <v>46784</v>
      </c>
      <c r="C162" s="29"/>
      <c r="D162" s="55">
        <f t="shared" si="15"/>
        <v>1155219.3733451511</v>
      </c>
      <c r="E162" s="29"/>
      <c r="F162" s="29">
        <f t="shared" si="14"/>
        <v>2221764.2990271896</v>
      </c>
      <c r="G162" s="25">
        <f t="shared" si="18"/>
        <v>-1066544.9256820385</v>
      </c>
      <c r="H162" s="25">
        <f t="shared" si="17"/>
        <v>232901935.74929619</v>
      </c>
      <c r="I162" s="25">
        <f t="shared" si="16"/>
        <v>223974.43439322809</v>
      </c>
      <c r="J162" s="25">
        <f t="shared" si="19"/>
        <v>-48909406.507352233</v>
      </c>
      <c r="K162" s="25"/>
      <c r="L162" s="50">
        <f t="shared" si="13"/>
        <v>183992529.24393538</v>
      </c>
    </row>
    <row r="163" spans="1:13" ht="14.45" hidden="1" customHeight="1" outlineLevel="1">
      <c r="A163" s="33">
        <v>154</v>
      </c>
      <c r="B163" s="40">
        <v>46813</v>
      </c>
      <c r="C163" s="29"/>
      <c r="D163" s="55">
        <f t="shared" si="15"/>
        <v>1149953.3077745959</v>
      </c>
      <c r="E163" s="29"/>
      <c r="F163" s="29">
        <f t="shared" si="14"/>
        <v>2221764.2990271896</v>
      </c>
      <c r="G163" s="25">
        <f t="shared" si="18"/>
        <v>-1071810.9912525937</v>
      </c>
      <c r="H163" s="25">
        <f t="shared" si="17"/>
        <v>231830124.75804359</v>
      </c>
      <c r="I163" s="25">
        <f t="shared" si="16"/>
        <v>225080.30816304465</v>
      </c>
      <c r="J163" s="25">
        <f t="shared" si="19"/>
        <v>-48684326.199189186</v>
      </c>
      <c r="K163" s="25"/>
      <c r="L163" s="50">
        <f t="shared" si="13"/>
        <v>183145798.56084582</v>
      </c>
    </row>
    <row r="164" spans="1:13" ht="14.45" hidden="1" customHeight="1" outlineLevel="1">
      <c r="A164" s="33">
        <v>155</v>
      </c>
      <c r="B164" s="40">
        <v>46844</v>
      </c>
      <c r="C164" s="29"/>
      <c r="D164" s="55">
        <f t="shared" si="15"/>
        <v>1144661.2410052863</v>
      </c>
      <c r="E164" s="29"/>
      <c r="F164" s="29">
        <f t="shared" si="14"/>
        <v>2221764.2990271896</v>
      </c>
      <c r="G164" s="25">
        <f t="shared" si="18"/>
        <v>-1077103.0580219033</v>
      </c>
      <c r="H164" s="25">
        <f t="shared" si="17"/>
        <v>230753021.70002168</v>
      </c>
      <c r="I164" s="25">
        <f t="shared" si="16"/>
        <v>226191.64218459968</v>
      </c>
      <c r="J164" s="25">
        <f t="shared" si="19"/>
        <v>-48458134.557004586</v>
      </c>
      <c r="K164" s="25"/>
      <c r="L164" s="50">
        <f t="shared" si="13"/>
        <v>182294887.1450085</v>
      </c>
    </row>
    <row r="165" spans="1:13" ht="14.45" hidden="1" customHeight="1" outlineLevel="1">
      <c r="A165" s="33">
        <v>156</v>
      </c>
      <c r="B165" s="40">
        <v>46874</v>
      </c>
      <c r="C165" s="29"/>
      <c r="D165" s="55">
        <f t="shared" si="15"/>
        <v>1139343.044656303</v>
      </c>
      <c r="E165" s="29"/>
      <c r="F165" s="29">
        <f t="shared" si="14"/>
        <v>2221764.2990271896</v>
      </c>
      <c r="G165" s="25">
        <f t="shared" si="18"/>
        <v>-1082421.2543708866</v>
      </c>
      <c r="H165" s="25">
        <f t="shared" si="17"/>
        <v>229670600.44565079</v>
      </c>
      <c r="I165" s="25">
        <f t="shared" si="16"/>
        <v>227308.46341788617</v>
      </c>
      <c r="J165" s="25">
        <f t="shared" si="19"/>
        <v>-48230826.093586698</v>
      </c>
      <c r="K165" s="25"/>
      <c r="L165" s="50">
        <f t="shared" si="13"/>
        <v>181439774.35405549</v>
      </c>
      <c r="M165" s="41"/>
    </row>
    <row r="166" spans="1:13" ht="14.45" hidden="1" customHeight="1" outlineLevel="1">
      <c r="A166" s="33">
        <v>157</v>
      </c>
      <c r="B166" s="40">
        <v>46905</v>
      </c>
      <c r="C166" s="29"/>
      <c r="D166" s="55">
        <f t="shared" si="15"/>
        <v>1133998.5897128468</v>
      </c>
      <c r="E166" s="29"/>
      <c r="F166" s="29">
        <f t="shared" si="14"/>
        <v>2221764.2990271896</v>
      </c>
      <c r="G166" s="25">
        <f t="shared" si="18"/>
        <v>-1087765.7093143428</v>
      </c>
      <c r="H166" s="25">
        <f t="shared" si="17"/>
        <v>228582834.73633644</v>
      </c>
      <c r="I166" s="25">
        <f t="shared" si="16"/>
        <v>228430.79895601197</v>
      </c>
      <c r="J166" s="25">
        <f t="shared" si="19"/>
        <v>-48002395.294630684</v>
      </c>
      <c r="K166" s="25"/>
      <c r="L166" s="50">
        <f t="shared" si="13"/>
        <v>180580439.44369715</v>
      </c>
    </row>
    <row r="167" spans="1:13" ht="14.45" hidden="1" customHeight="1" outlineLevel="1">
      <c r="A167" s="33">
        <v>158</v>
      </c>
      <c r="B167" s="40">
        <v>46935</v>
      </c>
      <c r="C167" s="29"/>
      <c r="D167" s="55">
        <f t="shared" si="15"/>
        <v>1128627.7465231072</v>
      </c>
      <c r="E167" s="29"/>
      <c r="F167" s="29">
        <f t="shared" si="14"/>
        <v>2221764.2990271896</v>
      </c>
      <c r="G167" s="25">
        <f t="shared" si="18"/>
        <v>-1093136.5525040824</v>
      </c>
      <c r="H167" s="25">
        <f t="shared" si="17"/>
        <v>227489698.18383235</v>
      </c>
      <c r="I167" s="25">
        <f t="shared" si="16"/>
        <v>229558.6760258573</v>
      </c>
      <c r="J167" s="25">
        <f t="shared" si="19"/>
        <v>-47772836.618604824</v>
      </c>
      <c r="K167" s="25"/>
      <c r="L167" s="50">
        <f t="shared" si="13"/>
        <v>179716861.56721893</v>
      </c>
    </row>
    <row r="168" spans="1:13" ht="14.45" hidden="1" customHeight="1" outlineLevel="1">
      <c r="A168" s="33">
        <v>159</v>
      </c>
      <c r="B168" s="40">
        <v>46966</v>
      </c>
      <c r="C168" s="29"/>
      <c r="D168" s="55">
        <f t="shared" si="15"/>
        <v>1123230.3847951181</v>
      </c>
      <c r="E168" s="29"/>
      <c r="F168" s="29">
        <f t="shared" si="14"/>
        <v>2221764.2990271896</v>
      </c>
      <c r="G168" s="25">
        <f t="shared" si="18"/>
        <v>-1098533.9142320715</v>
      </c>
      <c r="H168" s="25">
        <f t="shared" si="17"/>
        <v>226391164.26960027</v>
      </c>
      <c r="I168" s="25">
        <f t="shared" si="16"/>
        <v>230692.12198873502</v>
      </c>
      <c r="J168" s="25">
        <f t="shared" si="19"/>
        <v>-47542144.496616088</v>
      </c>
      <c r="K168" s="25"/>
      <c r="L168" s="50">
        <f t="shared" si="13"/>
        <v>178849019.7749756</v>
      </c>
    </row>
    <row r="169" spans="1:13" ht="14.45" hidden="1" customHeight="1" outlineLevel="1">
      <c r="A169" s="33">
        <v>160</v>
      </c>
      <c r="B169" s="40">
        <v>46997</v>
      </c>
      <c r="C169" s="29"/>
      <c r="D169" s="55">
        <f t="shared" si="15"/>
        <v>1117806.3735935974</v>
      </c>
      <c r="E169" s="29"/>
      <c r="F169" s="29">
        <f t="shared" si="14"/>
        <v>2221764.2990271896</v>
      </c>
      <c r="G169" s="25">
        <f t="shared" si="18"/>
        <v>-1103957.9254335922</v>
      </c>
      <c r="H169" s="25">
        <f t="shared" si="17"/>
        <v>225287206.34416667</v>
      </c>
      <c r="I169" s="25">
        <f t="shared" si="16"/>
        <v>231831.16434105436</v>
      </c>
      <c r="J169" s="25">
        <f t="shared" si="19"/>
        <v>-47310313.332275033</v>
      </c>
      <c r="K169" s="25"/>
      <c r="L169" s="50">
        <f t="shared" si="13"/>
        <v>177976893.01388305</v>
      </c>
    </row>
    <row r="170" spans="1:13" ht="14.45" hidden="1" customHeight="1" outlineLevel="1">
      <c r="A170" s="33">
        <v>161</v>
      </c>
      <c r="B170" s="40">
        <v>47027</v>
      </c>
      <c r="C170" s="29"/>
      <c r="D170" s="55">
        <f t="shared" si="15"/>
        <v>1112355.581336769</v>
      </c>
      <c r="E170" s="29"/>
      <c r="F170" s="29">
        <f t="shared" si="14"/>
        <v>2221764.2990271896</v>
      </c>
      <c r="G170" s="25">
        <f t="shared" si="18"/>
        <v>-1109408.7176904206</v>
      </c>
      <c r="H170" s="25">
        <f t="shared" si="17"/>
        <v>224177797.62647626</v>
      </c>
      <c r="I170" s="25">
        <f t="shared" si="16"/>
        <v>232975.83071498832</v>
      </c>
      <c r="J170" s="25">
        <f t="shared" si="19"/>
        <v>-47077337.501560047</v>
      </c>
      <c r="K170" s="25"/>
      <c r="L170" s="50">
        <f t="shared" si="13"/>
        <v>177100460.12690762</v>
      </c>
    </row>
    <row r="171" spans="1:13" ht="14.45" hidden="1" customHeight="1" outlineLevel="1">
      <c r="A171" s="33">
        <v>162</v>
      </c>
      <c r="B171" s="40">
        <v>47058</v>
      </c>
      <c r="C171" s="29"/>
      <c r="D171" s="55">
        <f t="shared" si="15"/>
        <v>1106877.8757931725</v>
      </c>
      <c r="E171" s="29"/>
      <c r="F171" s="29">
        <f t="shared" si="14"/>
        <v>2221764.2990271896</v>
      </c>
      <c r="G171" s="25">
        <f t="shared" si="18"/>
        <v>-1114886.4232340171</v>
      </c>
      <c r="H171" s="25">
        <f t="shared" si="17"/>
        <v>223062911.20324224</v>
      </c>
      <c r="I171" s="25">
        <f t="shared" si="16"/>
        <v>234126.14887914358</v>
      </c>
      <c r="J171" s="25">
        <f t="shared" si="19"/>
        <v>-46843211.352680907</v>
      </c>
      <c r="K171" s="25"/>
      <c r="L171" s="50">
        <f t="shared" si="13"/>
        <v>176219699.85255274</v>
      </c>
    </row>
    <row r="172" spans="1:13" ht="14.45" hidden="1" customHeight="1" outlineLevel="1">
      <c r="A172" s="33">
        <v>163</v>
      </c>
      <c r="B172" s="40">
        <v>47088</v>
      </c>
      <c r="C172" s="29"/>
      <c r="D172" s="55">
        <f t="shared" si="15"/>
        <v>1101373.1240784544</v>
      </c>
      <c r="E172" s="29"/>
      <c r="F172" s="29">
        <f t="shared" si="14"/>
        <v>2221764.2990271896</v>
      </c>
      <c r="G172" s="25">
        <f t="shared" si="18"/>
        <v>-1120391.1749487352</v>
      </c>
      <c r="H172" s="25">
        <f t="shared" si="17"/>
        <v>221942520.02829352</v>
      </c>
      <c r="I172" s="25">
        <f t="shared" si="16"/>
        <v>235282.14673923436</v>
      </c>
      <c r="J172" s="25">
        <f t="shared" si="19"/>
        <v>-46607929.20594167</v>
      </c>
      <c r="K172" s="25"/>
      <c r="L172" s="50">
        <f t="shared" si="13"/>
        <v>175334590.82434323</v>
      </c>
    </row>
    <row r="173" spans="1:13" ht="14.45" hidden="1" customHeight="1" outlineLevel="1">
      <c r="A173" s="33">
        <v>164</v>
      </c>
      <c r="B173" s="40">
        <v>47119</v>
      </c>
      <c r="C173" s="29"/>
      <c r="D173" s="55">
        <f t="shared" si="15"/>
        <v>1095841.1926521452</v>
      </c>
      <c r="E173" s="29"/>
      <c r="F173" s="29">
        <f t="shared" si="14"/>
        <v>2221764.2990271896</v>
      </c>
      <c r="G173" s="25">
        <f t="shared" si="18"/>
        <v>-1125923.1063750444</v>
      </c>
      <c r="H173" s="25">
        <f t="shared" si="17"/>
        <v>220816596.92191848</v>
      </c>
      <c r="I173" s="25">
        <f t="shared" si="16"/>
        <v>236443.85233875932</v>
      </c>
      <c r="J173" s="25">
        <f t="shared" si="19"/>
        <v>-46371485.353602909</v>
      </c>
      <c r="K173" s="25"/>
      <c r="L173" s="50">
        <f t="shared" si="13"/>
        <v>174445111.57030696</v>
      </c>
    </row>
    <row r="174" spans="1:13" ht="14.45" hidden="1" customHeight="1" outlineLevel="1">
      <c r="A174" s="33">
        <v>165</v>
      </c>
      <c r="B174" s="40">
        <v>47150</v>
      </c>
      <c r="C174" s="29"/>
      <c r="D174" s="55">
        <f t="shared" si="15"/>
        <v>1090281.9473144184</v>
      </c>
      <c r="E174" s="29"/>
      <c r="F174" s="29">
        <f t="shared" si="14"/>
        <v>2221764.2990271896</v>
      </c>
      <c r="G174" s="25">
        <f t="shared" si="18"/>
        <v>-1131482.3517127712</v>
      </c>
      <c r="H174" s="25">
        <f t="shared" si="17"/>
        <v>219685114.57020572</v>
      </c>
      <c r="I174" s="25">
        <f t="shared" si="16"/>
        <v>237611.29385968196</v>
      </c>
      <c r="J174" s="25">
        <f t="shared" si="19"/>
        <v>-46133874.059743226</v>
      </c>
      <c r="K174" s="25"/>
      <c r="L174" s="50">
        <f t="shared" si="13"/>
        <v>173551240.51245385</v>
      </c>
    </row>
    <row r="175" spans="1:13" ht="14.45" hidden="1" customHeight="1" outlineLevel="1">
      <c r="A175" s="33">
        <v>166</v>
      </c>
      <c r="B175" s="40">
        <v>47178</v>
      </c>
      <c r="C175" s="29"/>
      <c r="D175" s="55">
        <f t="shared" si="15"/>
        <v>1084695.2532028365</v>
      </c>
      <c r="E175" s="29"/>
      <c r="F175" s="29">
        <f t="shared" si="14"/>
        <v>2221764.2990271896</v>
      </c>
      <c r="G175" s="25">
        <f t="shared" si="18"/>
        <v>-1137069.0458243531</v>
      </c>
      <c r="H175" s="25">
        <f t="shared" si="17"/>
        <v>218548045.52438137</v>
      </c>
      <c r="I175" s="25">
        <f t="shared" si="16"/>
        <v>238784.49962311416</v>
      </c>
      <c r="J175" s="25">
        <f t="shared" si="19"/>
        <v>-45895089.560120113</v>
      </c>
      <c r="K175" s="25"/>
      <c r="L175" s="50">
        <f t="shared" ref="L175:L238" si="20">K175+C175+D175+I175-E175-F175+L174</f>
        <v>172652955.96625262</v>
      </c>
    </row>
    <row r="176" spans="1:13" ht="14.45" hidden="1" customHeight="1" outlineLevel="1">
      <c r="A176" s="33">
        <v>167</v>
      </c>
      <c r="B176" s="40">
        <v>47209</v>
      </c>
      <c r="C176" s="29"/>
      <c r="D176" s="55">
        <f t="shared" si="15"/>
        <v>1079080.9747890788</v>
      </c>
      <c r="E176" s="29"/>
      <c r="F176" s="29">
        <f t="shared" si="14"/>
        <v>2221764.2990271896</v>
      </c>
      <c r="G176" s="25">
        <f t="shared" si="18"/>
        <v>-1142683.3242381108</v>
      </c>
      <c r="H176" s="25">
        <f t="shared" si="17"/>
        <v>217405362.20014325</v>
      </c>
      <c r="I176" s="25">
        <f t="shared" si="16"/>
        <v>239963.49809000327</v>
      </c>
      <c r="J176" s="25">
        <f t="shared" si="19"/>
        <v>-45655126.062030107</v>
      </c>
      <c r="K176" s="25"/>
      <c r="L176" s="50">
        <f t="shared" si="20"/>
        <v>171750236.14010453</v>
      </c>
    </row>
    <row r="177" spans="1:13" ht="14.45" hidden="1" customHeight="1" outlineLevel="1">
      <c r="A177" s="33">
        <v>168</v>
      </c>
      <c r="B177" s="40">
        <v>47239</v>
      </c>
      <c r="C177" s="29"/>
      <c r="D177" s="55">
        <f t="shared" si="15"/>
        <v>1073438.9758756533</v>
      </c>
      <c r="E177" s="29"/>
      <c r="F177" s="29">
        <f t="shared" si="14"/>
        <v>2221764.2990271896</v>
      </c>
      <c r="G177" s="25">
        <f t="shared" si="18"/>
        <v>-1148325.3231515363</v>
      </c>
      <c r="H177" s="25">
        <f t="shared" si="17"/>
        <v>216257036.87699172</v>
      </c>
      <c r="I177" s="25">
        <f t="shared" si="16"/>
        <v>241148.31786182261</v>
      </c>
      <c r="J177" s="25">
        <f t="shared" si="19"/>
        <v>-45413977.744168282</v>
      </c>
      <c r="K177" s="25"/>
      <c r="L177" s="50">
        <f t="shared" si="20"/>
        <v>170843059.13481483</v>
      </c>
      <c r="M177" s="41"/>
    </row>
    <row r="178" spans="1:13" ht="14.45" hidden="1" customHeight="1" outlineLevel="1">
      <c r="A178" s="33">
        <v>169</v>
      </c>
      <c r="B178" s="40">
        <v>47270</v>
      </c>
      <c r="C178" s="29"/>
      <c r="D178" s="55">
        <f t="shared" si="15"/>
        <v>1067769.1195925926</v>
      </c>
      <c r="E178" s="29"/>
      <c r="F178" s="29">
        <f t="shared" si="14"/>
        <v>2221764.2990271896</v>
      </c>
      <c r="G178" s="25">
        <f t="shared" si="18"/>
        <v>-1153995.179434597</v>
      </c>
      <c r="H178" s="25">
        <f t="shared" si="17"/>
        <v>215103041.69755712</v>
      </c>
      <c r="I178" s="25">
        <f t="shared" si="16"/>
        <v>242338.98768126537</v>
      </c>
      <c r="J178" s="25">
        <f t="shared" si="19"/>
        <v>-45171638.756487019</v>
      </c>
      <c r="K178" s="25"/>
      <c r="L178" s="50">
        <f t="shared" si="20"/>
        <v>169931402.9430615</v>
      </c>
    </row>
    <row r="179" spans="1:13" ht="14.45" hidden="1" customHeight="1" outlineLevel="1">
      <c r="A179" s="33">
        <v>170</v>
      </c>
      <c r="B179" s="40">
        <v>47300</v>
      </c>
      <c r="C179" s="29"/>
      <c r="D179" s="55">
        <f t="shared" si="15"/>
        <v>1062071.2683941342</v>
      </c>
      <c r="E179" s="29"/>
      <c r="F179" s="29">
        <f t="shared" si="14"/>
        <v>2221764.2990271896</v>
      </c>
      <c r="G179" s="25">
        <f t="shared" si="18"/>
        <v>-1159693.0306330554</v>
      </c>
      <c r="H179" s="25">
        <f t="shared" si="17"/>
        <v>213943348.66692406</v>
      </c>
      <c r="I179" s="25">
        <f t="shared" si="16"/>
        <v>243535.53643294162</v>
      </c>
      <c r="J179" s="25">
        <f t="shared" si="19"/>
        <v>-44928103.220054075</v>
      </c>
      <c r="K179" s="25"/>
      <c r="L179" s="50">
        <f t="shared" si="20"/>
        <v>169015245.44886139</v>
      </c>
    </row>
    <row r="180" spans="1:13" ht="14.45" hidden="1" customHeight="1" outlineLevel="1">
      <c r="A180" s="33">
        <v>171</v>
      </c>
      <c r="B180" s="40">
        <v>47331</v>
      </c>
      <c r="C180" s="29"/>
      <c r="D180" s="55">
        <f t="shared" si="15"/>
        <v>1056345.2840553836</v>
      </c>
      <c r="E180" s="29"/>
      <c r="F180" s="29">
        <f t="shared" si="14"/>
        <v>2221764.2990271896</v>
      </c>
      <c r="G180" s="25">
        <f t="shared" si="18"/>
        <v>-1165419.014971806</v>
      </c>
      <c r="H180" s="25">
        <f t="shared" si="17"/>
        <v>212777929.65195227</v>
      </c>
      <c r="I180" s="25">
        <f t="shared" si="16"/>
        <v>244737.99314407926</v>
      </c>
      <c r="J180" s="25">
        <f t="shared" si="19"/>
        <v>-44683365.226909995</v>
      </c>
      <c r="K180" s="25"/>
      <c r="L180" s="50">
        <f t="shared" si="20"/>
        <v>168094564.42703366</v>
      </c>
    </row>
    <row r="181" spans="1:13" ht="14.45" hidden="1" customHeight="1" outlineLevel="1">
      <c r="A181" s="33">
        <v>172</v>
      </c>
      <c r="B181" s="40">
        <v>47362</v>
      </c>
      <c r="C181" s="29"/>
      <c r="D181" s="55">
        <f t="shared" si="15"/>
        <v>1050591.0276689604</v>
      </c>
      <c r="E181" s="29"/>
      <c r="F181" s="29">
        <f t="shared" si="14"/>
        <v>2221764.2990271896</v>
      </c>
      <c r="G181" s="25">
        <f t="shared" si="18"/>
        <v>-1171173.2713582292</v>
      </c>
      <c r="H181" s="25">
        <f t="shared" si="17"/>
        <v>211606756.38059404</v>
      </c>
      <c r="I181" s="25">
        <f t="shared" si="16"/>
        <v>245946.38698522814</v>
      </c>
      <c r="J181" s="25">
        <f t="shared" si="19"/>
        <v>-44437418.839924768</v>
      </c>
      <c r="K181" s="25"/>
      <c r="L181" s="50">
        <f t="shared" si="20"/>
        <v>167169337.54266065</v>
      </c>
    </row>
    <row r="182" spans="1:13" ht="14.45" hidden="1" customHeight="1" outlineLevel="1">
      <c r="A182" s="33">
        <v>173</v>
      </c>
      <c r="B182" s="40">
        <v>47392</v>
      </c>
      <c r="C182" s="29"/>
      <c r="D182" s="55">
        <f t="shared" si="15"/>
        <v>1044808.359641629</v>
      </c>
      <c r="E182" s="29"/>
      <c r="F182" s="29">
        <f t="shared" si="14"/>
        <v>2221764.2990271896</v>
      </c>
      <c r="G182" s="25">
        <f t="shared" si="18"/>
        <v>-1176955.9393855606</v>
      </c>
      <c r="H182" s="25">
        <f t="shared" si="17"/>
        <v>210429800.44120848</v>
      </c>
      <c r="I182" s="25">
        <f t="shared" si="16"/>
        <v>247160.74727096772</v>
      </c>
      <c r="J182" s="25">
        <f t="shared" si="19"/>
        <v>-44190258.092653804</v>
      </c>
      <c r="K182" s="25"/>
      <c r="L182" s="50">
        <f t="shared" si="20"/>
        <v>166239542.35054606</v>
      </c>
    </row>
    <row r="183" spans="1:13" ht="14.45" hidden="1" customHeight="1" outlineLevel="1">
      <c r="A183" s="33">
        <v>174</v>
      </c>
      <c r="B183" s="40">
        <v>47423</v>
      </c>
      <c r="C183" s="29"/>
      <c r="D183" s="55">
        <f t="shared" si="15"/>
        <v>1038997.1396909128</v>
      </c>
      <c r="E183" s="29"/>
      <c r="F183" s="29">
        <f t="shared" si="14"/>
        <v>2221764.2990271896</v>
      </c>
      <c r="G183" s="25">
        <f t="shared" si="18"/>
        <v>-1182767.1593362768</v>
      </c>
      <c r="H183" s="25">
        <f t="shared" si="17"/>
        <v>209247033.28187221</v>
      </c>
      <c r="I183" s="25">
        <f t="shared" si="16"/>
        <v>248381.10346061812</v>
      </c>
      <c r="J183" s="25">
        <f t="shared" si="19"/>
        <v>-43941876.989193186</v>
      </c>
      <c r="K183" s="25"/>
      <c r="L183" s="50">
        <f t="shared" si="20"/>
        <v>165305156.2946704</v>
      </c>
    </row>
    <row r="184" spans="1:13" ht="14.45" hidden="1" customHeight="1" outlineLevel="1">
      <c r="A184" s="33">
        <v>175</v>
      </c>
      <c r="B184" s="40">
        <v>47453</v>
      </c>
      <c r="C184" s="29"/>
      <c r="D184" s="55">
        <f t="shared" si="15"/>
        <v>1033157.2268416899</v>
      </c>
      <c r="E184" s="29"/>
      <c r="F184" s="29">
        <f t="shared" si="14"/>
        <v>2221764.2990271896</v>
      </c>
      <c r="G184" s="25">
        <f t="shared" si="18"/>
        <v>-1188607.0721854996</v>
      </c>
      <c r="H184" s="25">
        <f t="shared" si="17"/>
        <v>208058426.20968673</v>
      </c>
      <c r="I184" s="25">
        <f t="shared" si="16"/>
        <v>249607.48515895489</v>
      </c>
      <c r="J184" s="25">
        <f t="shared" si="19"/>
        <v>-43692269.504034229</v>
      </c>
      <c r="K184" s="25"/>
      <c r="L184" s="50">
        <f t="shared" si="20"/>
        <v>164366156.70764387</v>
      </c>
    </row>
    <row r="185" spans="1:13" ht="14.45" hidden="1" customHeight="1" outlineLevel="1">
      <c r="A185" s="33">
        <v>176</v>
      </c>
      <c r="B185" s="40">
        <v>47484</v>
      </c>
      <c r="C185" s="29"/>
      <c r="D185" s="55">
        <f t="shared" si="15"/>
        <v>1027288.479422774</v>
      </c>
      <c r="E185" s="29"/>
      <c r="F185" s="29">
        <f t="shared" si="14"/>
        <v>2221764.2990271896</v>
      </c>
      <c r="G185" s="25">
        <f t="shared" si="18"/>
        <v>-1194475.8196044154</v>
      </c>
      <c r="H185" s="25">
        <f t="shared" si="17"/>
        <v>206863950.3900823</v>
      </c>
      <c r="I185" s="25">
        <f t="shared" si="16"/>
        <v>250839.92211692722</v>
      </c>
      <c r="J185" s="25">
        <f t="shared" si="19"/>
        <v>-43441429.581917301</v>
      </c>
      <c r="K185" s="25"/>
      <c r="L185" s="50">
        <f t="shared" si="20"/>
        <v>163422520.81015638</v>
      </c>
    </row>
    <row r="186" spans="1:13" ht="14.45" hidden="1" customHeight="1" outlineLevel="1">
      <c r="A186" s="33">
        <v>177</v>
      </c>
      <c r="B186" s="40">
        <v>47515</v>
      </c>
      <c r="C186" s="29"/>
      <c r="D186" s="55">
        <f t="shared" si="15"/>
        <v>1021390.7550634772</v>
      </c>
      <c r="E186" s="29"/>
      <c r="F186" s="29">
        <f t="shared" si="14"/>
        <v>2221764.2990271896</v>
      </c>
      <c r="G186" s="25">
        <f t="shared" si="18"/>
        <v>-1200373.5439637124</v>
      </c>
      <c r="H186" s="25">
        <f t="shared" si="17"/>
        <v>205663576.8461186</v>
      </c>
      <c r="I186" s="25">
        <f t="shared" si="16"/>
        <v>252078.44423237961</v>
      </c>
      <c r="J186" s="25">
        <f t="shared" si="19"/>
        <v>-43189351.137684919</v>
      </c>
      <c r="K186" s="25"/>
      <c r="L186" s="50">
        <f t="shared" si="20"/>
        <v>162474225.71042505</v>
      </c>
    </row>
    <row r="187" spans="1:13" ht="14.45" hidden="1" customHeight="1" outlineLevel="1">
      <c r="A187" s="33">
        <v>178</v>
      </c>
      <c r="B187" s="40">
        <v>47543</v>
      </c>
      <c r="C187" s="29"/>
      <c r="D187" s="55">
        <f t="shared" si="15"/>
        <v>1015463.9106901565</v>
      </c>
      <c r="E187" s="29"/>
      <c r="F187" s="29">
        <f t="shared" si="14"/>
        <v>2221764.2990271896</v>
      </c>
      <c r="G187" s="25">
        <f t="shared" si="18"/>
        <v>-1206300.3883370331</v>
      </c>
      <c r="H187" s="25">
        <f t="shared" si="17"/>
        <v>204457276.45778155</v>
      </c>
      <c r="I187" s="25">
        <f t="shared" si="16"/>
        <v>253323.08155077693</v>
      </c>
      <c r="J187" s="25">
        <f t="shared" si="19"/>
        <v>-42936028.056134142</v>
      </c>
      <c r="K187" s="25"/>
      <c r="L187" s="50">
        <f t="shared" si="20"/>
        <v>161521248.40363878</v>
      </c>
    </row>
    <row r="188" spans="1:13" ht="14.45" hidden="1" customHeight="1" outlineLevel="1">
      <c r="A188" s="33">
        <v>179</v>
      </c>
      <c r="B188" s="40">
        <v>47574</v>
      </c>
      <c r="C188" s="29"/>
      <c r="D188" s="55">
        <f t="shared" si="15"/>
        <v>1009507.8025227423</v>
      </c>
      <c r="E188" s="29"/>
      <c r="F188" s="29">
        <f t="shared" si="14"/>
        <v>2221764.2990271896</v>
      </c>
      <c r="G188" s="25">
        <f t="shared" si="18"/>
        <v>-1212256.4965044474</v>
      </c>
      <c r="H188" s="25">
        <f t="shared" si="17"/>
        <v>203245019.9612771</v>
      </c>
      <c r="I188" s="25">
        <f t="shared" si="16"/>
        <v>254573.86426593395</v>
      </c>
      <c r="J188" s="25">
        <f t="shared" si="19"/>
        <v>-42681454.191868208</v>
      </c>
      <c r="K188" s="25"/>
      <c r="L188" s="50">
        <f t="shared" si="20"/>
        <v>160563565.77140027</v>
      </c>
    </row>
    <row r="189" spans="1:13" ht="14.45" hidden="1" customHeight="1" outlineLevel="1">
      <c r="A189" s="33">
        <v>180</v>
      </c>
      <c r="B189" s="40">
        <v>47604</v>
      </c>
      <c r="C189" s="29"/>
      <c r="D189" s="55">
        <f t="shared" si="15"/>
        <v>1003522.2860712516</v>
      </c>
      <c r="E189" s="29"/>
      <c r="F189" s="29">
        <f t="shared" si="14"/>
        <v>2221764.2990271896</v>
      </c>
      <c r="G189" s="25">
        <f t="shared" si="18"/>
        <v>-1218242.012955938</v>
      </c>
      <c r="H189" s="25">
        <f t="shared" si="17"/>
        <v>202026777.94832116</v>
      </c>
      <c r="I189" s="25">
        <f t="shared" si="16"/>
        <v>255830.82272074698</v>
      </c>
      <c r="J189" s="25">
        <f t="shared" si="19"/>
        <v>-42425623.369147465</v>
      </c>
      <c r="K189" s="25"/>
      <c r="L189" s="50">
        <f t="shared" si="20"/>
        <v>159601154.58116508</v>
      </c>
      <c r="M189" s="41"/>
    </row>
    <row r="190" spans="1:13" ht="14.45" hidden="1" customHeight="1" outlineLevel="1">
      <c r="A190" s="33">
        <v>181</v>
      </c>
      <c r="B190" s="40">
        <v>47635</v>
      </c>
      <c r="C190" s="29"/>
      <c r="D190" s="55">
        <f t="shared" si="15"/>
        <v>997507.21613228158</v>
      </c>
      <c r="E190" s="29"/>
      <c r="F190" s="29">
        <f t="shared" si="14"/>
        <v>2221764.2990271896</v>
      </c>
      <c r="G190" s="25">
        <f t="shared" si="18"/>
        <v>-1224257.082894908</v>
      </c>
      <c r="H190" s="25">
        <f t="shared" si="17"/>
        <v>200802520.86542624</v>
      </c>
      <c r="I190" s="25">
        <f t="shared" si="16"/>
        <v>257093.98740793069</v>
      </c>
      <c r="J190" s="25">
        <f t="shared" si="19"/>
        <v>-42168529.381739534</v>
      </c>
      <c r="K190" s="25"/>
      <c r="L190" s="50">
        <f t="shared" si="20"/>
        <v>158633991.48567811</v>
      </c>
    </row>
    <row r="191" spans="1:13" ht="14.45" hidden="1" customHeight="1" outlineLevel="1">
      <c r="A191" s="33">
        <v>182</v>
      </c>
      <c r="B191" s="40">
        <v>47665</v>
      </c>
      <c r="C191" s="29"/>
      <c r="D191" s="55">
        <f t="shared" si="15"/>
        <v>991462.44678548805</v>
      </c>
      <c r="E191" s="29"/>
      <c r="F191" s="29">
        <f t="shared" si="14"/>
        <v>2221764.2990271896</v>
      </c>
      <c r="G191" s="25">
        <f t="shared" si="18"/>
        <v>-1230301.8522417014</v>
      </c>
      <c r="H191" s="25">
        <f t="shared" si="17"/>
        <v>199572219.01318455</v>
      </c>
      <c r="I191" s="25">
        <f t="shared" si="16"/>
        <v>258363.38897075728</v>
      </c>
      <c r="J191" s="25">
        <f t="shared" si="19"/>
        <v>-41910165.992768779</v>
      </c>
      <c r="K191" s="25"/>
      <c r="L191" s="50">
        <f t="shared" si="20"/>
        <v>157662053.02240717</v>
      </c>
    </row>
    <row r="192" spans="1:13" ht="14.45" hidden="1" customHeight="1" outlineLevel="1">
      <c r="A192" s="33">
        <v>183</v>
      </c>
      <c r="B192" s="40">
        <v>47696</v>
      </c>
      <c r="C192" s="29"/>
      <c r="D192" s="55">
        <f t="shared" si="15"/>
        <v>985387.83139004477</v>
      </c>
      <c r="E192" s="29"/>
      <c r="F192" s="29">
        <f t="shared" si="14"/>
        <v>2221764.2990271896</v>
      </c>
      <c r="G192" s="25">
        <f t="shared" si="18"/>
        <v>-1236376.467637145</v>
      </c>
      <c r="H192" s="25">
        <f t="shared" si="17"/>
        <v>198335842.5455474</v>
      </c>
      <c r="I192" s="25">
        <f t="shared" si="16"/>
        <v>259639.05820380044</v>
      </c>
      <c r="J192" s="25">
        <f t="shared" si="19"/>
        <v>-41650526.934564978</v>
      </c>
      <c r="K192" s="25"/>
      <c r="L192" s="50">
        <f t="shared" si="20"/>
        <v>156685315.61297384</v>
      </c>
    </row>
    <row r="193" spans="1:13" ht="14.45" hidden="1" customHeight="1" outlineLevel="1">
      <c r="A193" s="33">
        <v>184</v>
      </c>
      <c r="B193" s="40">
        <v>47727</v>
      </c>
      <c r="C193" s="29"/>
      <c r="D193" s="55">
        <f t="shared" si="15"/>
        <v>979283.22258108645</v>
      </c>
      <c r="E193" s="29"/>
      <c r="F193" s="29">
        <f t="shared" si="14"/>
        <v>2221764.2990271896</v>
      </c>
      <c r="G193" s="25">
        <f t="shared" si="18"/>
        <v>-1242481.0764461032</v>
      </c>
      <c r="H193" s="25">
        <f t="shared" si="17"/>
        <v>197093361.46910128</v>
      </c>
      <c r="I193" s="25">
        <f t="shared" si="16"/>
        <v>260921.02605368165</v>
      </c>
      <c r="J193" s="25">
        <f t="shared" si="19"/>
        <v>-41389605.908511296</v>
      </c>
      <c r="K193" s="25"/>
      <c r="L193" s="50">
        <f t="shared" si="20"/>
        <v>155703755.56258142</v>
      </c>
    </row>
    <row r="194" spans="1:13" ht="14.45" hidden="1" customHeight="1" outlineLevel="1">
      <c r="A194" s="33">
        <v>185</v>
      </c>
      <c r="B194" s="40">
        <v>47757</v>
      </c>
      <c r="C194" s="29"/>
      <c r="D194" s="55">
        <f t="shared" si="15"/>
        <v>973148.47226613376</v>
      </c>
      <c r="E194" s="29"/>
      <c r="F194" s="29">
        <f t="shared" si="14"/>
        <v>2221764.2990271896</v>
      </c>
      <c r="G194" s="25">
        <f t="shared" si="18"/>
        <v>-1248615.8267610557</v>
      </c>
      <c r="H194" s="25">
        <f t="shared" si="17"/>
        <v>195844745.64234021</v>
      </c>
      <c r="I194" s="25">
        <f t="shared" si="16"/>
        <v>262209.32361982169</v>
      </c>
      <c r="J194" s="25">
        <f t="shared" si="19"/>
        <v>-41127396.584891476</v>
      </c>
      <c r="K194" s="25"/>
      <c r="L194" s="50">
        <f t="shared" si="20"/>
        <v>154717349.0594402</v>
      </c>
    </row>
    <row r="195" spans="1:13" ht="14.45" hidden="1" customHeight="1" outlineLevel="1">
      <c r="A195" s="33">
        <v>186</v>
      </c>
      <c r="B195" s="40">
        <v>47788</v>
      </c>
      <c r="C195" s="29"/>
      <c r="D195" s="55">
        <f t="shared" si="15"/>
        <v>966983.43162150111</v>
      </c>
      <c r="E195" s="29"/>
      <c r="F195" s="29">
        <f t="shared" si="14"/>
        <v>2221764.2990271896</v>
      </c>
      <c r="G195" s="25">
        <f t="shared" si="18"/>
        <v>-1254780.8674056884</v>
      </c>
      <c r="H195" s="25">
        <f t="shared" si="17"/>
        <v>194589964.77493453</v>
      </c>
      <c r="I195" s="25">
        <f t="shared" si="16"/>
        <v>263503.98215519456</v>
      </c>
      <c r="J195" s="25">
        <f t="shared" si="19"/>
        <v>-40863892.602736279</v>
      </c>
      <c r="K195" s="25"/>
      <c r="L195" s="50">
        <f t="shared" si="20"/>
        <v>153726072.17418969</v>
      </c>
    </row>
    <row r="196" spans="1:13" ht="14.45" hidden="1" customHeight="1" outlineLevel="1">
      <c r="A196" s="33">
        <v>187</v>
      </c>
      <c r="B196" s="40">
        <v>47818</v>
      </c>
      <c r="C196" s="29"/>
      <c r="D196" s="55">
        <f t="shared" si="15"/>
        <v>960787.95108868543</v>
      </c>
      <c r="E196" s="29"/>
      <c r="F196" s="29">
        <f t="shared" si="14"/>
        <v>2221764.2990271896</v>
      </c>
      <c r="G196" s="25">
        <f t="shared" si="18"/>
        <v>-1260976.3479385041</v>
      </c>
      <c r="H196" s="25">
        <f t="shared" si="17"/>
        <v>193328988.42699602</v>
      </c>
      <c r="I196" s="25">
        <f t="shared" si="16"/>
        <v>264805.03306708584</v>
      </c>
      <c r="J196" s="25">
        <f t="shared" si="19"/>
        <v>-40599087.569669195</v>
      </c>
      <c r="K196" s="25"/>
      <c r="L196" s="50">
        <f t="shared" si="20"/>
        <v>152729900.85931826</v>
      </c>
    </row>
    <row r="197" spans="1:13" ht="14.45" hidden="1" customHeight="1" outlineLevel="1">
      <c r="A197" s="33">
        <v>188</v>
      </c>
      <c r="B197" s="40">
        <v>47849</v>
      </c>
      <c r="C197" s="29"/>
      <c r="D197" s="55">
        <f t="shared" si="15"/>
        <v>954561.88037073903</v>
      </c>
      <c r="E197" s="29"/>
      <c r="F197" s="29">
        <f t="shared" si="14"/>
        <v>2221764.2990271896</v>
      </c>
      <c r="G197" s="25">
        <f t="shared" si="18"/>
        <v>-1267202.4186564507</v>
      </c>
      <c r="H197" s="25">
        <f t="shared" si="17"/>
        <v>192061786.00833958</v>
      </c>
      <c r="I197" s="25">
        <f t="shared" si="16"/>
        <v>266112.50791785464</v>
      </c>
      <c r="J197" s="25">
        <f t="shared" si="19"/>
        <v>-40332975.061751343</v>
      </c>
      <c r="K197" s="25"/>
      <c r="L197" s="50">
        <f>K197+C197+D197+I197-E197-F197+L196</f>
        <v>151728810.94857967</v>
      </c>
    </row>
    <row r="198" spans="1:13" ht="14.45" hidden="1" customHeight="1" outlineLevel="1">
      <c r="A198" s="33">
        <v>189</v>
      </c>
      <c r="B198" s="40">
        <v>47880</v>
      </c>
      <c r="C198" s="29"/>
      <c r="D198" s="55">
        <f t="shared" si="15"/>
        <v>948305.06842862291</v>
      </c>
      <c r="E198" s="29"/>
      <c r="F198" s="29">
        <f t="shared" si="14"/>
        <v>2221764.2990271896</v>
      </c>
      <c r="G198" s="25">
        <f t="shared" si="18"/>
        <v>-1273459.2305985666</v>
      </c>
      <c r="H198" s="25">
        <f t="shared" si="17"/>
        <v>190788326.77774101</v>
      </c>
      <c r="I198" s="25">
        <f t="shared" si="16"/>
        <v>267426.43842569896</v>
      </c>
      <c r="J198" s="25">
        <f t="shared" si="19"/>
        <v>-40065548.623325646</v>
      </c>
      <c r="K198" s="25"/>
      <c r="L198" s="50">
        <f t="shared" si="20"/>
        <v>150722778.15640679</v>
      </c>
    </row>
    <row r="199" spans="1:13" ht="14.45" hidden="1" customHeight="1" outlineLevel="1">
      <c r="A199" s="33">
        <v>190</v>
      </c>
      <c r="B199" s="40">
        <v>47908</v>
      </c>
      <c r="C199" s="29"/>
      <c r="D199" s="55">
        <f t="shared" si="15"/>
        <v>942017.36347754241</v>
      </c>
      <c r="E199" s="29"/>
      <c r="F199" s="29">
        <f t="shared" ref="F199:F262" si="21">$D$3</f>
        <v>2221764.2990271896</v>
      </c>
      <c r="G199" s="25">
        <f t="shared" si="18"/>
        <v>-1279746.9355496471</v>
      </c>
      <c r="H199" s="25">
        <f t="shared" si="17"/>
        <v>189508579.84219137</v>
      </c>
      <c r="I199" s="25">
        <f t="shared" si="16"/>
        <v>268746.85646542587</v>
      </c>
      <c r="J199" s="25">
        <f t="shared" si="19"/>
        <v>-39796801.766860217</v>
      </c>
      <c r="K199" s="25"/>
      <c r="L199" s="50">
        <f t="shared" si="20"/>
        <v>149711778.07732257</v>
      </c>
    </row>
    <row r="200" spans="1:13" ht="14.45" hidden="1" customHeight="1" outlineLevel="1">
      <c r="A200" s="33">
        <v>191</v>
      </c>
      <c r="B200" s="40">
        <v>47939</v>
      </c>
      <c r="C200" s="29"/>
      <c r="D200" s="55">
        <f t="shared" ref="D200:D263" si="22">L199*$D$2</f>
        <v>935698.61298326601</v>
      </c>
      <c r="E200" s="29"/>
      <c r="F200" s="29">
        <f t="shared" si="21"/>
        <v>2221764.2990271896</v>
      </c>
      <c r="G200" s="25">
        <f t="shared" si="18"/>
        <v>-1286065.6860439237</v>
      </c>
      <c r="H200" s="25">
        <f t="shared" si="17"/>
        <v>188222514.15614745</v>
      </c>
      <c r="I200" s="25">
        <f t="shared" ref="I200:I263" si="23">-G200*0.21</f>
        <v>270073.79406922398</v>
      </c>
      <c r="J200" s="25">
        <f t="shared" si="19"/>
        <v>-39526727.972790994</v>
      </c>
      <c r="K200" s="25"/>
      <c r="L200" s="50">
        <f t="shared" si="20"/>
        <v>148695786.18534788</v>
      </c>
    </row>
    <row r="201" spans="1:13" ht="14.45" hidden="1" customHeight="1" outlineLevel="1">
      <c r="A201" s="33">
        <v>192</v>
      </c>
      <c r="B201" s="40">
        <v>47969</v>
      </c>
      <c r="C201" s="29"/>
      <c r="D201" s="55">
        <f t="shared" si="22"/>
        <v>929348.66365842416</v>
      </c>
      <c r="E201" s="29"/>
      <c r="F201" s="29">
        <f t="shared" si="21"/>
        <v>2221764.2990271896</v>
      </c>
      <c r="G201" s="25">
        <f t="shared" si="18"/>
        <v>-1292415.6353687653</v>
      </c>
      <c r="H201" s="25">
        <f t="shared" si="17"/>
        <v>186930098.52077869</v>
      </c>
      <c r="I201" s="25">
        <f t="shared" si="23"/>
        <v>271407.28342744074</v>
      </c>
      <c r="J201" s="25">
        <f t="shared" si="19"/>
        <v>-39255320.689363554</v>
      </c>
      <c r="K201" s="25"/>
      <c r="L201" s="50">
        <f t="shared" si="20"/>
        <v>147674777.83340657</v>
      </c>
      <c r="M201" s="41"/>
    </row>
    <row r="202" spans="1:13" ht="14.45" hidden="1" customHeight="1" outlineLevel="1">
      <c r="A202" s="33">
        <v>193</v>
      </c>
      <c r="B202" s="40">
        <v>48000</v>
      </c>
      <c r="C202" s="29"/>
      <c r="D202" s="55">
        <f t="shared" si="22"/>
        <v>922967.36145879095</v>
      </c>
      <c r="E202" s="29"/>
      <c r="F202" s="29">
        <f t="shared" si="21"/>
        <v>2221764.2990271896</v>
      </c>
      <c r="G202" s="25">
        <f t="shared" si="18"/>
        <v>-1298796.9375683987</v>
      </c>
      <c r="H202" s="25">
        <f t="shared" si="17"/>
        <v>185631301.58321029</v>
      </c>
      <c r="I202" s="25">
        <f t="shared" si="23"/>
        <v>272747.35688936373</v>
      </c>
      <c r="J202" s="25">
        <f t="shared" si="19"/>
        <v>-38982573.332474187</v>
      </c>
      <c r="K202" s="25"/>
      <c r="L202" s="50">
        <f t="shared" si="20"/>
        <v>146648728.25272754</v>
      </c>
    </row>
    <row r="203" spans="1:13" ht="14.45" hidden="1" customHeight="1" outlineLevel="1">
      <c r="A203" s="33">
        <v>194</v>
      </c>
      <c r="B203" s="40">
        <v>48030</v>
      </c>
      <c r="C203" s="29"/>
      <c r="D203" s="55">
        <f t="shared" si="22"/>
        <v>916554.551579547</v>
      </c>
      <c r="E203" s="29"/>
      <c r="F203" s="29">
        <f t="shared" si="21"/>
        <v>2221764.2990271896</v>
      </c>
      <c r="G203" s="25">
        <f t="shared" si="18"/>
        <v>-1305209.7474476425</v>
      </c>
      <c r="H203" s="25">
        <f t="shared" ref="H203:H266" si="24">H202+G203</f>
        <v>184326091.83576265</v>
      </c>
      <c r="I203" s="25">
        <f t="shared" si="23"/>
        <v>274094.04696400493</v>
      </c>
      <c r="J203" s="25">
        <f t="shared" si="19"/>
        <v>-38708479.285510182</v>
      </c>
      <c r="K203" s="25"/>
      <c r="L203" s="50">
        <f t="shared" si="20"/>
        <v>145617612.55224389</v>
      </c>
    </row>
    <row r="204" spans="1:13" ht="14.45" hidden="1" customHeight="1" outlineLevel="1">
      <c r="A204" s="33">
        <v>195</v>
      </c>
      <c r="B204" s="40">
        <v>48061</v>
      </c>
      <c r="C204" s="29"/>
      <c r="D204" s="55">
        <f t="shared" si="22"/>
        <v>910110.07845152426</v>
      </c>
      <c r="E204" s="29"/>
      <c r="F204" s="29">
        <f t="shared" si="21"/>
        <v>2221764.2990271896</v>
      </c>
      <c r="G204" s="25">
        <f t="shared" ref="G204:G267" si="25">C204+D204-E204-F204</f>
        <v>-1311654.2205756654</v>
      </c>
      <c r="H204" s="25">
        <f t="shared" si="24"/>
        <v>183014437.61518699</v>
      </c>
      <c r="I204" s="25">
        <f t="shared" si="23"/>
        <v>275447.38632088969</v>
      </c>
      <c r="J204" s="25">
        <f t="shared" si="19"/>
        <v>-38433031.899189293</v>
      </c>
      <c r="K204" s="25"/>
      <c r="L204" s="50">
        <f t="shared" si="20"/>
        <v>144581405.71798912</v>
      </c>
    </row>
    <row r="205" spans="1:13" ht="14.45" hidden="1" customHeight="1" outlineLevel="1">
      <c r="A205" s="33">
        <v>196</v>
      </c>
      <c r="B205" s="40">
        <v>48092</v>
      </c>
      <c r="C205" s="29"/>
      <c r="D205" s="55">
        <f t="shared" si="22"/>
        <v>903633.78573743196</v>
      </c>
      <c r="E205" s="29"/>
      <c r="F205" s="29">
        <f t="shared" si="21"/>
        <v>2221764.2990271896</v>
      </c>
      <c r="G205" s="25">
        <f t="shared" si="25"/>
        <v>-1318130.5132897575</v>
      </c>
      <c r="H205" s="25">
        <f t="shared" si="24"/>
        <v>181696307.10189724</v>
      </c>
      <c r="I205" s="25">
        <f t="shared" si="23"/>
        <v>276807.4077908491</v>
      </c>
      <c r="J205" s="25">
        <f t="shared" si="19"/>
        <v>-38156224.491398446</v>
      </c>
      <c r="K205" s="25"/>
      <c r="L205" s="50">
        <f t="shared" si="20"/>
        <v>143540082.61249021</v>
      </c>
    </row>
    <row r="206" spans="1:13" ht="14.45" hidden="1" customHeight="1" outlineLevel="1">
      <c r="A206" s="33">
        <v>197</v>
      </c>
      <c r="B206" s="40">
        <v>48122</v>
      </c>
      <c r="C206" s="29"/>
      <c r="D206" s="55">
        <f t="shared" si="22"/>
        <v>897125.51632806368</v>
      </c>
      <c r="E206" s="29"/>
      <c r="F206" s="29">
        <f t="shared" si="21"/>
        <v>2221764.2990271896</v>
      </c>
      <c r="G206" s="25">
        <f t="shared" si="25"/>
        <v>-1324638.7826991258</v>
      </c>
      <c r="H206" s="25">
        <f t="shared" si="24"/>
        <v>180371668.3191981</v>
      </c>
      <c r="I206" s="25">
        <f t="shared" si="23"/>
        <v>278174.14436681638</v>
      </c>
      <c r="J206" s="25">
        <f t="shared" si="19"/>
        <v>-37878050.347031631</v>
      </c>
      <c r="K206" s="25"/>
      <c r="L206" s="50">
        <f t="shared" si="20"/>
        <v>142493617.9741579</v>
      </c>
    </row>
    <row r="207" spans="1:13" ht="14.45" hidden="1" customHeight="1" outlineLevel="1">
      <c r="A207" s="33">
        <v>198</v>
      </c>
      <c r="B207" s="40">
        <v>48153</v>
      </c>
      <c r="C207" s="29"/>
      <c r="D207" s="55">
        <f t="shared" si="22"/>
        <v>890585.11233848683</v>
      </c>
      <c r="E207" s="29"/>
      <c r="F207" s="29">
        <f t="shared" si="21"/>
        <v>2221764.2990271896</v>
      </c>
      <c r="G207" s="25">
        <f t="shared" si="25"/>
        <v>-1331179.1866887028</v>
      </c>
      <c r="H207" s="25">
        <f t="shared" si="24"/>
        <v>179040489.13250941</v>
      </c>
      <c r="I207" s="25">
        <f t="shared" si="23"/>
        <v>279547.62920462759</v>
      </c>
      <c r="J207" s="25">
        <f t="shared" si="19"/>
        <v>-37598502.717827</v>
      </c>
      <c r="K207" s="25"/>
      <c r="L207" s="50">
        <f t="shared" si="20"/>
        <v>141441986.41667384</v>
      </c>
    </row>
    <row r="208" spans="1:13" ht="14.45" hidden="1" customHeight="1" outlineLevel="1">
      <c r="A208" s="33">
        <v>199</v>
      </c>
      <c r="B208" s="40">
        <v>48183</v>
      </c>
      <c r="C208" s="29"/>
      <c r="D208" s="55">
        <f t="shared" si="22"/>
        <v>884012.41510421142</v>
      </c>
      <c r="E208" s="29"/>
      <c r="F208" s="29">
        <f t="shared" si="21"/>
        <v>2221764.2990271896</v>
      </c>
      <c r="G208" s="25">
        <f t="shared" si="25"/>
        <v>-1337751.8839229783</v>
      </c>
      <c r="H208" s="25">
        <f t="shared" si="24"/>
        <v>177702737.24858645</v>
      </c>
      <c r="I208" s="25">
        <f t="shared" si="23"/>
        <v>280927.89562382543</v>
      </c>
      <c r="J208" s="25">
        <f t="shared" si="19"/>
        <v>-37317574.822203174</v>
      </c>
      <c r="K208" s="25"/>
      <c r="L208" s="50">
        <f t="shared" si="20"/>
        <v>140385162.42837468</v>
      </c>
    </row>
    <row r="209" spans="1:13" ht="14.45" hidden="1" customHeight="1" outlineLevel="1">
      <c r="A209" s="33">
        <v>200</v>
      </c>
      <c r="B209" s="40">
        <v>48214</v>
      </c>
      <c r="C209" s="29"/>
      <c r="D209" s="55">
        <f t="shared" si="22"/>
        <v>877407.26517734164</v>
      </c>
      <c r="E209" s="29"/>
      <c r="F209" s="29">
        <f t="shared" si="21"/>
        <v>2221764.2990271896</v>
      </c>
      <c r="G209" s="25">
        <f t="shared" si="25"/>
        <v>-1344357.033849848</v>
      </c>
      <c r="H209" s="25">
        <f t="shared" si="24"/>
        <v>176358380.21473661</v>
      </c>
      <c r="I209" s="25">
        <f t="shared" si="23"/>
        <v>282314.97710846807</v>
      </c>
      <c r="J209" s="25">
        <f t="shared" si="19"/>
        <v>-37035259.845094703</v>
      </c>
      <c r="K209" s="25"/>
      <c r="L209" s="50">
        <f t="shared" si="20"/>
        <v>139323120.37163329</v>
      </c>
    </row>
    <row r="210" spans="1:13" ht="14.45" hidden="1" customHeight="1" outlineLevel="1">
      <c r="A210" s="33">
        <v>201</v>
      </c>
      <c r="B210" s="40">
        <v>48245</v>
      </c>
      <c r="C210" s="29"/>
      <c r="D210" s="55">
        <f t="shared" si="22"/>
        <v>870769.50232270802</v>
      </c>
      <c r="E210" s="29"/>
      <c r="F210" s="29">
        <f t="shared" si="21"/>
        <v>2221764.2990271896</v>
      </c>
      <c r="G210" s="25">
        <f t="shared" si="25"/>
        <v>-1350994.7967044816</v>
      </c>
      <c r="H210" s="25">
        <f t="shared" si="24"/>
        <v>175007385.41803214</v>
      </c>
      <c r="I210" s="25">
        <f t="shared" si="23"/>
        <v>283708.90730794112</v>
      </c>
      <c r="J210" s="25">
        <f t="shared" si="19"/>
        <v>-36751550.937786765</v>
      </c>
      <c r="K210" s="25"/>
      <c r="L210" s="50">
        <f t="shared" si="20"/>
        <v>138255834.48223674</v>
      </c>
    </row>
    <row r="211" spans="1:13" ht="14.45" hidden="1" customHeight="1" outlineLevel="1">
      <c r="A211" s="33">
        <v>202</v>
      </c>
      <c r="B211" s="40">
        <v>48274</v>
      </c>
      <c r="C211" s="29"/>
      <c r="D211" s="55">
        <f t="shared" si="22"/>
        <v>864098.96551397955</v>
      </c>
      <c r="E211" s="29"/>
      <c r="F211" s="29">
        <f t="shared" si="21"/>
        <v>2221764.2990271896</v>
      </c>
      <c r="G211" s="25">
        <f t="shared" si="25"/>
        <v>-1357665.3335132101</v>
      </c>
      <c r="H211" s="25">
        <f t="shared" si="24"/>
        <v>173649720.08451894</v>
      </c>
      <c r="I211" s="25">
        <f t="shared" si="23"/>
        <v>285109.72003777412</v>
      </c>
      <c r="J211" s="25">
        <f t="shared" si="19"/>
        <v>-36466441.217748992</v>
      </c>
      <c r="K211" s="25"/>
      <c r="L211" s="50">
        <f t="shared" si="20"/>
        <v>137183278.8687613</v>
      </c>
    </row>
    <row r="212" spans="1:13" ht="14.45" hidden="1" customHeight="1" outlineLevel="1">
      <c r="A212" s="33">
        <v>203</v>
      </c>
      <c r="B212" s="40">
        <v>48305</v>
      </c>
      <c r="C212" s="29"/>
      <c r="D212" s="55">
        <f t="shared" si="22"/>
        <v>857395.49292975804</v>
      </c>
      <c r="E212" s="29"/>
      <c r="F212" s="29">
        <f t="shared" si="21"/>
        <v>2221764.2990271896</v>
      </c>
      <c r="G212" s="25">
        <f t="shared" si="25"/>
        <v>-1364368.8060974316</v>
      </c>
      <c r="H212" s="25">
        <f t="shared" si="24"/>
        <v>172285351.27842152</v>
      </c>
      <c r="I212" s="25">
        <f t="shared" si="23"/>
        <v>286517.4492804606</v>
      </c>
      <c r="J212" s="25">
        <f t="shared" ref="J212:J275" si="26">I212+J211</f>
        <v>-36179923.768468529</v>
      </c>
      <c r="K212" s="25"/>
      <c r="L212" s="50">
        <f t="shared" si="20"/>
        <v>136105427.51194432</v>
      </c>
    </row>
    <row r="213" spans="1:13" ht="14.45" hidden="1" customHeight="1" outlineLevel="1">
      <c r="A213" s="33">
        <v>204</v>
      </c>
      <c r="B213" s="40">
        <v>48335</v>
      </c>
      <c r="C213" s="29"/>
      <c r="D213" s="55">
        <f t="shared" si="22"/>
        <v>850658.92194965191</v>
      </c>
      <c r="E213" s="29"/>
      <c r="F213" s="29">
        <f t="shared" si="21"/>
        <v>2221764.2990271896</v>
      </c>
      <c r="G213" s="25">
        <f t="shared" si="25"/>
        <v>-1371105.3770775376</v>
      </c>
      <c r="H213" s="25">
        <f t="shared" si="24"/>
        <v>170914245.90134397</v>
      </c>
      <c r="I213" s="25">
        <f t="shared" si="23"/>
        <v>287932.12918628287</v>
      </c>
      <c r="J213" s="25">
        <f t="shared" si="26"/>
        <v>-35891991.639282249</v>
      </c>
      <c r="K213" s="25"/>
      <c r="L213" s="50">
        <f t="shared" si="20"/>
        <v>135022254.26405308</v>
      </c>
      <c r="M213" s="41"/>
    </row>
    <row r="214" spans="1:13" ht="14.45" hidden="1" customHeight="1" outlineLevel="1">
      <c r="A214" s="33">
        <v>205</v>
      </c>
      <c r="B214" s="40">
        <v>48366</v>
      </c>
      <c r="C214" s="29"/>
      <c r="D214" s="55">
        <f t="shared" si="22"/>
        <v>843889.08915033168</v>
      </c>
      <c r="E214" s="29"/>
      <c r="F214" s="29">
        <f t="shared" si="21"/>
        <v>2221764.2990271896</v>
      </c>
      <c r="G214" s="25">
        <f t="shared" si="25"/>
        <v>-1377875.2098768579</v>
      </c>
      <c r="H214" s="25">
        <f t="shared" si="24"/>
        <v>169536370.69146711</v>
      </c>
      <c r="I214" s="25">
        <f t="shared" si="23"/>
        <v>289353.79407414014</v>
      </c>
      <c r="J214" s="25">
        <f t="shared" si="26"/>
        <v>-35602637.845208108</v>
      </c>
      <c r="K214" s="25"/>
      <c r="L214" s="50">
        <f t="shared" si="20"/>
        <v>133933732.84825036</v>
      </c>
    </row>
    <row r="215" spans="1:13" ht="14.45" hidden="1" customHeight="1" outlineLevel="1">
      <c r="A215" s="33">
        <v>206</v>
      </c>
      <c r="B215" s="40">
        <v>48396</v>
      </c>
      <c r="C215" s="29"/>
      <c r="D215" s="55">
        <f t="shared" si="22"/>
        <v>837085.83030156465</v>
      </c>
      <c r="E215" s="29"/>
      <c r="F215" s="29">
        <f t="shared" si="21"/>
        <v>2221764.2990271896</v>
      </c>
      <c r="G215" s="25">
        <f t="shared" si="25"/>
        <v>-1384678.468725625</v>
      </c>
      <c r="H215" s="25">
        <f t="shared" si="24"/>
        <v>168151692.22274148</v>
      </c>
      <c r="I215" s="25">
        <f t="shared" si="23"/>
        <v>290782.47843238123</v>
      </c>
      <c r="J215" s="25">
        <f t="shared" si="26"/>
        <v>-35311855.366775729</v>
      </c>
      <c r="K215" s="25"/>
      <c r="L215" s="50">
        <f t="shared" si="20"/>
        <v>132839836.85795711</v>
      </c>
    </row>
    <row r="216" spans="1:13" ht="14.45" hidden="1" customHeight="1" outlineLevel="1">
      <c r="A216" s="33">
        <v>207</v>
      </c>
      <c r="B216" s="40">
        <v>48427</v>
      </c>
      <c r="C216" s="29"/>
      <c r="D216" s="55">
        <f t="shared" si="22"/>
        <v>830248.98036223184</v>
      </c>
      <c r="E216" s="29"/>
      <c r="F216" s="29">
        <f t="shared" si="21"/>
        <v>2221764.2990271896</v>
      </c>
      <c r="G216" s="25">
        <f t="shared" si="25"/>
        <v>-1391515.3186649578</v>
      </c>
      <c r="H216" s="25">
        <f t="shared" si="24"/>
        <v>166760176.90407652</v>
      </c>
      <c r="I216" s="25">
        <f t="shared" si="23"/>
        <v>292218.21691964113</v>
      </c>
      <c r="J216" s="25">
        <f t="shared" si="26"/>
        <v>-35019637.149856091</v>
      </c>
      <c r="K216" s="25"/>
      <c r="L216" s="50">
        <f t="shared" si="20"/>
        <v>131740539.75621179</v>
      </c>
    </row>
    <row r="217" spans="1:13" ht="14.45" hidden="1" customHeight="1" outlineLevel="1">
      <c r="A217" s="33">
        <v>208</v>
      </c>
      <c r="B217" s="40">
        <v>48458</v>
      </c>
      <c r="C217" s="29"/>
      <c r="D217" s="55">
        <f t="shared" si="22"/>
        <v>823378.37347632356</v>
      </c>
      <c r="E217" s="29"/>
      <c r="F217" s="29">
        <f t="shared" si="21"/>
        <v>2221764.2990271896</v>
      </c>
      <c r="G217" s="25">
        <f t="shared" si="25"/>
        <v>-1398385.9255508659</v>
      </c>
      <c r="H217" s="25">
        <f t="shared" si="24"/>
        <v>165361790.97852564</v>
      </c>
      <c r="I217" s="25">
        <f t="shared" si="23"/>
        <v>293661.04436568182</v>
      </c>
      <c r="J217" s="25">
        <f t="shared" si="26"/>
        <v>-34725976.105490409</v>
      </c>
      <c r="K217" s="25"/>
      <c r="L217" s="50">
        <f t="shared" si="20"/>
        <v>130635814.8750266</v>
      </c>
    </row>
    <row r="218" spans="1:13" ht="14.45" hidden="1" customHeight="1" outlineLevel="1">
      <c r="A218" s="33">
        <v>209</v>
      </c>
      <c r="B218" s="40">
        <v>48488</v>
      </c>
      <c r="C218" s="29"/>
      <c r="D218" s="55">
        <f t="shared" si="22"/>
        <v>816473.84296891617</v>
      </c>
      <c r="E218" s="29"/>
      <c r="F218" s="29">
        <f t="shared" si="21"/>
        <v>2221764.2990271896</v>
      </c>
      <c r="G218" s="25">
        <f t="shared" si="25"/>
        <v>-1405290.4560582736</v>
      </c>
      <c r="H218" s="25">
        <f t="shared" si="24"/>
        <v>163956500.52246737</v>
      </c>
      <c r="I218" s="25">
        <f t="shared" si="23"/>
        <v>295110.99577223742</v>
      </c>
      <c r="J218" s="25">
        <f t="shared" si="26"/>
        <v>-34430865.109718174</v>
      </c>
      <c r="K218" s="25"/>
      <c r="L218" s="50">
        <f t="shared" si="20"/>
        <v>129525635.41474056</v>
      </c>
    </row>
    <row r="219" spans="1:13" ht="14.45" hidden="1" customHeight="1" outlineLevel="1">
      <c r="A219" s="33">
        <v>210</v>
      </c>
      <c r="B219" s="40">
        <v>48519</v>
      </c>
      <c r="C219" s="29"/>
      <c r="D219" s="55">
        <f t="shared" si="22"/>
        <v>809535.22134212847</v>
      </c>
      <c r="E219" s="29"/>
      <c r="F219" s="29">
        <f t="shared" si="21"/>
        <v>2221764.2990271896</v>
      </c>
      <c r="G219" s="25">
        <f t="shared" si="25"/>
        <v>-1412229.0776850611</v>
      </c>
      <c r="H219" s="25">
        <f t="shared" si="24"/>
        <v>162544271.44478232</v>
      </c>
      <c r="I219" s="25">
        <f t="shared" si="23"/>
        <v>296568.10631386284</v>
      </c>
      <c r="J219" s="25">
        <f t="shared" si="26"/>
        <v>-34134297.003404312</v>
      </c>
      <c r="K219" s="25"/>
      <c r="L219" s="50">
        <f t="shared" si="20"/>
        <v>128409974.44336936</v>
      </c>
    </row>
    <row r="220" spans="1:13" ht="14.45" hidden="1" customHeight="1" outlineLevel="1">
      <c r="A220" s="33">
        <v>211</v>
      </c>
      <c r="B220" s="40">
        <v>48549</v>
      </c>
      <c r="C220" s="29"/>
      <c r="D220" s="55">
        <f t="shared" si="22"/>
        <v>802562.34027105838</v>
      </c>
      <c r="E220" s="29"/>
      <c r="F220" s="29">
        <f t="shared" si="21"/>
        <v>2221764.2990271896</v>
      </c>
      <c r="G220" s="25">
        <f t="shared" si="25"/>
        <v>-1419201.9587561311</v>
      </c>
      <c r="H220" s="25">
        <f t="shared" si="24"/>
        <v>161125069.4860262</v>
      </c>
      <c r="I220" s="25">
        <f t="shared" si="23"/>
        <v>298032.41133878753</v>
      </c>
      <c r="J220" s="25">
        <f t="shared" si="26"/>
        <v>-33836264.592065528</v>
      </c>
      <c r="K220" s="25"/>
      <c r="L220" s="50">
        <f t="shared" si="20"/>
        <v>127288804.89595202</v>
      </c>
    </row>
    <row r="221" spans="1:13" ht="14.45" hidden="1" customHeight="1" outlineLevel="1">
      <c r="A221" s="33">
        <v>212</v>
      </c>
      <c r="B221" s="40">
        <v>48580</v>
      </c>
      <c r="C221" s="29"/>
      <c r="D221" s="55">
        <f t="shared" si="22"/>
        <v>795555.03059970005</v>
      </c>
      <c r="E221" s="29"/>
      <c r="F221" s="29">
        <f t="shared" si="21"/>
        <v>2221764.2990271896</v>
      </c>
      <c r="G221" s="25">
        <f t="shared" si="25"/>
        <v>-1426209.2684274896</v>
      </c>
      <c r="H221" s="25">
        <f t="shared" si="24"/>
        <v>159698860.21759871</v>
      </c>
      <c r="I221" s="25">
        <f t="shared" si="23"/>
        <v>299503.94636977278</v>
      </c>
      <c r="J221" s="25">
        <f t="shared" si="26"/>
        <v>-33536760.645695753</v>
      </c>
      <c r="K221" s="25"/>
      <c r="L221" s="50">
        <f t="shared" si="20"/>
        <v>126162099.57389429</v>
      </c>
    </row>
    <row r="222" spans="1:13" ht="14.45" hidden="1" customHeight="1" outlineLevel="1">
      <c r="A222" s="33">
        <v>213</v>
      </c>
      <c r="B222" s="40">
        <v>48611</v>
      </c>
      <c r="C222" s="29"/>
      <c r="D222" s="55">
        <f t="shared" si="22"/>
        <v>788513.12233683921</v>
      </c>
      <c r="E222" s="29"/>
      <c r="F222" s="29">
        <f t="shared" si="21"/>
        <v>2221764.2990271896</v>
      </c>
      <c r="G222" s="25">
        <f t="shared" si="25"/>
        <v>-1433251.1766903503</v>
      </c>
      <c r="H222" s="25">
        <f t="shared" si="24"/>
        <v>158265609.04090837</v>
      </c>
      <c r="I222" s="25">
        <f t="shared" si="23"/>
        <v>300982.74710497353</v>
      </c>
      <c r="J222" s="25">
        <f t="shared" si="26"/>
        <v>-33235777.898590781</v>
      </c>
      <c r="K222" s="25"/>
      <c r="L222" s="50">
        <f t="shared" si="20"/>
        <v>125029831.14430891</v>
      </c>
    </row>
    <row r="223" spans="1:13" ht="14.45" hidden="1" customHeight="1" outlineLevel="1">
      <c r="A223" s="33">
        <v>214</v>
      </c>
      <c r="B223" s="40">
        <v>48639</v>
      </c>
      <c r="C223" s="29"/>
      <c r="D223" s="55">
        <f t="shared" si="22"/>
        <v>781436.44465193059</v>
      </c>
      <c r="E223" s="29"/>
      <c r="F223" s="29">
        <f t="shared" si="21"/>
        <v>2221764.2990271896</v>
      </c>
      <c r="G223" s="25">
        <f t="shared" si="25"/>
        <v>-1440327.854375259</v>
      </c>
      <c r="H223" s="25">
        <f t="shared" si="24"/>
        <v>156825281.18653309</v>
      </c>
      <c r="I223" s="25">
        <f t="shared" si="23"/>
        <v>302468.8494188044</v>
      </c>
      <c r="J223" s="25">
        <f t="shared" si="26"/>
        <v>-32933309.049171977</v>
      </c>
      <c r="K223" s="25"/>
      <c r="L223" s="50">
        <f t="shared" si="20"/>
        <v>123891972.13935246</v>
      </c>
    </row>
    <row r="224" spans="1:13" ht="14.45" hidden="1" customHeight="1" outlineLevel="1">
      <c r="A224" s="33">
        <v>215</v>
      </c>
      <c r="B224" s="40">
        <v>48670</v>
      </c>
      <c r="C224" s="29"/>
      <c r="D224" s="55">
        <f t="shared" si="22"/>
        <v>774324.8258709528</v>
      </c>
      <c r="E224" s="29"/>
      <c r="F224" s="29">
        <f t="shared" si="21"/>
        <v>2221764.2990271896</v>
      </c>
      <c r="G224" s="25">
        <f t="shared" si="25"/>
        <v>-1447439.4731562368</v>
      </c>
      <c r="H224" s="25">
        <f t="shared" si="24"/>
        <v>155377841.71337685</v>
      </c>
      <c r="I224" s="25">
        <f t="shared" si="23"/>
        <v>303962.28936280974</v>
      </c>
      <c r="J224" s="25">
        <f t="shared" si="26"/>
        <v>-32629346.759809166</v>
      </c>
      <c r="K224" s="25"/>
      <c r="L224" s="50">
        <f t="shared" si="20"/>
        <v>122748494.95555903</v>
      </c>
    </row>
    <row r="225" spans="1:13" ht="14.45" hidden="1" customHeight="1" outlineLevel="1">
      <c r="A225" s="33">
        <v>216</v>
      </c>
      <c r="B225" s="40">
        <v>48700</v>
      </c>
      <c r="C225" s="29"/>
      <c r="D225" s="55">
        <f t="shared" si="22"/>
        <v>767178.09347224387</v>
      </c>
      <c r="E225" s="29"/>
      <c r="F225" s="29">
        <f t="shared" si="21"/>
        <v>2221764.2990271896</v>
      </c>
      <c r="G225" s="25">
        <f t="shared" si="25"/>
        <v>-1454586.2055549459</v>
      </c>
      <c r="H225" s="25">
        <f t="shared" si="24"/>
        <v>153923255.50782192</v>
      </c>
      <c r="I225" s="25">
        <f t="shared" si="23"/>
        <v>305463.10316653864</v>
      </c>
      <c r="J225" s="25">
        <f t="shared" si="26"/>
        <v>-32323883.656642627</v>
      </c>
      <c r="K225" s="25"/>
      <c r="L225" s="50">
        <f t="shared" si="20"/>
        <v>121599371.85317062</v>
      </c>
      <c r="M225" s="41"/>
    </row>
    <row r="226" spans="1:13" ht="14.45" hidden="1" customHeight="1" outlineLevel="1">
      <c r="A226" s="33">
        <v>217</v>
      </c>
      <c r="B226" s="40">
        <v>48731</v>
      </c>
      <c r="C226" s="29"/>
      <c r="D226" s="55">
        <f t="shared" si="22"/>
        <v>759996.07408231625</v>
      </c>
      <c r="E226" s="29"/>
      <c r="F226" s="29">
        <f t="shared" si="21"/>
        <v>2221764.2990271896</v>
      </c>
      <c r="G226" s="25">
        <f t="shared" si="25"/>
        <v>-1461768.2249448732</v>
      </c>
      <c r="H226" s="25">
        <f t="shared" si="24"/>
        <v>152461487.28287706</v>
      </c>
      <c r="I226" s="25">
        <f t="shared" si="23"/>
        <v>306971.32723842334</v>
      </c>
      <c r="J226" s="25">
        <f t="shared" si="26"/>
        <v>-32016912.329404205</v>
      </c>
      <c r="K226" s="25"/>
      <c r="L226" s="50">
        <f t="shared" si="20"/>
        <v>120444574.95546417</v>
      </c>
    </row>
    <row r="227" spans="1:13" ht="14.45" hidden="1" customHeight="1" outlineLevel="1">
      <c r="A227" s="33">
        <v>218</v>
      </c>
      <c r="B227" s="40">
        <v>48761</v>
      </c>
      <c r="C227" s="29"/>
      <c r="D227" s="55">
        <f t="shared" si="22"/>
        <v>752778.59347165097</v>
      </c>
      <c r="E227" s="29"/>
      <c r="F227" s="29">
        <f t="shared" si="21"/>
        <v>2221764.2990271896</v>
      </c>
      <c r="G227" s="25">
        <f t="shared" si="25"/>
        <v>-1468985.7055555386</v>
      </c>
      <c r="H227" s="25">
        <f t="shared" si="24"/>
        <v>150992501.57732153</v>
      </c>
      <c r="I227" s="25">
        <f t="shared" si="23"/>
        <v>308486.99816666311</v>
      </c>
      <c r="J227" s="25">
        <f t="shared" si="26"/>
        <v>-31708425.331237543</v>
      </c>
      <c r="K227" s="25"/>
      <c r="L227" s="50">
        <f t="shared" si="20"/>
        <v>119284076.24807529</v>
      </c>
    </row>
    <row r="228" spans="1:13" ht="14.45" hidden="1" customHeight="1" outlineLevel="1">
      <c r="A228" s="33">
        <v>219</v>
      </c>
      <c r="B228" s="40">
        <v>48792</v>
      </c>
      <c r="C228" s="29"/>
      <c r="D228" s="55">
        <f t="shared" si="22"/>
        <v>745525.47655047046</v>
      </c>
      <c r="E228" s="29"/>
      <c r="F228" s="29">
        <f t="shared" si="21"/>
        <v>2221764.2990271896</v>
      </c>
      <c r="G228" s="25">
        <f t="shared" si="25"/>
        <v>-1476238.822476719</v>
      </c>
      <c r="H228" s="25">
        <f t="shared" si="24"/>
        <v>149516262.75484481</v>
      </c>
      <c r="I228" s="25">
        <f t="shared" si="23"/>
        <v>310010.15272011101</v>
      </c>
      <c r="J228" s="25">
        <f t="shared" si="26"/>
        <v>-31398415.178517431</v>
      </c>
      <c r="K228" s="25"/>
      <c r="L228" s="50">
        <f t="shared" si="20"/>
        <v>118117847.57831869</v>
      </c>
    </row>
    <row r="229" spans="1:13" ht="14.45" hidden="1" customHeight="1" outlineLevel="1">
      <c r="A229" s="33">
        <v>220</v>
      </c>
      <c r="B229" s="40">
        <v>48823</v>
      </c>
      <c r="C229" s="29"/>
      <c r="D229" s="55">
        <f t="shared" si="22"/>
        <v>738236.54736449174</v>
      </c>
      <c r="E229" s="29"/>
      <c r="F229" s="29">
        <f t="shared" si="21"/>
        <v>2221764.2990271896</v>
      </c>
      <c r="G229" s="25">
        <f t="shared" si="25"/>
        <v>-1483527.7516626979</v>
      </c>
      <c r="H229" s="25">
        <f t="shared" si="24"/>
        <v>148032735.00318211</v>
      </c>
      <c r="I229" s="25">
        <f t="shared" si="23"/>
        <v>311540.82784916653</v>
      </c>
      <c r="J229" s="25">
        <f t="shared" si="26"/>
        <v>-31086874.350668263</v>
      </c>
      <c r="K229" s="25"/>
      <c r="L229" s="50">
        <f t="shared" si="20"/>
        <v>116945860.65450515</v>
      </c>
    </row>
    <row r="230" spans="1:13" ht="14.45" hidden="1" customHeight="1" outlineLevel="1">
      <c r="A230" s="33">
        <v>221</v>
      </c>
      <c r="B230" s="40">
        <v>48853</v>
      </c>
      <c r="C230" s="29"/>
      <c r="D230" s="55">
        <f t="shared" si="22"/>
        <v>730911.62909065711</v>
      </c>
      <c r="E230" s="29"/>
      <c r="F230" s="29">
        <f t="shared" si="21"/>
        <v>2221764.2990271896</v>
      </c>
      <c r="G230" s="25">
        <f t="shared" si="25"/>
        <v>-1490852.6699365326</v>
      </c>
      <c r="H230" s="25">
        <f t="shared" si="24"/>
        <v>146541882.33324558</v>
      </c>
      <c r="I230" s="25">
        <f t="shared" si="23"/>
        <v>313079.06068667182</v>
      </c>
      <c r="J230" s="25">
        <f t="shared" si="26"/>
        <v>-30773795.289981592</v>
      </c>
      <c r="K230" s="25"/>
      <c r="L230" s="50">
        <f t="shared" si="20"/>
        <v>115768087.04525529</v>
      </c>
    </row>
    <row r="231" spans="1:13" ht="14.45" hidden="1" customHeight="1" outlineLevel="1">
      <c r="A231" s="33">
        <v>222</v>
      </c>
      <c r="B231" s="40">
        <v>48884</v>
      </c>
      <c r="C231" s="29"/>
      <c r="D231" s="55">
        <f t="shared" si="22"/>
        <v>723550.54403284553</v>
      </c>
      <c r="E231" s="29"/>
      <c r="F231" s="29">
        <f t="shared" si="21"/>
        <v>2221764.2990271896</v>
      </c>
      <c r="G231" s="25">
        <f t="shared" si="25"/>
        <v>-1498213.754994344</v>
      </c>
      <c r="H231" s="25">
        <f t="shared" si="24"/>
        <v>145043668.57825124</v>
      </c>
      <c r="I231" s="25">
        <f t="shared" si="23"/>
        <v>314624.88854881225</v>
      </c>
      <c r="J231" s="25">
        <f t="shared" si="26"/>
        <v>-30459170.401432779</v>
      </c>
      <c r="K231" s="25"/>
      <c r="L231" s="50">
        <f t="shared" si="20"/>
        <v>114584498.17880976</v>
      </c>
    </row>
    <row r="232" spans="1:13" ht="14.45" hidden="1" customHeight="1" outlineLevel="1">
      <c r="A232" s="33">
        <v>223</v>
      </c>
      <c r="B232" s="40">
        <v>48914</v>
      </c>
      <c r="C232" s="29"/>
      <c r="D232" s="55">
        <f t="shared" si="22"/>
        <v>716153.11361756094</v>
      </c>
      <c r="E232" s="29"/>
      <c r="F232" s="29">
        <f t="shared" si="21"/>
        <v>2221764.2990271896</v>
      </c>
      <c r="G232" s="25">
        <f t="shared" si="25"/>
        <v>-1505611.1854096288</v>
      </c>
      <c r="H232" s="25">
        <f t="shared" si="24"/>
        <v>143538057.39284161</v>
      </c>
      <c r="I232" s="25">
        <f t="shared" si="23"/>
        <v>316178.34893602203</v>
      </c>
      <c r="J232" s="25">
        <f t="shared" si="26"/>
        <v>-30142992.052496757</v>
      </c>
      <c r="K232" s="25"/>
      <c r="L232" s="50">
        <f t="shared" si="20"/>
        <v>113395065.34233615</v>
      </c>
    </row>
    <row r="233" spans="1:13" ht="14.45" hidden="1" customHeight="1" outlineLevel="1">
      <c r="A233" s="33">
        <v>224</v>
      </c>
      <c r="B233" s="40">
        <v>48945</v>
      </c>
      <c r="C233" s="29"/>
      <c r="D233" s="55">
        <f t="shared" si="22"/>
        <v>708719.15838960081</v>
      </c>
      <c r="E233" s="29"/>
      <c r="F233" s="29">
        <f t="shared" si="21"/>
        <v>2221764.2990271896</v>
      </c>
      <c r="G233" s="25">
        <f t="shared" si="25"/>
        <v>-1513045.1406375887</v>
      </c>
      <c r="H233" s="25">
        <f t="shared" si="24"/>
        <v>142025012.25220403</v>
      </c>
      <c r="I233" s="25">
        <f t="shared" si="23"/>
        <v>317739.47953389364</v>
      </c>
      <c r="J233" s="25">
        <f t="shared" si="26"/>
        <v>-29825252.572962865</v>
      </c>
      <c r="K233" s="25"/>
      <c r="L233" s="50">
        <f t="shared" si="20"/>
        <v>112199759.68123245</v>
      </c>
    </row>
    <row r="234" spans="1:13" ht="14.45" hidden="1" customHeight="1" outlineLevel="1">
      <c r="A234" s="33">
        <v>225</v>
      </c>
      <c r="B234" s="40">
        <v>48976</v>
      </c>
      <c r="C234" s="29"/>
      <c r="D234" s="55">
        <f t="shared" si="22"/>
        <v>701248.49800770276</v>
      </c>
      <c r="E234" s="29"/>
      <c r="F234" s="29">
        <f t="shared" si="21"/>
        <v>2221764.2990271896</v>
      </c>
      <c r="G234" s="25">
        <f t="shared" si="25"/>
        <v>-1520515.801019487</v>
      </c>
      <c r="H234" s="25">
        <f t="shared" si="24"/>
        <v>140504496.45118454</v>
      </c>
      <c r="I234" s="25">
        <f t="shared" si="23"/>
        <v>319308.31821409223</v>
      </c>
      <c r="J234" s="25">
        <f t="shared" si="26"/>
        <v>-29505944.254748773</v>
      </c>
      <c r="K234" s="25"/>
      <c r="L234" s="50">
        <f t="shared" si="20"/>
        <v>110998552.19842705</v>
      </c>
    </row>
    <row r="235" spans="1:13" ht="14.45" hidden="1" customHeight="1" outlineLevel="1">
      <c r="A235" s="33">
        <v>226</v>
      </c>
      <c r="B235" s="40">
        <v>49004</v>
      </c>
      <c r="C235" s="29"/>
      <c r="D235" s="55">
        <f t="shared" si="22"/>
        <v>693740.951240169</v>
      </c>
      <c r="E235" s="29"/>
      <c r="F235" s="29">
        <f t="shared" si="21"/>
        <v>2221764.2990271896</v>
      </c>
      <c r="G235" s="25">
        <f t="shared" si="25"/>
        <v>-1528023.3477870207</v>
      </c>
      <c r="H235" s="25">
        <f t="shared" si="24"/>
        <v>138976473.10339752</v>
      </c>
      <c r="I235" s="25">
        <f t="shared" si="23"/>
        <v>320884.90303527436</v>
      </c>
      <c r="J235" s="25">
        <f t="shared" si="26"/>
        <v>-29185059.351713497</v>
      </c>
      <c r="K235" s="25"/>
      <c r="L235" s="50">
        <f t="shared" si="20"/>
        <v>109791413.75367531</v>
      </c>
    </row>
    <row r="236" spans="1:13" ht="14.45" hidden="1" customHeight="1" outlineLevel="1">
      <c r="A236" s="33">
        <v>227</v>
      </c>
      <c r="B236" s="40">
        <v>49035</v>
      </c>
      <c r="C236" s="29"/>
      <c r="D236" s="55">
        <f t="shared" si="22"/>
        <v>686196.33596047061</v>
      </c>
      <c r="E236" s="29"/>
      <c r="F236" s="29">
        <f t="shared" si="21"/>
        <v>2221764.2990271896</v>
      </c>
      <c r="G236" s="25">
        <f t="shared" si="25"/>
        <v>-1535567.963066719</v>
      </c>
      <c r="H236" s="25">
        <f t="shared" si="24"/>
        <v>137440905.14033079</v>
      </c>
      <c r="I236" s="25">
        <f t="shared" si="23"/>
        <v>322469.27224401099</v>
      </c>
      <c r="J236" s="25">
        <f t="shared" si="26"/>
        <v>-28862590.079469487</v>
      </c>
      <c r="K236" s="25"/>
      <c r="L236" s="50">
        <f t="shared" si="20"/>
        <v>108578315.06285261</v>
      </c>
    </row>
    <row r="237" spans="1:13" ht="14.45" hidden="1" customHeight="1" outlineLevel="1">
      <c r="A237" s="33">
        <v>228</v>
      </c>
      <c r="B237" s="40">
        <v>49065</v>
      </c>
      <c r="C237" s="29"/>
      <c r="D237" s="55">
        <f t="shared" si="22"/>
        <v>678614.46914282872</v>
      </c>
      <c r="E237" s="29"/>
      <c r="F237" s="29">
        <f t="shared" si="21"/>
        <v>2221764.2990271896</v>
      </c>
      <c r="G237" s="25">
        <f t="shared" si="25"/>
        <v>-1543149.829884361</v>
      </c>
      <c r="H237" s="25">
        <f t="shared" si="24"/>
        <v>135897755.31044644</v>
      </c>
      <c r="I237" s="25">
        <f t="shared" si="23"/>
        <v>324061.46427571581</v>
      </c>
      <c r="J237" s="25">
        <f t="shared" si="26"/>
        <v>-28538528.615193773</v>
      </c>
      <c r="K237" s="25"/>
      <c r="L237" s="50">
        <f t="shared" si="20"/>
        <v>107359226.69724396</v>
      </c>
      <c r="M237" s="41"/>
    </row>
    <row r="238" spans="1:13" ht="14.45" hidden="1" customHeight="1" outlineLevel="1">
      <c r="A238" s="33">
        <v>229</v>
      </c>
      <c r="B238" s="40">
        <v>49096</v>
      </c>
      <c r="C238" s="29"/>
      <c r="D238" s="55">
        <f t="shared" si="22"/>
        <v>670995.16685777472</v>
      </c>
      <c r="E238" s="29"/>
      <c r="F238" s="29">
        <f t="shared" si="21"/>
        <v>2221764.2990271896</v>
      </c>
      <c r="G238" s="25">
        <f t="shared" si="25"/>
        <v>-1550769.1321694148</v>
      </c>
      <c r="H238" s="25">
        <f t="shared" si="24"/>
        <v>134346986.17827702</v>
      </c>
      <c r="I238" s="25">
        <f t="shared" si="23"/>
        <v>325661.51775557711</v>
      </c>
      <c r="J238" s="25">
        <f t="shared" si="26"/>
        <v>-28212867.097438198</v>
      </c>
      <c r="K238" s="25"/>
      <c r="L238" s="50">
        <f t="shared" si="20"/>
        <v>106134119.08283012</v>
      </c>
    </row>
    <row r="239" spans="1:13" ht="14.45" hidden="1" customHeight="1" outlineLevel="1">
      <c r="A239" s="33">
        <v>230</v>
      </c>
      <c r="B239" s="40">
        <v>49126</v>
      </c>
      <c r="C239" s="29"/>
      <c r="D239" s="55">
        <f t="shared" si="22"/>
        <v>663338.24426768813</v>
      </c>
      <c r="E239" s="29"/>
      <c r="F239" s="29">
        <f t="shared" si="21"/>
        <v>2221764.2990271896</v>
      </c>
      <c r="G239" s="25">
        <f t="shared" si="25"/>
        <v>-1558426.0547595015</v>
      </c>
      <c r="H239" s="25">
        <f t="shared" si="24"/>
        <v>132788560.12351751</v>
      </c>
      <c r="I239" s="25">
        <f t="shared" si="23"/>
        <v>327269.47149949532</v>
      </c>
      <c r="J239" s="25">
        <f t="shared" si="26"/>
        <v>-27885597.625938702</v>
      </c>
      <c r="K239" s="25"/>
      <c r="L239" s="50">
        <f t="shared" ref="L239:L302" si="27">K239+C239+D239+I239-E239-F239+L238</f>
        <v>104902962.49957012</v>
      </c>
    </row>
    <row r="240" spans="1:13" ht="14.45" hidden="1" customHeight="1" outlineLevel="1">
      <c r="A240" s="33">
        <v>231</v>
      </c>
      <c r="B240" s="40">
        <v>49157</v>
      </c>
      <c r="C240" s="29"/>
      <c r="D240" s="55">
        <f t="shared" si="22"/>
        <v>655643.51562231313</v>
      </c>
      <c r="E240" s="29"/>
      <c r="F240" s="29">
        <f t="shared" si="21"/>
        <v>2221764.2990271896</v>
      </c>
      <c r="G240" s="25">
        <f t="shared" si="25"/>
        <v>-1566120.7834048765</v>
      </c>
      <c r="H240" s="25">
        <f t="shared" si="24"/>
        <v>131222439.34011264</v>
      </c>
      <c r="I240" s="25">
        <f t="shared" si="23"/>
        <v>328885.36451502406</v>
      </c>
      <c r="J240" s="25">
        <f t="shared" si="26"/>
        <v>-27556712.261423677</v>
      </c>
      <c r="K240" s="25"/>
      <c r="L240" s="50">
        <f t="shared" si="27"/>
        <v>103665727.08068027</v>
      </c>
    </row>
    <row r="241" spans="1:13" ht="14.45" hidden="1" customHeight="1" outlineLevel="1">
      <c r="A241" s="33">
        <v>232</v>
      </c>
      <c r="B241" s="40">
        <v>49188</v>
      </c>
      <c r="C241" s="29"/>
      <c r="D241" s="55">
        <f t="shared" si="22"/>
        <v>647910.79425425164</v>
      </c>
      <c r="E241" s="29"/>
      <c r="F241" s="29">
        <f t="shared" si="21"/>
        <v>2221764.2990271896</v>
      </c>
      <c r="G241" s="25">
        <f t="shared" si="25"/>
        <v>-1573853.5047729379</v>
      </c>
      <c r="H241" s="25">
        <f t="shared" si="24"/>
        <v>129648585.83533971</v>
      </c>
      <c r="I241" s="25">
        <f t="shared" si="23"/>
        <v>330509.23600231693</v>
      </c>
      <c r="J241" s="25">
        <f t="shared" si="26"/>
        <v>-27226203.025421359</v>
      </c>
      <c r="K241" s="25"/>
      <c r="L241" s="50">
        <f t="shared" si="27"/>
        <v>102422382.81190965</v>
      </c>
    </row>
    <row r="242" spans="1:13" ht="14.45" hidden="1" customHeight="1" outlineLevel="1">
      <c r="A242" s="33">
        <v>233</v>
      </c>
      <c r="B242" s="40">
        <v>49218</v>
      </c>
      <c r="C242" s="29"/>
      <c r="D242" s="55">
        <f t="shared" si="22"/>
        <v>640139.89257443522</v>
      </c>
      <c r="E242" s="29"/>
      <c r="F242" s="29">
        <f t="shared" si="21"/>
        <v>2221764.2990271896</v>
      </c>
      <c r="G242" s="25">
        <f t="shared" si="25"/>
        <v>-1581624.4064527545</v>
      </c>
      <c r="H242" s="25">
        <f t="shared" si="24"/>
        <v>128066961.42888695</v>
      </c>
      <c r="I242" s="25">
        <f t="shared" si="23"/>
        <v>332141.12535507843</v>
      </c>
      <c r="J242" s="25">
        <f t="shared" si="26"/>
        <v>-26894061.900066279</v>
      </c>
      <c r="K242" s="25"/>
      <c r="L242" s="50">
        <f t="shared" si="27"/>
        <v>101172899.53081197</v>
      </c>
    </row>
    <row r="243" spans="1:13" ht="14.45" hidden="1" customHeight="1" outlineLevel="1">
      <c r="A243" s="33">
        <v>234</v>
      </c>
      <c r="B243" s="40">
        <v>49249</v>
      </c>
      <c r="C243" s="29"/>
      <c r="D243" s="55">
        <f t="shared" si="22"/>
        <v>632330.62206757476</v>
      </c>
      <c r="E243" s="29"/>
      <c r="F243" s="29">
        <f t="shared" si="21"/>
        <v>2221764.2990271896</v>
      </c>
      <c r="G243" s="25">
        <f t="shared" si="25"/>
        <v>-1589433.6769596147</v>
      </c>
      <c r="H243" s="25">
        <f t="shared" si="24"/>
        <v>126477527.75192733</v>
      </c>
      <c r="I243" s="25">
        <f t="shared" si="23"/>
        <v>333781.07216151909</v>
      </c>
      <c r="J243" s="25">
        <f t="shared" si="26"/>
        <v>-26560280.827904761</v>
      </c>
      <c r="K243" s="25"/>
      <c r="L243" s="50">
        <f t="shared" si="27"/>
        <v>99917246.926013872</v>
      </c>
    </row>
    <row r="244" spans="1:13" ht="14.45" hidden="1" customHeight="1" outlineLevel="1">
      <c r="A244" s="33">
        <v>235</v>
      </c>
      <c r="B244" s="40">
        <v>49279</v>
      </c>
      <c r="C244" s="29"/>
      <c r="D244" s="55">
        <f t="shared" si="22"/>
        <v>624482.79328758665</v>
      </c>
      <c r="E244" s="29"/>
      <c r="F244" s="29">
        <f t="shared" si="21"/>
        <v>2221764.2990271896</v>
      </c>
      <c r="G244" s="25">
        <f t="shared" si="25"/>
        <v>-1597281.505739603</v>
      </c>
      <c r="H244" s="25">
        <f t="shared" si="24"/>
        <v>124880246.24618773</v>
      </c>
      <c r="I244" s="25">
        <f t="shared" si="23"/>
        <v>335429.11620531662</v>
      </c>
      <c r="J244" s="25">
        <f t="shared" si="26"/>
        <v>-26224851.711699445</v>
      </c>
      <c r="K244" s="25"/>
      <c r="L244" s="50">
        <f t="shared" si="27"/>
        <v>98655394.536479592</v>
      </c>
    </row>
    <row r="245" spans="1:13" ht="14.45" hidden="1" customHeight="1" outlineLevel="1">
      <c r="A245" s="33">
        <v>236</v>
      </c>
      <c r="B245" s="40">
        <v>49310</v>
      </c>
      <c r="C245" s="29"/>
      <c r="D245" s="55">
        <f t="shared" si="22"/>
        <v>616596.21585299738</v>
      </c>
      <c r="E245" s="29"/>
      <c r="F245" s="29">
        <f t="shared" si="21"/>
        <v>2221764.2990271896</v>
      </c>
      <c r="G245" s="25">
        <f t="shared" si="25"/>
        <v>-1605168.0831741923</v>
      </c>
      <c r="H245" s="25">
        <f t="shared" si="24"/>
        <v>123275078.16301353</v>
      </c>
      <c r="I245" s="25">
        <f t="shared" si="23"/>
        <v>337085.29746658041</v>
      </c>
      <c r="J245" s="25">
        <f t="shared" si="26"/>
        <v>-25887766.414232865</v>
      </c>
      <c r="K245" s="25"/>
      <c r="L245" s="50">
        <f t="shared" si="27"/>
        <v>97387311.750771984</v>
      </c>
    </row>
    <row r="246" spans="1:13" ht="14.45" hidden="1" customHeight="1" outlineLevel="1">
      <c r="A246" s="33">
        <v>237</v>
      </c>
      <c r="B246" s="40">
        <v>49341</v>
      </c>
      <c r="C246" s="29"/>
      <c r="D246" s="55">
        <f t="shared" si="22"/>
        <v>608670.69844232488</v>
      </c>
      <c r="E246" s="29"/>
      <c r="F246" s="29">
        <f t="shared" si="21"/>
        <v>2221764.2990271896</v>
      </c>
      <c r="G246" s="25">
        <f t="shared" si="25"/>
        <v>-1613093.6005848646</v>
      </c>
      <c r="H246" s="25">
        <f t="shared" si="24"/>
        <v>121661984.56242867</v>
      </c>
      <c r="I246" s="25">
        <f t="shared" si="23"/>
        <v>338749.65612282156</v>
      </c>
      <c r="J246" s="25">
        <f t="shared" si="26"/>
        <v>-25549016.758110043</v>
      </c>
      <c r="K246" s="25"/>
      <c r="L246" s="50">
        <f t="shared" si="27"/>
        <v>96112967.806309938</v>
      </c>
    </row>
    <row r="247" spans="1:13" ht="14.45" hidden="1" customHeight="1" outlineLevel="1">
      <c r="A247" s="33">
        <v>238</v>
      </c>
      <c r="B247" s="40">
        <v>49369</v>
      </c>
      <c r="C247" s="29"/>
      <c r="D247" s="55">
        <f t="shared" si="22"/>
        <v>600706.04878943705</v>
      </c>
      <c r="E247" s="29"/>
      <c r="F247" s="29">
        <f t="shared" si="21"/>
        <v>2221764.2990271896</v>
      </c>
      <c r="G247" s="25">
        <f t="shared" si="25"/>
        <v>-1621058.2502377527</v>
      </c>
      <c r="H247" s="25">
        <f t="shared" si="24"/>
        <v>120040926.31219092</v>
      </c>
      <c r="I247" s="25">
        <f t="shared" si="23"/>
        <v>340422.23254992807</v>
      </c>
      <c r="J247" s="25">
        <f t="shared" si="26"/>
        <v>-25208594.525560115</v>
      </c>
      <c r="K247" s="25"/>
      <c r="L247" s="50">
        <f t="shared" si="27"/>
        <v>94832331.788622111</v>
      </c>
    </row>
    <row r="248" spans="1:13" ht="14.45" hidden="1" customHeight="1" outlineLevel="1">
      <c r="A248" s="33">
        <v>239</v>
      </c>
      <c r="B248" s="40">
        <v>49400</v>
      </c>
      <c r="C248" s="29"/>
      <c r="D248" s="55">
        <f t="shared" si="22"/>
        <v>592702.07367888815</v>
      </c>
      <c r="E248" s="29"/>
      <c r="F248" s="29">
        <f t="shared" si="21"/>
        <v>2221764.2990271896</v>
      </c>
      <c r="G248" s="25">
        <f t="shared" si="25"/>
        <v>-1629062.2253483015</v>
      </c>
      <c r="H248" s="25">
        <f t="shared" si="24"/>
        <v>118411864.08684261</v>
      </c>
      <c r="I248" s="25">
        <f t="shared" si="23"/>
        <v>342103.0673231433</v>
      </c>
      <c r="J248" s="25">
        <f t="shared" si="26"/>
        <v>-24866491.45823697</v>
      </c>
      <c r="K248" s="25"/>
      <c r="L248" s="50">
        <f t="shared" si="27"/>
        <v>93545372.630596951</v>
      </c>
    </row>
    <row r="249" spans="1:13" ht="14.45" hidden="1" customHeight="1" outlineLevel="1">
      <c r="A249" s="33">
        <v>240</v>
      </c>
      <c r="B249" s="40">
        <v>49430</v>
      </c>
      <c r="C249" s="29"/>
      <c r="D249" s="55">
        <f t="shared" si="22"/>
        <v>584658.57894123089</v>
      </c>
      <c r="E249" s="29"/>
      <c r="F249" s="29">
        <f t="shared" si="21"/>
        <v>2221764.2990271896</v>
      </c>
      <c r="G249" s="25">
        <f t="shared" si="25"/>
        <v>-1637105.7200859587</v>
      </c>
      <c r="H249" s="25">
        <f t="shared" si="24"/>
        <v>116774758.36675665</v>
      </c>
      <c r="I249" s="25">
        <f t="shared" si="23"/>
        <v>343792.20121805131</v>
      </c>
      <c r="J249" s="25">
        <f t="shared" si="26"/>
        <v>-24522699.25701892</v>
      </c>
      <c r="K249" s="25"/>
      <c r="L249" s="50">
        <f t="shared" si="27"/>
        <v>92252059.111729041</v>
      </c>
      <c r="M249" s="41"/>
    </row>
    <row r="250" spans="1:13" ht="14.45" hidden="1" customHeight="1" outlineLevel="1">
      <c r="A250" s="33">
        <v>241</v>
      </c>
      <c r="B250" s="40">
        <v>49461</v>
      </c>
      <c r="C250" s="29"/>
      <c r="D250" s="55">
        <f t="shared" si="22"/>
        <v>576575.3694483065</v>
      </c>
      <c r="E250" s="29"/>
      <c r="F250" s="29">
        <f t="shared" si="21"/>
        <v>2221764.2990271896</v>
      </c>
      <c r="G250" s="25">
        <f t="shared" si="25"/>
        <v>-1645188.9295788831</v>
      </c>
      <c r="H250" s="25">
        <f t="shared" si="24"/>
        <v>115129569.43717776</v>
      </c>
      <c r="I250" s="25">
        <f t="shared" si="23"/>
        <v>345489.67521156545</v>
      </c>
      <c r="J250" s="25">
        <f t="shared" si="26"/>
        <v>-24177209.581807356</v>
      </c>
      <c r="K250" s="25"/>
      <c r="L250" s="50">
        <f t="shared" si="27"/>
        <v>90952359.857361719</v>
      </c>
    </row>
    <row r="251" spans="1:13" ht="14.45" hidden="1" customHeight="1" outlineLevel="1">
      <c r="A251" s="33">
        <v>242</v>
      </c>
      <c r="B251" s="40">
        <v>49491</v>
      </c>
      <c r="C251" s="29"/>
      <c r="D251" s="55">
        <f t="shared" si="22"/>
        <v>568452.24910851067</v>
      </c>
      <c r="E251" s="29"/>
      <c r="F251" s="29">
        <f t="shared" si="21"/>
        <v>2221764.2990271896</v>
      </c>
      <c r="G251" s="25">
        <f t="shared" si="25"/>
        <v>-1653312.0499186791</v>
      </c>
      <c r="H251" s="25">
        <f t="shared" si="24"/>
        <v>113476257.38725908</v>
      </c>
      <c r="I251" s="25">
        <f t="shared" si="23"/>
        <v>347195.53048292256</v>
      </c>
      <c r="J251" s="25">
        <f t="shared" si="26"/>
        <v>-23830014.051324435</v>
      </c>
      <c r="K251" s="25"/>
      <c r="L251" s="50">
        <f t="shared" si="27"/>
        <v>89646243.337925956</v>
      </c>
    </row>
    <row r="252" spans="1:13" ht="14.45" hidden="1" customHeight="1" outlineLevel="1">
      <c r="A252" s="33">
        <v>243</v>
      </c>
      <c r="B252" s="40">
        <v>49522</v>
      </c>
      <c r="C252" s="29"/>
      <c r="D252" s="55">
        <f t="shared" si="22"/>
        <v>560289.0208620372</v>
      </c>
      <c r="E252" s="29"/>
      <c r="F252" s="29">
        <f t="shared" si="21"/>
        <v>2221764.2990271896</v>
      </c>
      <c r="G252" s="25">
        <f t="shared" si="25"/>
        <v>-1661475.2781651523</v>
      </c>
      <c r="H252" s="25">
        <f t="shared" si="24"/>
        <v>111814782.10909393</v>
      </c>
      <c r="I252" s="25">
        <f t="shared" si="23"/>
        <v>348909.80841468199</v>
      </c>
      <c r="J252" s="25">
        <f t="shared" si="26"/>
        <v>-23481104.242909752</v>
      </c>
      <c r="K252" s="25"/>
      <c r="L252" s="50">
        <f t="shared" si="27"/>
        <v>88333677.868175492</v>
      </c>
    </row>
    <row r="253" spans="1:13" ht="14.45" hidden="1" customHeight="1" outlineLevel="1">
      <c r="A253" s="33">
        <v>244</v>
      </c>
      <c r="B253" s="40">
        <v>49553</v>
      </c>
      <c r="C253" s="29"/>
      <c r="D253" s="55">
        <f t="shared" si="22"/>
        <v>552085.4866760968</v>
      </c>
      <c r="E253" s="29"/>
      <c r="F253" s="29">
        <f t="shared" si="21"/>
        <v>2221764.2990271896</v>
      </c>
      <c r="G253" s="25">
        <f t="shared" si="25"/>
        <v>-1669678.8123510927</v>
      </c>
      <c r="H253" s="25">
        <f t="shared" si="24"/>
        <v>110145103.29674284</v>
      </c>
      <c r="I253" s="25">
        <f t="shared" si="23"/>
        <v>350632.55059372948</v>
      </c>
      <c r="J253" s="25">
        <f t="shared" si="26"/>
        <v>-23130471.692316022</v>
      </c>
      <c r="K253" s="25"/>
      <c r="L253" s="50">
        <f t="shared" si="27"/>
        <v>87014631.606418133</v>
      </c>
    </row>
    <row r="254" spans="1:13" ht="14.45" hidden="1" customHeight="1" outlineLevel="1">
      <c r="A254" s="33">
        <v>245</v>
      </c>
      <c r="B254" s="40">
        <v>49583</v>
      </c>
      <c r="C254" s="29"/>
      <c r="D254" s="55">
        <f t="shared" si="22"/>
        <v>543841.44754011324</v>
      </c>
      <c r="E254" s="29"/>
      <c r="F254" s="29">
        <f t="shared" si="21"/>
        <v>2221764.2990271896</v>
      </c>
      <c r="G254" s="25">
        <f t="shared" si="25"/>
        <v>-1677922.8514870764</v>
      </c>
      <c r="H254" s="25">
        <f t="shared" si="24"/>
        <v>108467180.44525577</v>
      </c>
      <c r="I254" s="25">
        <f t="shared" si="23"/>
        <v>352363.798812286</v>
      </c>
      <c r="J254" s="25">
        <f t="shared" si="26"/>
        <v>-22778107.893503737</v>
      </c>
      <c r="K254" s="25"/>
      <c r="L254" s="50">
        <f t="shared" si="27"/>
        <v>85689072.553743348</v>
      </c>
    </row>
    <row r="255" spans="1:13" ht="14.45" hidden="1" customHeight="1" outlineLevel="1">
      <c r="A255" s="33">
        <v>246</v>
      </c>
      <c r="B255" s="40">
        <v>49614</v>
      </c>
      <c r="C255" s="29"/>
      <c r="D255" s="55">
        <f t="shared" si="22"/>
        <v>535556.70346089592</v>
      </c>
      <c r="E255" s="29"/>
      <c r="F255" s="29">
        <f t="shared" si="21"/>
        <v>2221764.2990271896</v>
      </c>
      <c r="G255" s="25">
        <f t="shared" si="25"/>
        <v>-1686207.5955662937</v>
      </c>
      <c r="H255" s="25">
        <f t="shared" si="24"/>
        <v>106780972.84968948</v>
      </c>
      <c r="I255" s="25">
        <f t="shared" si="23"/>
        <v>354103.59506892168</v>
      </c>
      <c r="J255" s="25">
        <f t="shared" si="26"/>
        <v>-22424004.298434816</v>
      </c>
      <c r="K255" s="25"/>
      <c r="L255" s="50">
        <f t="shared" si="27"/>
        <v>84356968.553245977</v>
      </c>
    </row>
    <row r="256" spans="1:13" ht="14.45" hidden="1" customHeight="1" outlineLevel="1">
      <c r="A256" s="33">
        <v>247</v>
      </c>
      <c r="B256" s="40">
        <v>49644</v>
      </c>
      <c r="C256" s="29"/>
      <c r="D256" s="55">
        <f t="shared" si="22"/>
        <v>527231.05345778726</v>
      </c>
      <c r="E256" s="29"/>
      <c r="F256" s="29">
        <f t="shared" si="21"/>
        <v>2221764.2990271896</v>
      </c>
      <c r="G256" s="25">
        <f t="shared" si="25"/>
        <v>-1694533.2455694024</v>
      </c>
      <c r="H256" s="25">
        <f t="shared" si="24"/>
        <v>105086439.60412008</v>
      </c>
      <c r="I256" s="25">
        <f t="shared" si="23"/>
        <v>355851.98156957451</v>
      </c>
      <c r="J256" s="25">
        <f t="shared" si="26"/>
        <v>-22068152.316865243</v>
      </c>
      <c r="K256" s="25"/>
      <c r="L256" s="50">
        <f t="shared" si="27"/>
        <v>83018287.289246142</v>
      </c>
    </row>
    <row r="257" spans="1:13" ht="14.45" hidden="1" customHeight="1" outlineLevel="1">
      <c r="A257" s="33">
        <v>248</v>
      </c>
      <c r="B257" s="40">
        <v>49675</v>
      </c>
      <c r="C257" s="29"/>
      <c r="D257" s="55">
        <f t="shared" si="22"/>
        <v>518864.29555778834</v>
      </c>
      <c r="E257" s="29"/>
      <c r="F257" s="29">
        <f t="shared" si="21"/>
        <v>2221764.2990271896</v>
      </c>
      <c r="G257" s="25">
        <f t="shared" si="25"/>
        <v>-1702900.0034694013</v>
      </c>
      <c r="H257" s="25">
        <f t="shared" si="24"/>
        <v>103383539.60065067</v>
      </c>
      <c r="I257" s="25">
        <f t="shared" si="23"/>
        <v>357609.00072857423</v>
      </c>
      <c r="J257" s="25">
        <f t="shared" si="26"/>
        <v>-21710543.316136669</v>
      </c>
      <c r="K257" s="25"/>
      <c r="L257" s="50">
        <f t="shared" si="27"/>
        <v>81672996.286505312</v>
      </c>
    </row>
    <row r="258" spans="1:13" ht="14.45" hidden="1" customHeight="1" outlineLevel="1">
      <c r="A258" s="33">
        <v>249</v>
      </c>
      <c r="B258" s="40">
        <v>49706</v>
      </c>
      <c r="C258" s="29"/>
      <c r="D258" s="55">
        <f t="shared" si="22"/>
        <v>510456.22679065814</v>
      </c>
      <c r="E258" s="29"/>
      <c r="F258" s="29">
        <f t="shared" si="21"/>
        <v>2221764.2990271896</v>
      </c>
      <c r="G258" s="25">
        <f t="shared" si="25"/>
        <v>-1711308.0722365314</v>
      </c>
      <c r="H258" s="25">
        <f t="shared" si="24"/>
        <v>101672231.52841413</v>
      </c>
      <c r="I258" s="25">
        <f t="shared" si="23"/>
        <v>359374.69516967156</v>
      </c>
      <c r="J258" s="25">
        <f t="shared" si="26"/>
        <v>-21351168.620966997</v>
      </c>
      <c r="K258" s="25"/>
      <c r="L258" s="50">
        <f t="shared" si="27"/>
        <v>80321062.909438446</v>
      </c>
    </row>
    <row r="259" spans="1:13" ht="14.45" hidden="1" customHeight="1" outlineLevel="1">
      <c r="A259" s="33">
        <v>250</v>
      </c>
      <c r="B259" s="40">
        <v>49735</v>
      </c>
      <c r="C259" s="29"/>
      <c r="D259" s="55">
        <f t="shared" si="22"/>
        <v>502006.64318399027</v>
      </c>
      <c r="E259" s="29"/>
      <c r="F259" s="29">
        <f t="shared" si="21"/>
        <v>2221764.2990271896</v>
      </c>
      <c r="G259" s="25">
        <f t="shared" si="25"/>
        <v>-1719757.6558431992</v>
      </c>
      <c r="H259" s="25">
        <f t="shared" si="24"/>
        <v>99952473.872570932</v>
      </c>
      <c r="I259" s="25">
        <f t="shared" si="23"/>
        <v>361149.10772707185</v>
      </c>
      <c r="J259" s="25">
        <f t="shared" si="26"/>
        <v>-20990019.513239924</v>
      </c>
      <c r="K259" s="25"/>
      <c r="L259" s="50">
        <f t="shared" si="27"/>
        <v>78962454.361322314</v>
      </c>
    </row>
    <row r="260" spans="1:13" ht="14.45" hidden="1" customHeight="1" outlineLevel="1">
      <c r="A260" s="33">
        <v>251</v>
      </c>
      <c r="B260" s="40">
        <v>49766</v>
      </c>
      <c r="C260" s="29"/>
      <c r="D260" s="55">
        <f t="shared" si="22"/>
        <v>493515.33975826442</v>
      </c>
      <c r="E260" s="29"/>
      <c r="F260" s="29">
        <f t="shared" si="21"/>
        <v>2221764.2990271896</v>
      </c>
      <c r="G260" s="25">
        <f t="shared" si="25"/>
        <v>-1728248.9592689252</v>
      </c>
      <c r="H260" s="25">
        <f t="shared" si="24"/>
        <v>98224224.913302004</v>
      </c>
      <c r="I260" s="25">
        <f t="shared" si="23"/>
        <v>362932.28144647431</v>
      </c>
      <c r="J260" s="25">
        <f t="shared" si="26"/>
        <v>-20627087.231793448</v>
      </c>
      <c r="K260" s="25"/>
      <c r="L260" s="50">
        <f t="shared" si="27"/>
        <v>77597137.683499858</v>
      </c>
    </row>
    <row r="261" spans="1:13" ht="14.45" hidden="1" customHeight="1" outlineLevel="1">
      <c r="A261" s="33">
        <v>252</v>
      </c>
      <c r="B261" s="40">
        <v>49796</v>
      </c>
      <c r="C261" s="29"/>
      <c r="D261" s="55">
        <f t="shared" si="22"/>
        <v>484982.1105218741</v>
      </c>
      <c r="E261" s="29"/>
      <c r="F261" s="29">
        <f t="shared" si="21"/>
        <v>2221764.2990271896</v>
      </c>
      <c r="G261" s="25">
        <f t="shared" si="25"/>
        <v>-1736782.1885053155</v>
      </c>
      <c r="H261" s="25">
        <f t="shared" si="24"/>
        <v>96487442.724796683</v>
      </c>
      <c r="I261" s="25">
        <f t="shared" si="23"/>
        <v>364724.25958611624</v>
      </c>
      <c r="J261" s="25">
        <f t="shared" si="26"/>
        <v>-20262362.972207334</v>
      </c>
      <c r="K261" s="25"/>
      <c r="L261" s="50">
        <f t="shared" si="27"/>
        <v>76225079.754580662</v>
      </c>
      <c r="M261" s="41"/>
    </row>
    <row r="262" spans="1:13" ht="14.45" hidden="1" customHeight="1" outlineLevel="1">
      <c r="A262" s="33">
        <v>253</v>
      </c>
      <c r="B262" s="40">
        <v>49827</v>
      </c>
      <c r="C262" s="29"/>
      <c r="D262" s="55">
        <f t="shared" si="22"/>
        <v>476406.74846612912</v>
      </c>
      <c r="E262" s="29"/>
      <c r="F262" s="29">
        <f t="shared" si="21"/>
        <v>2221764.2990271896</v>
      </c>
      <c r="G262" s="25">
        <f t="shared" si="25"/>
        <v>-1745357.5505610604</v>
      </c>
      <c r="H262" s="25">
        <f t="shared" si="24"/>
        <v>94742085.174235627</v>
      </c>
      <c r="I262" s="25">
        <f t="shared" si="23"/>
        <v>366525.08561782265</v>
      </c>
      <c r="J262" s="25">
        <f t="shared" si="26"/>
        <v>-19895837.886589512</v>
      </c>
      <c r="K262" s="25"/>
      <c r="L262" s="50">
        <f t="shared" si="27"/>
        <v>74846247.289637417</v>
      </c>
    </row>
    <row r="263" spans="1:13" ht="14.45" hidden="1" customHeight="1" outlineLevel="1">
      <c r="A263" s="33">
        <v>254</v>
      </c>
      <c r="B263" s="40">
        <v>49857</v>
      </c>
      <c r="C263" s="29"/>
      <c r="D263" s="55">
        <f t="shared" si="22"/>
        <v>467789.04556023382</v>
      </c>
      <c r="E263" s="29"/>
      <c r="F263" s="29">
        <f t="shared" ref="F263:F310" si="28">$D$3</f>
        <v>2221764.2990271896</v>
      </c>
      <c r="G263" s="25">
        <f t="shared" si="25"/>
        <v>-1753975.2534669559</v>
      </c>
      <c r="H263" s="25">
        <f t="shared" si="24"/>
        <v>92988109.920768678</v>
      </c>
      <c r="I263" s="25">
        <f t="shared" si="23"/>
        <v>368334.80322806071</v>
      </c>
      <c r="J263" s="25">
        <f t="shared" si="26"/>
        <v>-19527503.083361451</v>
      </c>
      <c r="K263" s="25"/>
      <c r="L263" s="50">
        <f t="shared" si="27"/>
        <v>73460606.839398518</v>
      </c>
    </row>
    <row r="264" spans="1:13" ht="14.45" hidden="1" customHeight="1" outlineLevel="1">
      <c r="A264" s="33">
        <v>255</v>
      </c>
      <c r="B264" s="40">
        <v>49888</v>
      </c>
      <c r="C264" s="29"/>
      <c r="D264" s="55">
        <f t="shared" ref="D264:D310" si="29">L263*$D$2</f>
        <v>459128.79274624068</v>
      </c>
      <c r="E264" s="29"/>
      <c r="F264" s="29">
        <f t="shared" si="28"/>
        <v>2221764.2990271896</v>
      </c>
      <c r="G264" s="25">
        <f t="shared" si="25"/>
        <v>-1762635.5062809489</v>
      </c>
      <c r="H264" s="25">
        <f t="shared" si="24"/>
        <v>91225474.414487734</v>
      </c>
      <c r="I264" s="25">
        <f t="shared" ref="I264:I309" si="30">-G264*0.21</f>
        <v>370153.45631899923</v>
      </c>
      <c r="J264" s="25">
        <f t="shared" si="26"/>
        <v>-19157349.62704245</v>
      </c>
      <c r="K264" s="25"/>
      <c r="L264" s="50">
        <f t="shared" si="27"/>
        <v>72068124.789436564</v>
      </c>
    </row>
    <row r="265" spans="1:13" ht="14.45" hidden="1" customHeight="1" outlineLevel="1">
      <c r="A265" s="33">
        <v>256</v>
      </c>
      <c r="B265" s="40">
        <v>49919</v>
      </c>
      <c r="C265" s="29"/>
      <c r="D265" s="55">
        <f t="shared" si="29"/>
        <v>450425.77993397851</v>
      </c>
      <c r="E265" s="29"/>
      <c r="F265" s="29">
        <f t="shared" si="28"/>
        <v>2221764.2990271896</v>
      </c>
      <c r="G265" s="25">
        <f t="shared" si="25"/>
        <v>-1771338.519093211</v>
      </c>
      <c r="H265" s="25">
        <f t="shared" si="24"/>
        <v>89454135.895394519</v>
      </c>
      <c r="I265" s="25">
        <f t="shared" si="30"/>
        <v>371981.08900957432</v>
      </c>
      <c r="J265" s="25">
        <f t="shared" si="26"/>
        <v>-18785368.538032874</v>
      </c>
      <c r="K265" s="25"/>
      <c r="L265" s="50">
        <f t="shared" si="27"/>
        <v>70668767.359352931</v>
      </c>
    </row>
    <row r="266" spans="1:13" ht="14.45" hidden="1" customHeight="1" outlineLevel="1">
      <c r="A266" s="33">
        <v>257</v>
      </c>
      <c r="B266" s="40">
        <v>49949</v>
      </c>
      <c r="C266" s="29"/>
      <c r="D266" s="55">
        <f t="shared" si="29"/>
        <v>441679.79599595576</v>
      </c>
      <c r="E266" s="29"/>
      <c r="F266" s="29">
        <f t="shared" si="28"/>
        <v>2221764.2990271896</v>
      </c>
      <c r="G266" s="25">
        <f t="shared" si="25"/>
        <v>-1780084.5030312338</v>
      </c>
      <c r="H266" s="25">
        <f t="shared" si="24"/>
        <v>87674051.39236328</v>
      </c>
      <c r="I266" s="25">
        <f t="shared" si="30"/>
        <v>373817.74563655909</v>
      </c>
      <c r="J266" s="25">
        <f t="shared" si="26"/>
        <v>-18411550.792396314</v>
      </c>
      <c r="K266" s="25"/>
      <c r="L266" s="50">
        <f t="shared" si="27"/>
        <v>69262500.60195826</v>
      </c>
    </row>
    <row r="267" spans="1:13" ht="14.45" hidden="1" customHeight="1" outlineLevel="1">
      <c r="A267" s="33">
        <v>258</v>
      </c>
      <c r="B267" s="40">
        <v>49980</v>
      </c>
      <c r="C267" s="29"/>
      <c r="D267" s="55">
        <f t="shared" si="29"/>
        <v>432890.62876223907</v>
      </c>
      <c r="E267" s="29"/>
      <c r="F267" s="29">
        <f t="shared" si="28"/>
        <v>2221764.2990271896</v>
      </c>
      <c r="G267" s="25">
        <f t="shared" si="25"/>
        <v>-1788873.6702649505</v>
      </c>
      <c r="H267" s="25">
        <f t="shared" ref="H267:H310" si="31">H266+G267</f>
        <v>85885177.722098336</v>
      </c>
      <c r="I267" s="25">
        <f t="shared" si="30"/>
        <v>375663.4707556396</v>
      </c>
      <c r="J267" s="25">
        <f t="shared" si="26"/>
        <v>-18035887.321640674</v>
      </c>
      <c r="K267" s="25"/>
      <c r="L267" s="50">
        <f t="shared" si="27"/>
        <v>67849290.402448952</v>
      </c>
    </row>
    <row r="268" spans="1:13" ht="14.45" hidden="1" customHeight="1" outlineLevel="1">
      <c r="A268" s="33">
        <v>259</v>
      </c>
      <c r="B268" s="40">
        <v>50010</v>
      </c>
      <c r="C268" s="29"/>
      <c r="D268" s="55">
        <f t="shared" si="29"/>
        <v>424058.06501530594</v>
      </c>
      <c r="E268" s="29"/>
      <c r="F268" s="29">
        <f t="shared" si="28"/>
        <v>2221764.2990271896</v>
      </c>
      <c r="G268" s="25">
        <f t="shared" ref="G268:G310" si="32">C268+D268-E268-F268</f>
        <v>-1797706.2340118836</v>
      </c>
      <c r="H268" s="25">
        <f t="shared" si="31"/>
        <v>84087471.488086447</v>
      </c>
      <c r="I268" s="25">
        <f t="shared" si="30"/>
        <v>377518.30914249556</v>
      </c>
      <c r="J268" s="25">
        <f t="shared" si="26"/>
        <v>-17658369.012498178</v>
      </c>
      <c r="K268" s="25"/>
      <c r="L268" s="50">
        <f t="shared" si="27"/>
        <v>66429102.477579564</v>
      </c>
    </row>
    <row r="269" spans="1:13" ht="14.45" hidden="1" customHeight="1" outlineLevel="1">
      <c r="A269" s="33">
        <v>260</v>
      </c>
      <c r="B269" s="40">
        <v>50041</v>
      </c>
      <c r="C269" s="29"/>
      <c r="D269" s="55">
        <f t="shared" si="29"/>
        <v>415181.89048487222</v>
      </c>
      <c r="E269" s="29"/>
      <c r="F269" s="29">
        <f t="shared" si="28"/>
        <v>2221764.2990271896</v>
      </c>
      <c r="G269" s="25">
        <f t="shared" si="32"/>
        <v>-1806582.4085423173</v>
      </c>
      <c r="H269" s="25">
        <f t="shared" si="31"/>
        <v>82280889.079544127</v>
      </c>
      <c r="I269" s="25">
        <f t="shared" si="30"/>
        <v>379382.30579388666</v>
      </c>
      <c r="J269" s="25">
        <f t="shared" si="26"/>
        <v>-17278986.706704292</v>
      </c>
      <c r="K269" s="25"/>
      <c r="L269" s="50">
        <f t="shared" si="27"/>
        <v>65001902.374831133</v>
      </c>
    </row>
    <row r="270" spans="1:13" ht="14.45" hidden="1" customHeight="1" outlineLevel="1">
      <c r="A270" s="33">
        <v>261</v>
      </c>
      <c r="B270" s="40">
        <v>50072</v>
      </c>
      <c r="C270" s="29"/>
      <c r="D270" s="55">
        <f t="shared" si="29"/>
        <v>406261.88984269457</v>
      </c>
      <c r="E270" s="29"/>
      <c r="F270" s="29">
        <f t="shared" si="28"/>
        <v>2221764.2990271896</v>
      </c>
      <c r="G270" s="25">
        <f t="shared" si="32"/>
        <v>-1815502.409184495</v>
      </c>
      <c r="H270" s="25">
        <f t="shared" si="31"/>
        <v>80465386.670359626</v>
      </c>
      <c r="I270" s="25">
        <f t="shared" si="30"/>
        <v>381255.50592874392</v>
      </c>
      <c r="J270" s="25">
        <f t="shared" si="26"/>
        <v>-16897731.200775549</v>
      </c>
      <c r="K270" s="25"/>
      <c r="L270" s="50">
        <f t="shared" si="27"/>
        <v>63567655.471575379</v>
      </c>
    </row>
    <row r="271" spans="1:13" ht="14.45" hidden="1" customHeight="1" outlineLevel="1">
      <c r="A271" s="33">
        <v>262</v>
      </c>
      <c r="B271" s="40">
        <v>50100</v>
      </c>
      <c r="C271" s="29"/>
      <c r="D271" s="55">
        <f t="shared" si="29"/>
        <v>397297.84669734607</v>
      </c>
      <c r="E271" s="29"/>
      <c r="F271" s="29">
        <f t="shared" si="28"/>
        <v>2221764.2990271896</v>
      </c>
      <c r="G271" s="25">
        <f t="shared" si="32"/>
        <v>-1824466.4523298435</v>
      </c>
      <c r="H271" s="25">
        <f t="shared" si="31"/>
        <v>78640920.218029782</v>
      </c>
      <c r="I271" s="25">
        <f t="shared" si="30"/>
        <v>383137.95498926711</v>
      </c>
      <c r="J271" s="25">
        <f t="shared" si="26"/>
        <v>-16514593.245786281</v>
      </c>
      <c r="K271" s="25"/>
      <c r="L271" s="50">
        <f t="shared" si="27"/>
        <v>62126326.974234805</v>
      </c>
    </row>
    <row r="272" spans="1:13" ht="14.45" hidden="1" customHeight="1" outlineLevel="1">
      <c r="A272" s="33">
        <v>263</v>
      </c>
      <c r="B272" s="40">
        <v>50131</v>
      </c>
      <c r="C272" s="29"/>
      <c r="D272" s="55">
        <f t="shared" si="29"/>
        <v>388289.54358896747</v>
      </c>
      <c r="E272" s="29"/>
      <c r="F272" s="29">
        <f t="shared" si="28"/>
        <v>2221764.2990271896</v>
      </c>
      <c r="G272" s="25">
        <f t="shared" si="32"/>
        <v>-1833474.7554382221</v>
      </c>
      <c r="H272" s="25">
        <f t="shared" si="31"/>
        <v>76807445.462591559</v>
      </c>
      <c r="I272" s="25">
        <f t="shared" si="30"/>
        <v>385029.69864202663</v>
      </c>
      <c r="J272" s="25">
        <f t="shared" si="26"/>
        <v>-16129563.547144255</v>
      </c>
      <c r="K272" s="25"/>
      <c r="L272" s="50">
        <f t="shared" si="27"/>
        <v>60677881.917438611</v>
      </c>
    </row>
    <row r="273" spans="1:13" ht="14.45" hidden="1" customHeight="1" outlineLevel="1">
      <c r="A273" s="33">
        <v>264</v>
      </c>
      <c r="B273" s="40">
        <v>50161</v>
      </c>
      <c r="C273" s="29"/>
      <c r="D273" s="55">
        <f t="shared" si="29"/>
        <v>379236.76198399131</v>
      </c>
      <c r="E273" s="29"/>
      <c r="F273" s="29">
        <f t="shared" si="28"/>
        <v>2221764.2990271896</v>
      </c>
      <c r="G273" s="25">
        <f t="shared" si="32"/>
        <v>-1842527.5370431982</v>
      </c>
      <c r="H273" s="25">
        <f t="shared" si="31"/>
        <v>74964917.92554836</v>
      </c>
      <c r="I273" s="25">
        <f t="shared" si="30"/>
        <v>386930.7827790716</v>
      </c>
      <c r="J273" s="25">
        <f t="shared" si="26"/>
        <v>-15742632.764365183</v>
      </c>
      <c r="K273" s="25"/>
      <c r="L273" s="50">
        <f t="shared" si="27"/>
        <v>59222285.163174488</v>
      </c>
      <c r="M273" s="41"/>
    </row>
    <row r="274" spans="1:13" ht="14.45" hidden="1" customHeight="1" outlineLevel="1">
      <c r="A274" s="33">
        <v>265</v>
      </c>
      <c r="B274" s="40">
        <v>50192</v>
      </c>
      <c r="C274" s="29"/>
      <c r="D274" s="55">
        <f t="shared" si="29"/>
        <v>370139.28226984054</v>
      </c>
      <c r="E274" s="29"/>
      <c r="F274" s="29">
        <f t="shared" si="28"/>
        <v>2221764.2990271896</v>
      </c>
      <c r="G274" s="25">
        <f t="shared" si="32"/>
        <v>-1851625.016757349</v>
      </c>
      <c r="H274" s="25">
        <f t="shared" si="31"/>
        <v>73113292.908791006</v>
      </c>
      <c r="I274" s="25">
        <f t="shared" si="30"/>
        <v>388841.25351904327</v>
      </c>
      <c r="J274" s="25">
        <f t="shared" si="26"/>
        <v>-15353791.51084614</v>
      </c>
      <c r="K274" s="25"/>
      <c r="L274" s="50">
        <f t="shared" si="27"/>
        <v>57759501.399936184</v>
      </c>
    </row>
    <row r="275" spans="1:13" ht="14.45" hidden="1" customHeight="1" outlineLevel="1">
      <c r="A275" s="33">
        <v>266</v>
      </c>
      <c r="B275" s="40">
        <v>50222</v>
      </c>
      <c r="C275" s="29"/>
      <c r="D275" s="55">
        <f t="shared" si="29"/>
        <v>360996.88374960114</v>
      </c>
      <c r="E275" s="29"/>
      <c r="F275" s="29">
        <f t="shared" si="28"/>
        <v>2221764.2990271896</v>
      </c>
      <c r="G275" s="25">
        <f t="shared" si="32"/>
        <v>-1860767.4152775884</v>
      </c>
      <c r="H275" s="25">
        <f t="shared" si="31"/>
        <v>71252525.49351342</v>
      </c>
      <c r="I275" s="25">
        <f t="shared" si="30"/>
        <v>390761.15720829356</v>
      </c>
      <c r="J275" s="25">
        <f t="shared" si="26"/>
        <v>-14963030.353637846</v>
      </c>
      <c r="K275" s="25"/>
      <c r="L275" s="50">
        <f t="shared" si="27"/>
        <v>56289495.141866893</v>
      </c>
    </row>
    <row r="276" spans="1:13" ht="14.45" hidden="1" customHeight="1" outlineLevel="1">
      <c r="A276" s="33">
        <v>267</v>
      </c>
      <c r="B276" s="40">
        <v>50253</v>
      </c>
      <c r="C276" s="29"/>
      <c r="D276" s="55">
        <f t="shared" si="29"/>
        <v>351809.34463666804</v>
      </c>
      <c r="E276" s="29"/>
      <c r="F276" s="29">
        <f t="shared" si="28"/>
        <v>2221764.2990271896</v>
      </c>
      <c r="G276" s="25">
        <f t="shared" si="32"/>
        <v>-1869954.9543905216</v>
      </c>
      <c r="H276" s="25">
        <f t="shared" si="31"/>
        <v>69382570.539122894</v>
      </c>
      <c r="I276" s="25">
        <f t="shared" si="30"/>
        <v>392690.54042200954</v>
      </c>
      <c r="J276" s="25">
        <f t="shared" ref="J276:J310" si="33">I276+J275</f>
        <v>-14570339.813215837</v>
      </c>
      <c r="K276" s="25"/>
      <c r="L276" s="50">
        <f t="shared" si="27"/>
        <v>54812230.727898382</v>
      </c>
    </row>
    <row r="277" spans="1:13" ht="14.45" hidden="1" customHeight="1" outlineLevel="1">
      <c r="A277" s="33">
        <v>268</v>
      </c>
      <c r="B277" s="40">
        <v>50284</v>
      </c>
      <c r="C277" s="29"/>
      <c r="D277" s="55">
        <f t="shared" si="29"/>
        <v>342576.44204936485</v>
      </c>
      <c r="E277" s="29"/>
      <c r="F277" s="29">
        <f t="shared" si="28"/>
        <v>2221764.2990271896</v>
      </c>
      <c r="G277" s="25">
        <f t="shared" si="32"/>
        <v>-1879187.8569778248</v>
      </c>
      <c r="H277" s="25">
        <f t="shared" si="31"/>
        <v>67503382.682145074</v>
      </c>
      <c r="I277" s="25">
        <f t="shared" si="30"/>
        <v>394629.44996534317</v>
      </c>
      <c r="J277" s="25">
        <f t="shared" si="33"/>
        <v>-14175710.363250494</v>
      </c>
      <c r="K277" s="25"/>
      <c r="L277" s="50">
        <f t="shared" si="27"/>
        <v>53327672.320885897</v>
      </c>
    </row>
    <row r="278" spans="1:13" ht="14.45" hidden="1" customHeight="1" outlineLevel="1">
      <c r="A278" s="33">
        <v>269</v>
      </c>
      <c r="B278" s="40">
        <v>50314</v>
      </c>
      <c r="C278" s="29"/>
      <c r="D278" s="55">
        <f t="shared" si="29"/>
        <v>333297.95200553682</v>
      </c>
      <c r="E278" s="29"/>
      <c r="F278" s="29">
        <f t="shared" si="28"/>
        <v>2221764.2990271896</v>
      </c>
      <c r="G278" s="25">
        <f t="shared" si="32"/>
        <v>-1888466.3470216529</v>
      </c>
      <c r="H278" s="25">
        <f t="shared" si="31"/>
        <v>65614916.33512342</v>
      </c>
      <c r="I278" s="25">
        <f t="shared" si="30"/>
        <v>396577.93287454708</v>
      </c>
      <c r="J278" s="25">
        <f t="shared" si="33"/>
        <v>-13779132.430375947</v>
      </c>
      <c r="K278" s="25"/>
      <c r="L278" s="50">
        <f t="shared" si="27"/>
        <v>51835783.906738788</v>
      </c>
    </row>
    <row r="279" spans="1:13" ht="14.45" hidden="1" customHeight="1" outlineLevel="1">
      <c r="A279" s="33">
        <v>270</v>
      </c>
      <c r="B279" s="40">
        <v>50345</v>
      </c>
      <c r="C279" s="29"/>
      <c r="D279" s="55">
        <f t="shared" si="29"/>
        <v>323973.64941711741</v>
      </c>
      <c r="E279" s="29"/>
      <c r="F279" s="29">
        <f t="shared" si="28"/>
        <v>2221764.2990271896</v>
      </c>
      <c r="G279" s="25">
        <f t="shared" si="32"/>
        <v>-1897790.6496100721</v>
      </c>
      <c r="H279" s="25">
        <f t="shared" si="31"/>
        <v>63717125.685513347</v>
      </c>
      <c r="I279" s="25">
        <f t="shared" si="30"/>
        <v>398536.03641811514</v>
      </c>
      <c r="J279" s="25">
        <f t="shared" si="33"/>
        <v>-13380596.393957831</v>
      </c>
      <c r="K279" s="25"/>
      <c r="L279" s="50">
        <f t="shared" si="27"/>
        <v>50336529.293546833</v>
      </c>
    </row>
    <row r="280" spans="1:13" ht="14.45" hidden="1" customHeight="1" outlineLevel="1">
      <c r="A280" s="33">
        <v>271</v>
      </c>
      <c r="B280" s="40">
        <v>50375</v>
      </c>
      <c r="C280" s="29"/>
      <c r="D280" s="55">
        <f t="shared" si="29"/>
        <v>314603.30808466766</v>
      </c>
      <c r="E280" s="29"/>
      <c r="F280" s="29">
        <f t="shared" si="28"/>
        <v>2221764.2990271896</v>
      </c>
      <c r="G280" s="25">
        <f t="shared" si="32"/>
        <v>-1907160.990942522</v>
      </c>
      <c r="H280" s="25">
        <f t="shared" si="31"/>
        <v>61809964.694570825</v>
      </c>
      <c r="I280" s="25">
        <f t="shared" si="30"/>
        <v>400503.80809792958</v>
      </c>
      <c r="J280" s="25">
        <f t="shared" si="33"/>
        <v>-12980092.585859902</v>
      </c>
      <c r="K280" s="25"/>
      <c r="L280" s="50">
        <f t="shared" si="27"/>
        <v>48829872.110702239</v>
      </c>
    </row>
    <row r="281" spans="1:13" ht="14.45" hidden="1" customHeight="1" outlineLevel="1">
      <c r="A281" s="33">
        <v>272</v>
      </c>
      <c r="B281" s="40">
        <v>50406</v>
      </c>
      <c r="C281" s="29"/>
      <c r="D281" s="55">
        <f t="shared" si="29"/>
        <v>305186.70069188898</v>
      </c>
      <c r="E281" s="29"/>
      <c r="F281" s="29">
        <f t="shared" si="28"/>
        <v>2221764.2990271896</v>
      </c>
      <c r="G281" s="25">
        <f t="shared" si="32"/>
        <v>-1916577.5983353006</v>
      </c>
      <c r="H281" s="25">
        <f t="shared" si="31"/>
        <v>59893387.096235521</v>
      </c>
      <c r="I281" s="25">
        <f t="shared" si="30"/>
        <v>402481.29565041309</v>
      </c>
      <c r="J281" s="25">
        <f t="shared" si="33"/>
        <v>-12577611.290209489</v>
      </c>
      <c r="K281" s="25"/>
      <c r="L281" s="50">
        <f t="shared" si="27"/>
        <v>47315775.808017351</v>
      </c>
    </row>
    <row r="282" spans="1:13" ht="14.45" hidden="1" customHeight="1" outlineLevel="1">
      <c r="A282" s="33">
        <v>273</v>
      </c>
      <c r="B282" s="40">
        <v>50437</v>
      </c>
      <c r="C282" s="29"/>
      <c r="D282" s="55">
        <f t="shared" si="29"/>
        <v>295723.59880010842</v>
      </c>
      <c r="E282" s="29"/>
      <c r="F282" s="29">
        <f t="shared" si="28"/>
        <v>2221764.2990271896</v>
      </c>
      <c r="G282" s="25">
        <f t="shared" si="32"/>
        <v>-1926040.7002270813</v>
      </c>
      <c r="H282" s="25">
        <f t="shared" si="31"/>
        <v>57967346.396008439</v>
      </c>
      <c r="I282" s="25">
        <f t="shared" si="30"/>
        <v>404468.54704768705</v>
      </c>
      <c r="J282" s="25">
        <f t="shared" si="33"/>
        <v>-12173142.743161801</v>
      </c>
      <c r="K282" s="25"/>
      <c r="L282" s="50">
        <f t="shared" si="27"/>
        <v>45794203.654837959</v>
      </c>
    </row>
    <row r="283" spans="1:13" ht="14.45" hidden="1" customHeight="1" outlineLevel="1">
      <c r="A283" s="33">
        <v>274</v>
      </c>
      <c r="B283" s="40">
        <v>50465</v>
      </c>
      <c r="C283" s="29"/>
      <c r="D283" s="55">
        <f t="shared" si="29"/>
        <v>286213.77284273721</v>
      </c>
      <c r="E283" s="29"/>
      <c r="F283" s="29">
        <f t="shared" si="28"/>
        <v>2221764.2990271896</v>
      </c>
      <c r="G283" s="25">
        <f t="shared" si="32"/>
        <v>-1935550.5261844525</v>
      </c>
      <c r="H283" s="25">
        <f t="shared" si="31"/>
        <v>56031795.869823985</v>
      </c>
      <c r="I283" s="25">
        <f t="shared" si="30"/>
        <v>406465.61049873498</v>
      </c>
      <c r="J283" s="25">
        <f t="shared" si="33"/>
        <v>-11766677.132663066</v>
      </c>
      <c r="K283" s="25"/>
      <c r="L283" s="50">
        <f t="shared" si="27"/>
        <v>44265118.739152238</v>
      </c>
    </row>
    <row r="284" spans="1:13" ht="14.45" hidden="1" customHeight="1" outlineLevel="1">
      <c r="A284" s="33">
        <v>275</v>
      </c>
      <c r="B284" s="40">
        <v>50496</v>
      </c>
      <c r="C284" s="29"/>
      <c r="D284" s="55">
        <f t="shared" si="29"/>
        <v>276656.99211970146</v>
      </c>
      <c r="E284" s="29"/>
      <c r="F284" s="29">
        <f t="shared" si="28"/>
        <v>2221764.2990271896</v>
      </c>
      <c r="G284" s="25">
        <f t="shared" si="32"/>
        <v>-1945107.306907488</v>
      </c>
      <c r="H284" s="25">
        <f t="shared" si="31"/>
        <v>54086688.562916495</v>
      </c>
      <c r="I284" s="25">
        <f t="shared" si="30"/>
        <v>408472.53445057245</v>
      </c>
      <c r="J284" s="25">
        <f t="shared" si="33"/>
        <v>-11358204.598212494</v>
      </c>
      <c r="K284" s="25"/>
      <c r="L284" s="50">
        <f t="shared" si="27"/>
        <v>42728483.966695324</v>
      </c>
    </row>
    <row r="285" spans="1:13" ht="14.45" hidden="1" customHeight="1" outlineLevel="1">
      <c r="A285" s="33">
        <v>276</v>
      </c>
      <c r="B285" s="40">
        <v>50526</v>
      </c>
      <c r="C285" s="29"/>
      <c r="D285" s="55">
        <f t="shared" si="29"/>
        <v>267053.02479184576</v>
      </c>
      <c r="E285" s="29"/>
      <c r="F285" s="29">
        <f t="shared" si="28"/>
        <v>2221764.2990271896</v>
      </c>
      <c r="G285" s="25">
        <f t="shared" si="32"/>
        <v>-1954711.2742353438</v>
      </c>
      <c r="H285" s="25">
        <f t="shared" si="31"/>
        <v>52131977.288681149</v>
      </c>
      <c r="I285" s="25">
        <f t="shared" si="30"/>
        <v>410489.36758942215</v>
      </c>
      <c r="J285" s="25">
        <f t="shared" si="33"/>
        <v>-10947715.230623072</v>
      </c>
      <c r="K285" s="25"/>
      <c r="L285" s="50">
        <f t="shared" si="27"/>
        <v>41184262.0600494</v>
      </c>
      <c r="M285" s="41"/>
    </row>
    <row r="286" spans="1:13" ht="14.45" hidden="1" customHeight="1" outlineLevel="1">
      <c r="A286" s="33">
        <v>277</v>
      </c>
      <c r="B286" s="40">
        <v>50557</v>
      </c>
      <c r="C286" s="29"/>
      <c r="D286" s="55">
        <f t="shared" si="29"/>
        <v>257401.63787530872</v>
      </c>
      <c r="E286" s="29"/>
      <c r="F286" s="29">
        <f t="shared" si="28"/>
        <v>2221764.2990271896</v>
      </c>
      <c r="G286" s="25">
        <f t="shared" si="32"/>
        <v>-1964362.6611518809</v>
      </c>
      <c r="H286" s="25">
        <f t="shared" si="31"/>
        <v>50167614.627529271</v>
      </c>
      <c r="I286" s="25">
        <f t="shared" si="30"/>
        <v>412516.15884189494</v>
      </c>
      <c r="J286" s="25">
        <f t="shared" si="33"/>
        <v>-10535199.071781177</v>
      </c>
      <c r="K286" s="25"/>
      <c r="L286" s="50">
        <f t="shared" si="27"/>
        <v>39632415.557739414</v>
      </c>
    </row>
    <row r="287" spans="1:13" ht="14.45" hidden="1" customHeight="1" outlineLevel="1">
      <c r="A287" s="33">
        <v>278</v>
      </c>
      <c r="B287" s="40">
        <v>50587</v>
      </c>
      <c r="C287" s="29"/>
      <c r="D287" s="55">
        <f t="shared" si="29"/>
        <v>247702.5972358713</v>
      </c>
      <c r="E287" s="29"/>
      <c r="F287" s="29">
        <f t="shared" si="28"/>
        <v>2221764.2990271896</v>
      </c>
      <c r="G287" s="25">
        <f t="shared" si="32"/>
        <v>-1974061.7017913184</v>
      </c>
      <c r="H287" s="25">
        <f t="shared" si="31"/>
        <v>48193552.925737955</v>
      </c>
      <c r="I287" s="25">
        <f t="shared" si="30"/>
        <v>414552.95737617684</v>
      </c>
      <c r="J287" s="25">
        <f t="shared" si="33"/>
        <v>-10120646.114405001</v>
      </c>
      <c r="K287" s="25"/>
      <c r="L287" s="50">
        <f t="shared" si="27"/>
        <v>38072906.813324273</v>
      </c>
    </row>
    <row r="288" spans="1:13" ht="14.45" hidden="1" customHeight="1" outlineLevel="1">
      <c r="A288" s="33">
        <v>279</v>
      </c>
      <c r="B288" s="40">
        <v>50618</v>
      </c>
      <c r="C288" s="29"/>
      <c r="D288" s="55">
        <f t="shared" si="29"/>
        <v>237955.66758327669</v>
      </c>
      <c r="E288" s="29"/>
      <c r="F288" s="29">
        <f t="shared" si="28"/>
        <v>2221764.2990271896</v>
      </c>
      <c r="G288" s="25">
        <f t="shared" si="32"/>
        <v>-1983808.6314439129</v>
      </c>
      <c r="H288" s="25">
        <f t="shared" si="31"/>
        <v>46209744.294294044</v>
      </c>
      <c r="I288" s="25">
        <f t="shared" si="30"/>
        <v>416599.81260322168</v>
      </c>
      <c r="J288" s="25">
        <f t="shared" si="33"/>
        <v>-9704046.3018017784</v>
      </c>
      <c r="K288" s="25"/>
      <c r="L288" s="50">
        <f t="shared" si="27"/>
        <v>36505697.994483583</v>
      </c>
    </row>
    <row r="289" spans="1:13" ht="14.45" hidden="1" customHeight="1" outlineLevel="1">
      <c r="A289" s="33">
        <v>280</v>
      </c>
      <c r="B289" s="40">
        <v>50649</v>
      </c>
      <c r="C289" s="29"/>
      <c r="D289" s="55">
        <f t="shared" si="29"/>
        <v>228160.61246552237</v>
      </c>
      <c r="E289" s="29"/>
      <c r="F289" s="29">
        <f t="shared" si="28"/>
        <v>2221764.2990271896</v>
      </c>
      <c r="G289" s="25">
        <f t="shared" si="32"/>
        <v>-1993603.6865616674</v>
      </c>
      <c r="H289" s="25">
        <f t="shared" si="31"/>
        <v>44216140.607732378</v>
      </c>
      <c r="I289" s="25">
        <f t="shared" si="30"/>
        <v>418656.77417795011</v>
      </c>
      <c r="J289" s="25">
        <f t="shared" si="33"/>
        <v>-9285389.5276238285</v>
      </c>
      <c r="K289" s="25"/>
      <c r="L289" s="50">
        <f t="shared" si="27"/>
        <v>34930751.082099862</v>
      </c>
    </row>
    <row r="290" spans="1:13" ht="14.45" hidden="1" customHeight="1" outlineLevel="1">
      <c r="A290" s="33">
        <v>281</v>
      </c>
      <c r="B290" s="40">
        <v>50679</v>
      </c>
      <c r="C290" s="29"/>
      <c r="D290" s="55">
        <f t="shared" si="29"/>
        <v>218317.19426312411</v>
      </c>
      <c r="E290" s="29"/>
      <c r="F290" s="29">
        <f t="shared" si="28"/>
        <v>2221764.2990271896</v>
      </c>
      <c r="G290" s="25">
        <f t="shared" si="32"/>
        <v>-2003447.1047640655</v>
      </c>
      <c r="H290" s="25">
        <f t="shared" si="31"/>
        <v>42212693.502968311</v>
      </c>
      <c r="I290" s="25">
        <f t="shared" si="30"/>
        <v>420723.89200045372</v>
      </c>
      <c r="J290" s="25">
        <f t="shared" si="33"/>
        <v>-8864665.635623375</v>
      </c>
      <c r="K290" s="25"/>
      <c r="L290" s="50">
        <f t="shared" si="27"/>
        <v>33348027.869336251</v>
      </c>
    </row>
    <row r="291" spans="1:13" ht="14.45" hidden="1" customHeight="1" outlineLevel="1">
      <c r="A291" s="33">
        <v>282</v>
      </c>
      <c r="B291" s="40">
        <v>50710</v>
      </c>
      <c r="C291" s="29"/>
      <c r="D291" s="55">
        <f t="shared" si="29"/>
        <v>208425.17418335154</v>
      </c>
      <c r="E291" s="29"/>
      <c r="F291" s="29">
        <f t="shared" si="28"/>
        <v>2221764.2990271896</v>
      </c>
      <c r="G291" s="25">
        <f t="shared" si="32"/>
        <v>-2013339.1248438382</v>
      </c>
      <c r="H291" s="25">
        <f t="shared" si="31"/>
        <v>40199354.378124475</v>
      </c>
      <c r="I291" s="25">
        <f t="shared" si="30"/>
        <v>422801.21621720598</v>
      </c>
      <c r="J291" s="25">
        <f t="shared" si="33"/>
        <v>-8441864.4194061682</v>
      </c>
      <c r="K291" s="25"/>
      <c r="L291" s="50">
        <f t="shared" si="27"/>
        <v>31757489.96070962</v>
      </c>
    </row>
    <row r="292" spans="1:13" ht="14.45" hidden="1" customHeight="1" outlineLevel="1">
      <c r="A292" s="33">
        <v>283</v>
      </c>
      <c r="B292" s="40">
        <v>50740</v>
      </c>
      <c r="C292" s="29"/>
      <c r="D292" s="55">
        <f t="shared" si="29"/>
        <v>198484.31225443512</v>
      </c>
      <c r="E292" s="29"/>
      <c r="F292" s="29">
        <f t="shared" si="28"/>
        <v>2221764.2990271896</v>
      </c>
      <c r="G292" s="25">
        <f t="shared" si="32"/>
        <v>-2023279.9867727545</v>
      </c>
      <c r="H292" s="25">
        <f t="shared" si="31"/>
        <v>38176074.391351722</v>
      </c>
      <c r="I292" s="25">
        <f t="shared" si="30"/>
        <v>424888.79722227843</v>
      </c>
      <c r="J292" s="25">
        <f t="shared" si="33"/>
        <v>-8016975.6221838901</v>
      </c>
      <c r="K292" s="25"/>
      <c r="L292" s="50">
        <f t="shared" si="27"/>
        <v>30159098.771159142</v>
      </c>
    </row>
    <row r="293" spans="1:13" ht="14.45" hidden="1" customHeight="1" outlineLevel="1">
      <c r="A293" s="33">
        <v>284</v>
      </c>
      <c r="B293" s="40">
        <v>50771</v>
      </c>
      <c r="C293" s="29"/>
      <c r="D293" s="55">
        <f t="shared" si="29"/>
        <v>188494.36731974463</v>
      </c>
      <c r="E293" s="29"/>
      <c r="F293" s="29">
        <f t="shared" si="28"/>
        <v>2221764.2990271896</v>
      </c>
      <c r="G293" s="25">
        <f t="shared" si="32"/>
        <v>-2033269.9317074451</v>
      </c>
      <c r="H293" s="25">
        <f t="shared" si="31"/>
        <v>36142804.45964428</v>
      </c>
      <c r="I293" s="25">
        <f t="shared" si="30"/>
        <v>426986.68565856345</v>
      </c>
      <c r="J293" s="25">
        <f t="shared" si="33"/>
        <v>-7589988.9365253262</v>
      </c>
      <c r="K293" s="25"/>
      <c r="L293" s="50">
        <f t="shared" si="27"/>
        <v>28552815.52511026</v>
      </c>
    </row>
    <row r="294" spans="1:13" ht="14.45" hidden="1" customHeight="1" outlineLevel="1">
      <c r="A294" s="33">
        <v>285</v>
      </c>
      <c r="B294" s="40">
        <v>50802</v>
      </c>
      <c r="C294" s="29"/>
      <c r="D294" s="55">
        <f t="shared" si="29"/>
        <v>178455.09703193911</v>
      </c>
      <c r="E294" s="29"/>
      <c r="F294" s="29">
        <f t="shared" si="28"/>
        <v>2221764.2990271896</v>
      </c>
      <c r="G294" s="25">
        <f>C294+D294-E294-F294</f>
        <v>-2043309.2019952505</v>
      </c>
      <c r="H294" s="25">
        <f t="shared" si="31"/>
        <v>34099495.257649027</v>
      </c>
      <c r="I294" s="25">
        <f t="shared" si="30"/>
        <v>429094.93241900258</v>
      </c>
      <c r="J294" s="25">
        <f t="shared" si="33"/>
        <v>-7160894.0041063232</v>
      </c>
      <c r="K294" s="25"/>
      <c r="L294" s="50">
        <f t="shared" si="27"/>
        <v>26938601.255534012</v>
      </c>
    </row>
    <row r="295" spans="1:13" ht="14.45" hidden="1" customHeight="1" outlineLevel="1">
      <c r="A295" s="33">
        <v>286</v>
      </c>
      <c r="B295" s="40">
        <v>50830</v>
      </c>
      <c r="C295" s="29"/>
      <c r="D295" s="55">
        <f t="shared" si="29"/>
        <v>168366.25784708757</v>
      </c>
      <c r="E295" s="29"/>
      <c r="F295" s="29">
        <f t="shared" si="28"/>
        <v>2221764.2990271896</v>
      </c>
      <c r="G295" s="25">
        <f t="shared" si="32"/>
        <v>-2053398.0411801022</v>
      </c>
      <c r="H295" s="25">
        <f t="shared" si="31"/>
        <v>32046097.216468923</v>
      </c>
      <c r="I295" s="25">
        <f t="shared" si="30"/>
        <v>431213.58864782145</v>
      </c>
      <c r="J295" s="25">
        <f t="shared" si="33"/>
        <v>-6729680.4154585022</v>
      </c>
      <c r="K295" s="25"/>
      <c r="L295" s="50">
        <f t="shared" si="27"/>
        <v>25316416.803001732</v>
      </c>
    </row>
    <row r="296" spans="1:13" ht="14.45" hidden="1" customHeight="1" outlineLevel="1">
      <c r="A296" s="33">
        <v>287</v>
      </c>
      <c r="B296" s="40">
        <v>50861</v>
      </c>
      <c r="C296" s="29"/>
      <c r="D296" s="55">
        <f t="shared" si="29"/>
        <v>158227.60501876081</v>
      </c>
      <c r="E296" s="29"/>
      <c r="F296" s="29">
        <f t="shared" si="28"/>
        <v>2221764.2990271896</v>
      </c>
      <c r="G296" s="25">
        <f t="shared" si="32"/>
        <v>-2063536.6940084288</v>
      </c>
      <c r="H296" s="25">
        <f t="shared" si="31"/>
        <v>29982560.522460494</v>
      </c>
      <c r="I296" s="25">
        <f t="shared" si="30"/>
        <v>433342.70574177004</v>
      </c>
      <c r="J296" s="25">
        <f t="shared" si="33"/>
        <v>-6296337.7097167326</v>
      </c>
      <c r="K296" s="25"/>
      <c r="L296" s="50">
        <f t="shared" si="27"/>
        <v>23686222.814735074</v>
      </c>
    </row>
    <row r="297" spans="1:13" ht="14.45" hidden="1" customHeight="1" outlineLevel="1">
      <c r="A297" s="33">
        <v>288</v>
      </c>
      <c r="B297" s="40">
        <v>50891</v>
      </c>
      <c r="C297" s="29"/>
      <c r="D297" s="55">
        <f t="shared" si="29"/>
        <v>148038.8925920942</v>
      </c>
      <c r="E297" s="29"/>
      <c r="F297" s="29">
        <f t="shared" si="28"/>
        <v>2221764.2990271896</v>
      </c>
      <c r="G297" s="25">
        <f t="shared" si="32"/>
        <v>-2073725.4064350955</v>
      </c>
      <c r="H297" s="25">
        <f t="shared" si="31"/>
        <v>27908835.116025399</v>
      </c>
      <c r="I297" s="25">
        <f t="shared" si="30"/>
        <v>435482.33535137004</v>
      </c>
      <c r="J297" s="25">
        <f t="shared" si="33"/>
        <v>-5860855.3743653623</v>
      </c>
      <c r="K297" s="25"/>
      <c r="L297" s="50">
        <f t="shared" si="27"/>
        <v>22047979.743651349</v>
      </c>
      <c r="M297" s="41"/>
    </row>
    <row r="298" spans="1:13" ht="14.45" hidden="1" customHeight="1" outlineLevel="1">
      <c r="A298" s="33">
        <v>289</v>
      </c>
      <c r="B298" s="40">
        <v>50922</v>
      </c>
      <c r="C298" s="29"/>
      <c r="D298" s="55">
        <f t="shared" si="29"/>
        <v>137799.87339782092</v>
      </c>
      <c r="E298" s="29"/>
      <c r="F298" s="29">
        <f t="shared" si="28"/>
        <v>2221764.2990271896</v>
      </c>
      <c r="G298" s="25">
        <f t="shared" si="32"/>
        <v>-2083964.4256293688</v>
      </c>
      <c r="H298" s="25">
        <f t="shared" si="31"/>
        <v>25824870.69039603</v>
      </c>
      <c r="I298" s="25">
        <f t="shared" si="30"/>
        <v>437632.52938216744</v>
      </c>
      <c r="J298" s="25">
        <f t="shared" si="33"/>
        <v>-5423222.844983195</v>
      </c>
      <c r="K298" s="25"/>
      <c r="L298" s="50">
        <f t="shared" si="27"/>
        <v>20401647.847404148</v>
      </c>
    </row>
    <row r="299" spans="1:13" ht="14.45" hidden="1" customHeight="1" outlineLevel="1">
      <c r="A299" s="33">
        <v>290</v>
      </c>
      <c r="B299" s="40">
        <v>50952</v>
      </c>
      <c r="C299" s="29"/>
      <c r="D299" s="55">
        <f t="shared" si="29"/>
        <v>127510.29904627592</v>
      </c>
      <c r="E299" s="29"/>
      <c r="F299" s="29">
        <f t="shared" si="28"/>
        <v>2221764.2990271896</v>
      </c>
      <c r="G299" s="25">
        <f t="shared" si="32"/>
        <v>-2094253.9999809137</v>
      </c>
      <c r="H299" s="25">
        <f t="shared" si="31"/>
        <v>23730616.690415114</v>
      </c>
      <c r="I299" s="25">
        <f t="shared" si="30"/>
        <v>439793.33999599185</v>
      </c>
      <c r="J299" s="25">
        <f t="shared" si="33"/>
        <v>-4983429.5049872035</v>
      </c>
      <c r="K299" s="25"/>
      <c r="L299" s="50">
        <f t="shared" si="27"/>
        <v>18747187.187419228</v>
      </c>
    </row>
    <row r="300" spans="1:13" ht="14.45" hidden="1" customHeight="1" outlineLevel="1">
      <c r="A300" s="33">
        <v>291</v>
      </c>
      <c r="B300" s="40">
        <v>50983</v>
      </c>
      <c r="C300" s="29"/>
      <c r="D300" s="55">
        <f t="shared" si="29"/>
        <v>117169.91992137016</v>
      </c>
      <c r="E300" s="29"/>
      <c r="F300" s="29">
        <f t="shared" si="28"/>
        <v>2221764.2990271896</v>
      </c>
      <c r="G300" s="25">
        <f t="shared" si="32"/>
        <v>-2104594.3791058194</v>
      </c>
      <c r="H300" s="25">
        <f t="shared" si="31"/>
        <v>21626022.311309293</v>
      </c>
      <c r="I300" s="25">
        <f t="shared" si="30"/>
        <v>441964.81961222208</v>
      </c>
      <c r="J300" s="25">
        <f t="shared" si="33"/>
        <v>-4541464.6853749817</v>
      </c>
      <c r="K300" s="25"/>
      <c r="L300" s="50">
        <f t="shared" si="27"/>
        <v>17084557.627925631</v>
      </c>
    </row>
    <row r="301" spans="1:13" ht="14.45" hidden="1" customHeight="1" outlineLevel="1">
      <c r="A301" s="33">
        <v>292</v>
      </c>
      <c r="B301" s="40">
        <v>51014</v>
      </c>
      <c r="C301" s="29"/>
      <c r="D301" s="55">
        <f t="shared" si="29"/>
        <v>106778.48517453518</v>
      </c>
      <c r="E301" s="29"/>
      <c r="F301" s="29">
        <f t="shared" si="28"/>
        <v>2221764.2990271896</v>
      </c>
      <c r="G301" s="25">
        <f t="shared" si="32"/>
        <v>-2114985.8138526543</v>
      </c>
      <c r="H301" s="25">
        <f t="shared" si="31"/>
        <v>19511036.49745664</v>
      </c>
      <c r="I301" s="25">
        <f t="shared" si="30"/>
        <v>444147.02090905741</v>
      </c>
      <c r="J301" s="25">
        <f t="shared" si="33"/>
        <v>-4097317.6644659243</v>
      </c>
      <c r="K301" s="25"/>
      <c r="L301" s="50">
        <f t="shared" si="27"/>
        <v>15413718.834982034</v>
      </c>
    </row>
    <row r="302" spans="1:13" ht="14.45" hidden="1" customHeight="1" outlineLevel="1">
      <c r="A302" s="33">
        <v>293</v>
      </c>
      <c r="B302" s="40">
        <v>51044</v>
      </c>
      <c r="C302" s="29"/>
      <c r="D302" s="55">
        <f t="shared" si="29"/>
        <v>96335.742718637703</v>
      </c>
      <c r="E302" s="29"/>
      <c r="F302" s="29">
        <f t="shared" si="28"/>
        <v>2221764.2990271896</v>
      </c>
      <c r="G302" s="25">
        <f t="shared" si="32"/>
        <v>-2125428.5563085517</v>
      </c>
      <c r="H302" s="25">
        <f t="shared" si="31"/>
        <v>17385607.941148087</v>
      </c>
      <c r="I302" s="25">
        <f t="shared" si="30"/>
        <v>446339.99682479585</v>
      </c>
      <c r="J302" s="25">
        <f t="shared" si="33"/>
        <v>-3650977.6676411284</v>
      </c>
      <c r="K302" s="25"/>
      <c r="L302" s="50">
        <f t="shared" si="27"/>
        <v>13734630.275498278</v>
      </c>
    </row>
    <row r="303" spans="1:13" ht="14.45" hidden="1" customHeight="1" outlineLevel="1">
      <c r="A303" s="33">
        <v>294</v>
      </c>
      <c r="B303" s="40">
        <v>51075</v>
      </c>
      <c r="C303" s="29"/>
      <c r="D303" s="55">
        <f t="shared" si="29"/>
        <v>85841.439221864232</v>
      </c>
      <c r="E303" s="29"/>
      <c r="F303" s="29">
        <f t="shared" si="28"/>
        <v>2221764.2990271896</v>
      </c>
      <c r="G303" s="25">
        <f t="shared" si="32"/>
        <v>-2135922.8598053255</v>
      </c>
      <c r="H303" s="25">
        <f t="shared" si="31"/>
        <v>15249685.081342762</v>
      </c>
      <c r="I303" s="25">
        <f t="shared" si="30"/>
        <v>448543.80055911833</v>
      </c>
      <c r="J303" s="25">
        <f t="shared" si="33"/>
        <v>-3202433.86708201</v>
      </c>
      <c r="K303" s="25"/>
      <c r="L303" s="50">
        <f t="shared" ref="L303:L310" si="34">K303+C303+D303+I303-E303-F303+L302</f>
        <v>12047251.216252072</v>
      </c>
    </row>
    <row r="304" spans="1:13" ht="14.45" hidden="1" customHeight="1" outlineLevel="1">
      <c r="A304" s="33">
        <v>295</v>
      </c>
      <c r="B304" s="40">
        <v>51105</v>
      </c>
      <c r="C304" s="29"/>
      <c r="D304" s="55">
        <f t="shared" si="29"/>
        <v>75295.320101575446</v>
      </c>
      <c r="E304" s="29"/>
      <c r="F304" s="29">
        <f t="shared" si="28"/>
        <v>2221764.2990271896</v>
      </c>
      <c r="G304" s="25">
        <f t="shared" si="32"/>
        <v>-2146468.9789256142</v>
      </c>
      <c r="H304" s="25">
        <f t="shared" si="31"/>
        <v>13103216.102417149</v>
      </c>
      <c r="I304" s="25">
        <f t="shared" si="30"/>
        <v>450758.48557437898</v>
      </c>
      <c r="J304" s="25">
        <f t="shared" si="33"/>
        <v>-2751675.3815076309</v>
      </c>
      <c r="K304" s="25"/>
      <c r="L304" s="50">
        <f t="shared" si="34"/>
        <v>10351540.722900838</v>
      </c>
    </row>
    <row r="305" spans="1:13" ht="14.45" hidden="1" customHeight="1" outlineLevel="1">
      <c r="A305" s="33">
        <v>296</v>
      </c>
      <c r="B305" s="40">
        <v>51136</v>
      </c>
      <c r="C305" s="29"/>
      <c r="D305" s="55">
        <f t="shared" si="29"/>
        <v>64697.129518130227</v>
      </c>
      <c r="E305" s="29"/>
      <c r="F305" s="29">
        <f t="shared" si="28"/>
        <v>2221764.2990271896</v>
      </c>
      <c r="G305" s="25">
        <f t="shared" si="32"/>
        <v>-2157067.1695090593</v>
      </c>
      <c r="H305" s="25">
        <f t="shared" si="31"/>
        <v>10946148.93290809</v>
      </c>
      <c r="I305" s="25">
        <f t="shared" si="30"/>
        <v>452984.10559690243</v>
      </c>
      <c r="J305" s="25">
        <f t="shared" si="33"/>
        <v>-2298691.2759107286</v>
      </c>
      <c r="K305" s="25"/>
      <c r="L305" s="50">
        <f t="shared" si="34"/>
        <v>8647457.6589886807</v>
      </c>
    </row>
    <row r="306" spans="1:13" ht="14.45" hidden="1" customHeight="1" outlineLevel="1">
      <c r="A306" s="33">
        <v>297</v>
      </c>
      <c r="B306" s="40">
        <v>51167</v>
      </c>
      <c r="C306" s="29"/>
      <c r="D306" s="55">
        <f t="shared" si="29"/>
        <v>54046.610368679248</v>
      </c>
      <c r="E306" s="29"/>
      <c r="F306" s="29">
        <f t="shared" si="28"/>
        <v>2221764.2990271896</v>
      </c>
      <c r="G306" s="25">
        <f t="shared" si="32"/>
        <v>-2167717.6886585103</v>
      </c>
      <c r="H306" s="25">
        <f t="shared" si="31"/>
        <v>8778431.2442495786</v>
      </c>
      <c r="I306" s="25">
        <f t="shared" si="30"/>
        <v>455220.71461828717</v>
      </c>
      <c r="J306" s="25">
        <f t="shared" si="33"/>
        <v>-1843470.5612924416</v>
      </c>
      <c r="K306" s="25"/>
      <c r="L306" s="50">
        <f t="shared" si="34"/>
        <v>6934960.6849484574</v>
      </c>
    </row>
    <row r="307" spans="1:13" ht="14.45" hidden="1" customHeight="1" outlineLevel="1">
      <c r="A307" s="33">
        <v>298</v>
      </c>
      <c r="B307" s="40">
        <v>51196</v>
      </c>
      <c r="C307" s="29"/>
      <c r="D307" s="55">
        <f t="shared" si="29"/>
        <v>43343.504280927853</v>
      </c>
      <c r="E307" s="29"/>
      <c r="F307" s="29">
        <f t="shared" si="28"/>
        <v>2221764.2990271896</v>
      </c>
      <c r="G307" s="25">
        <f t="shared" si="32"/>
        <v>-2178420.7947462616</v>
      </c>
      <c r="H307" s="25">
        <f t="shared" si="31"/>
        <v>6600010.4495033175</v>
      </c>
      <c r="I307" s="25">
        <f t="shared" si="30"/>
        <v>457468.3668967149</v>
      </c>
      <c r="J307" s="25">
        <f t="shared" si="33"/>
        <v>-1386002.1943957265</v>
      </c>
      <c r="K307" s="25"/>
      <c r="L307" s="50">
        <f t="shared" si="34"/>
        <v>5214008.2570989104</v>
      </c>
    </row>
    <row r="308" spans="1:13" hidden="1" outlineLevel="1">
      <c r="A308" s="33">
        <v>299</v>
      </c>
      <c r="B308" s="40">
        <v>51227</v>
      </c>
      <c r="C308" s="29"/>
      <c r="D308" s="55">
        <f t="shared" si="29"/>
        <v>32587.551606868186</v>
      </c>
      <c r="E308" s="29"/>
      <c r="F308" s="29">
        <f>$D$3</f>
        <v>2221764.2990271896</v>
      </c>
      <c r="G308" s="25">
        <f t="shared" si="32"/>
        <v>-2189176.7474203212</v>
      </c>
      <c r="H308" s="25">
        <f t="shared" si="31"/>
        <v>4410833.7020829963</v>
      </c>
      <c r="I308" s="25">
        <f t="shared" si="30"/>
        <v>459727.11695826746</v>
      </c>
      <c r="J308" s="25">
        <f t="shared" si="33"/>
        <v>-926275.07743745903</v>
      </c>
      <c r="K308" s="25"/>
      <c r="L308" s="50">
        <f t="shared" si="34"/>
        <v>3484558.6266368562</v>
      </c>
    </row>
    <row r="309" spans="1:13" collapsed="1">
      <c r="A309" s="79">
        <v>300</v>
      </c>
      <c r="B309" s="40">
        <v>51257</v>
      </c>
      <c r="C309" s="29"/>
      <c r="D309" s="55">
        <f t="shared" si="29"/>
        <v>21778.491416480349</v>
      </c>
      <c r="E309" s="29"/>
      <c r="F309" s="29">
        <f t="shared" si="28"/>
        <v>2221764.2990271896</v>
      </c>
      <c r="G309" s="25">
        <f t="shared" si="32"/>
        <v>-2199985.8076107092</v>
      </c>
      <c r="H309" s="25">
        <f>H308+G309</f>
        <v>2210847.894472287</v>
      </c>
      <c r="I309" s="25">
        <f t="shared" si="30"/>
        <v>461997.01959824894</v>
      </c>
      <c r="J309" s="25">
        <f t="shared" si="33"/>
        <v>-464278.05783921009</v>
      </c>
      <c r="K309" s="25"/>
      <c r="L309" s="50">
        <f t="shared" si="34"/>
        <v>1746569.8386243959</v>
      </c>
      <c r="M309" s="41"/>
    </row>
    <row r="310" spans="1:13">
      <c r="A310" s="33">
        <v>301</v>
      </c>
      <c r="B310" s="44">
        <v>51288</v>
      </c>
      <c r="C310" s="45"/>
      <c r="D310" s="57">
        <f t="shared" si="29"/>
        <v>10916.061491402474</v>
      </c>
      <c r="E310" s="45"/>
      <c r="F310" s="45">
        <f t="shared" si="28"/>
        <v>2221764.2990271896</v>
      </c>
      <c r="G310" s="26">
        <f t="shared" si="32"/>
        <v>-2210848.2375357873</v>
      </c>
      <c r="H310" s="26">
        <f t="shared" si="31"/>
        <v>-0.34306350024417043</v>
      </c>
      <c r="I310" s="26">
        <f>-G310*0.21</f>
        <v>464278.12988251529</v>
      </c>
      <c r="J310" s="26">
        <f t="shared" si="33"/>
        <v>7.204330520471558E-2</v>
      </c>
      <c r="K310" s="26"/>
      <c r="L310" s="50">
        <f t="shared" si="34"/>
        <v>-0.26902887597680092</v>
      </c>
      <c r="M310" s="46"/>
    </row>
    <row r="311" spans="1:13">
      <c r="B311" s="109" t="s">
        <v>67</v>
      </c>
      <c r="C311" s="25"/>
      <c r="D311" s="25">
        <f>SUM(D107:D310)</f>
        <v>167893596.6245245</v>
      </c>
      <c r="E311" s="25"/>
      <c r="F311" s="25">
        <f>SUM(F107:F310)</f>
        <v>453239917.00154883</v>
      </c>
      <c r="G311" s="25">
        <f>SUM(G107:G310)</f>
        <v>-285346320.37702227</v>
      </c>
      <c r="H311" s="25"/>
      <c r="I311" s="25">
        <f>SUM(I107:I310)+J106</f>
        <v>7.204330712556839E-2</v>
      </c>
      <c r="J311" s="25"/>
      <c r="K311" s="25"/>
      <c r="L311" s="25"/>
    </row>
    <row r="313" spans="1:13">
      <c r="G313" s="58"/>
    </row>
  </sheetData>
  <mergeCells count="1">
    <mergeCell ref="C7:H7"/>
  </mergeCells>
  <pageMargins left="0.2" right="0.2" top="0.5" bottom="0.5" header="0.3" footer="0.3"/>
  <pageSetup scale="49" firstPageNumber="6" fitToHeight="0" orientation="portrait" useFirstPageNumber="1" r:id="rId1"/>
  <ignoredErrors>
    <ignoredError sqref="J106 L10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OC8yLzIwMjIgNjoyNDo1O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yOTA3OTI8L1VzZXJOYW1lPjxEYXRlVGltZT44LzkvMjAyMiA0OjU4OjE1IFBNPC9EYXRlVGltZT48TGFiZWxTdHJpbmc+QUVQIEludGVybmFs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B1E04CC8-DDA9-4DF3-B871-A313B682461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C73B785-7E3F-4D93-9D91-573BB00150E8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76390BBB-6418-4191-9721-764502851A15}"/>
</file>

<file path=customXml/itemProps4.xml><?xml version="1.0" encoding="utf-8"?>
<ds:datastoreItem xmlns:ds="http://schemas.openxmlformats.org/officeDocument/2006/customXml" ds:itemID="{0DD6EF2A-FFD3-4A51-A125-33CA73115404}"/>
</file>

<file path=customXml/itemProps5.xml><?xml version="1.0" encoding="utf-8"?>
<ds:datastoreItem xmlns:ds="http://schemas.openxmlformats.org/officeDocument/2006/customXml" ds:itemID="{B712DD24-8077-4CA9-B078-2C3F520C70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Fuel + SS Rev (Test)</vt:lpstr>
      <vt:lpstr>BSDR-Page 1</vt:lpstr>
      <vt:lpstr>BSDR-Page 2</vt:lpstr>
      <vt:lpstr>Calculation</vt:lpstr>
      <vt:lpstr>'BSDR-Page 1'!Print_Area</vt:lpstr>
      <vt:lpstr>'BSDR-Page 2'!Print_Area</vt:lpstr>
      <vt:lpstr>Calculation!Print_Titles</vt:lpstr>
    </vt:vector>
  </TitlesOfParts>
  <Company>IT-CPS-8/28/1-(Help#=8-835-3050)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s007506</cp:lastModifiedBy>
  <cp:lastPrinted>2019-08-12T15:39:39Z</cp:lastPrinted>
  <dcterms:created xsi:type="dcterms:W3CDTF">2004-09-28T13:24:13Z</dcterms:created>
  <dcterms:modified xsi:type="dcterms:W3CDTF">2023-08-14T16:17:37Z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bc590f0a-01a0-47b6-8fe5-a8bf72220e39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{B1E04CC8-DDA9-4DF3-B871-A313B6824612}</vt:lpwstr>
  </property>
  <property fmtid="{D5CDD505-2E9C-101B-9397-08002B2CF9AE}" pid="13" name="ContentTypeId">
    <vt:lpwstr>0x01010001136CE24ED5F449BD16740FFC7FAF6F</vt:lpwstr>
  </property>
</Properties>
</file>