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ternal\01_Regulatory Services\01_Recurring Filings\01_Annual\FTC\2025\As Filed\TFS\"/>
    </mc:Choice>
  </mc:AlternateContent>
  <xr:revisionPtr revIDLastSave="0" documentId="13_ncr:1_{B3C7993C-2D57-4011-92E1-CCC2E9FDB94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llocation &amp; Rates" sheetId="1" r:id="rId1"/>
    <sheet name="GRCF" sheetId="3" r:id="rId2"/>
    <sheet name="kWh &amp; Revenue" sheetId="4" r:id="rId3"/>
    <sheet name="Adj TY Revenue" sheetId="5" state="hidden" r:id="rId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3">'Adj TY Revenue'!$A$1:$AB$47</definedName>
    <definedName name="_xlnm.Print_Area" localSheetId="0">'Allocation &amp; Rates'!$A$1:$C$37</definedName>
    <definedName name="_xlnm.Print_Area" localSheetId="1">GRCF!$A$1:$G$27</definedName>
    <definedName name="_xlnm.Print_Area" localSheetId="2">'kWh &amp; Revenue'!$A$2:$N$15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4" l="1"/>
  <c r="N13" i="4"/>
  <c r="B8" i="4" l="1"/>
  <c r="C8" i="4" l="1"/>
  <c r="C11" i="4" s="1"/>
  <c r="D8" i="4"/>
  <c r="D11" i="4" s="1"/>
  <c r="E8" i="4"/>
  <c r="E11" i="4" s="1"/>
  <c r="F8" i="4"/>
  <c r="F11" i="4" s="1"/>
  <c r="G8" i="4"/>
  <c r="G11" i="4" s="1"/>
  <c r="H8" i="4"/>
  <c r="H11" i="4" s="1"/>
  <c r="I8" i="4"/>
  <c r="I11" i="4" s="1"/>
  <c r="J8" i="4"/>
  <c r="J11" i="4" s="1"/>
  <c r="K8" i="4"/>
  <c r="K11" i="4" s="1"/>
  <c r="L8" i="4"/>
  <c r="L11" i="4" s="1"/>
  <c r="M8" i="4"/>
  <c r="M11" i="4" s="1"/>
  <c r="B11" i="4"/>
  <c r="B7" i="1"/>
  <c r="S6" i="5"/>
  <c r="S5" i="5"/>
  <c r="R6" i="5"/>
  <c r="R5" i="5"/>
  <c r="T10" i="5"/>
  <c r="R42" i="5"/>
  <c r="T42" i="5" s="1"/>
  <c r="R40" i="5"/>
  <c r="T40" i="5" s="1"/>
  <c r="R39" i="5"/>
  <c r="T39" i="5" s="1"/>
  <c r="R36" i="5"/>
  <c r="T36" i="5" s="1"/>
  <c r="R35" i="5"/>
  <c r="T35" i="5" s="1"/>
  <c r="R34" i="5"/>
  <c r="T34" i="5" s="1"/>
  <c r="R33" i="5"/>
  <c r="T33" i="5" s="1"/>
  <c r="R30" i="5"/>
  <c r="T30" i="5" s="1"/>
  <c r="R29" i="5"/>
  <c r="T29" i="5" s="1"/>
  <c r="R26" i="5"/>
  <c r="T26" i="5" s="1"/>
  <c r="R25" i="5"/>
  <c r="T25" i="5" s="1"/>
  <c r="R24" i="5"/>
  <c r="T24" i="5" s="1"/>
  <c r="R23" i="5"/>
  <c r="T23" i="5" s="1"/>
  <c r="R22" i="5"/>
  <c r="T22" i="5" s="1"/>
  <c r="R21" i="5"/>
  <c r="T21" i="5" s="1"/>
  <c r="R20" i="5"/>
  <c r="T20" i="5" s="1"/>
  <c r="R17" i="5"/>
  <c r="T17" i="5" s="1"/>
  <c r="R16" i="5"/>
  <c r="T16" i="5" s="1"/>
  <c r="R15" i="5"/>
  <c r="T15" i="5" s="1"/>
  <c r="R14" i="5"/>
  <c r="T14" i="5" s="1"/>
  <c r="R13" i="5"/>
  <c r="T13" i="5" s="1"/>
  <c r="R12" i="5"/>
  <c r="T12" i="5" s="1"/>
  <c r="R11" i="5"/>
  <c r="T11" i="5" s="1"/>
  <c r="P6" i="5"/>
  <c r="P5" i="5"/>
  <c r="P4" i="5"/>
  <c r="O6" i="5"/>
  <c r="O5" i="5"/>
  <c r="O4" i="5"/>
  <c r="T4" i="5" s="1"/>
  <c r="N5" i="5"/>
  <c r="N4" i="5"/>
  <c r="N6" i="5"/>
  <c r="N44" i="5" l="1"/>
  <c r="T6" i="5"/>
  <c r="T5" i="5"/>
  <c r="T44" i="5" l="1"/>
  <c r="C15" i="4"/>
  <c r="C18" i="4" s="1"/>
  <c r="D15" i="4"/>
  <c r="D18" i="4" s="1"/>
  <c r="E15" i="4"/>
  <c r="E18" i="4" s="1"/>
  <c r="F15" i="4"/>
  <c r="F18" i="4" s="1"/>
  <c r="G15" i="4"/>
  <c r="G18" i="4" s="1"/>
  <c r="H15" i="4"/>
  <c r="H18" i="4" s="1"/>
  <c r="I15" i="4"/>
  <c r="I18" i="4" s="1"/>
  <c r="J15" i="4"/>
  <c r="J18" i="4" s="1"/>
  <c r="K15" i="4"/>
  <c r="K18" i="4" s="1"/>
  <c r="L15" i="4"/>
  <c r="L18" i="4" s="1"/>
  <c r="M15" i="4"/>
  <c r="M18" i="4" s="1"/>
  <c r="B15" i="4"/>
  <c r="B18" i="4" s="1"/>
  <c r="N6" i="4" l="1"/>
  <c r="B25" i="1" s="1"/>
  <c r="N8" i="4"/>
  <c r="N11" i="4" s="1"/>
  <c r="N3" i="4"/>
  <c r="B24" i="1" s="1"/>
  <c r="B14" i="1"/>
  <c r="N14" i="4" l="1"/>
  <c r="B15" i="1" l="1"/>
  <c r="B16" i="1" s="1"/>
  <c r="N15" i="4"/>
  <c r="N18" i="4" s="1"/>
  <c r="G14" i="3"/>
  <c r="G16" i="3" s="1"/>
  <c r="A11" i="3"/>
  <c r="A12" i="3" s="1"/>
  <c r="A14" i="3" s="1"/>
  <c r="A16" i="3" s="1"/>
  <c r="A19" i="3" s="1"/>
  <c r="A21" i="3" s="1"/>
  <c r="A23" i="3" s="1"/>
  <c r="A25" i="3" s="1"/>
  <c r="C7" i="3"/>
  <c r="G7" i="3" s="1"/>
  <c r="G19" i="3" l="1"/>
  <c r="G21" i="3" s="1"/>
  <c r="G23" i="3" l="1"/>
  <c r="G25" i="3" s="1"/>
  <c r="B8" i="1" s="1"/>
  <c r="B9" i="1" s="1"/>
  <c r="B11" i="1" s="1"/>
  <c r="B26" i="1"/>
  <c r="B19" i="1" l="1"/>
  <c r="B20" i="1" s="1"/>
  <c r="B30" i="1" s="1"/>
  <c r="V10" i="5" s="1"/>
  <c r="B29" i="1" l="1"/>
  <c r="V4" i="5" s="1"/>
  <c r="V5" i="5" s="1"/>
  <c r="V6" i="5" s="1"/>
  <c r="W6" i="5" s="1"/>
  <c r="Y6" i="5" s="1"/>
  <c r="V39" i="5"/>
  <c r="W39" i="5" s="1"/>
  <c r="Y39" i="5" s="1"/>
  <c r="V40" i="5"/>
  <c r="W40" i="5" s="1"/>
  <c r="Y40" i="5" s="1"/>
  <c r="V22" i="5"/>
  <c r="W22" i="5" s="1"/>
  <c r="Y22" i="5" s="1"/>
  <c r="V36" i="5"/>
  <c r="W36" i="5" s="1"/>
  <c r="Y36" i="5" s="1"/>
  <c r="V21" i="5"/>
  <c r="W21" i="5" s="1"/>
  <c r="Y21" i="5" s="1"/>
  <c r="V33" i="5"/>
  <c r="W33" i="5" s="1"/>
  <c r="Y33" i="5" s="1"/>
  <c r="V26" i="5"/>
  <c r="W26" i="5" s="1"/>
  <c r="Y26" i="5" s="1"/>
  <c r="V20" i="5"/>
  <c r="W20" i="5" s="1"/>
  <c r="Y20" i="5" s="1"/>
  <c r="V34" i="5"/>
  <c r="W34" i="5" s="1"/>
  <c r="Y34" i="5" s="1"/>
  <c r="V15" i="5"/>
  <c r="W15" i="5" s="1"/>
  <c r="Y15" i="5" s="1"/>
  <c r="V23" i="5"/>
  <c r="W23" i="5" s="1"/>
  <c r="Y23" i="5" s="1"/>
  <c r="V29" i="5"/>
  <c r="W29" i="5" s="1"/>
  <c r="Y29" i="5" s="1"/>
  <c r="V35" i="5"/>
  <c r="W35" i="5" s="1"/>
  <c r="Y35" i="5" s="1"/>
  <c r="V16" i="5"/>
  <c r="W16" i="5" s="1"/>
  <c r="Y16" i="5" s="1"/>
  <c r="V14" i="5"/>
  <c r="W14" i="5" s="1"/>
  <c r="Y14" i="5" s="1"/>
  <c r="V24" i="5"/>
  <c r="W24" i="5" s="1"/>
  <c r="Y24" i="5" s="1"/>
  <c r="V30" i="5"/>
  <c r="W30" i="5" s="1"/>
  <c r="Y30" i="5" s="1"/>
  <c r="V13" i="5"/>
  <c r="W13" i="5" s="1"/>
  <c r="Y13" i="5" s="1"/>
  <c r="V25" i="5"/>
  <c r="W25" i="5" s="1"/>
  <c r="Y25" i="5" s="1"/>
  <c r="V11" i="5"/>
  <c r="W11" i="5" s="1"/>
  <c r="Y11" i="5" s="1"/>
  <c r="W10" i="5"/>
  <c r="Y10" i="5" s="1"/>
  <c r="V17" i="5"/>
  <c r="W17" i="5" s="1"/>
  <c r="Y17" i="5" s="1"/>
  <c r="V12" i="5"/>
  <c r="W12" i="5" s="1"/>
  <c r="Y12" i="5" s="1"/>
  <c r="V42" i="5"/>
  <c r="W42" i="5" s="1"/>
  <c r="Y42" i="5" s="1"/>
  <c r="B21" i="1"/>
  <c r="W5" i="5" l="1"/>
  <c r="Y5" i="5" s="1"/>
  <c r="W4" i="5"/>
  <c r="Y4" i="5" s="1"/>
  <c r="Y44" i="5" l="1"/>
  <c r="W44" i="5"/>
</calcChain>
</file>

<file path=xl/sharedStrings.xml><?xml version="1.0" encoding="utf-8"?>
<sst xmlns="http://schemas.openxmlformats.org/spreadsheetml/2006/main" count="133" uniqueCount="114">
  <si>
    <t>KENTUCKY POWER COMPANY</t>
  </si>
  <si>
    <t>COMPUTATION OF THE GROSS REVENUE</t>
  </si>
  <si>
    <t>CONVERSION FACTOR</t>
  </si>
  <si>
    <t>Line       No.</t>
  </si>
  <si>
    <t>Description</t>
  </si>
  <si>
    <t xml:space="preserve">Percent of                  Incremental                          Gross Revenues </t>
  </si>
  <si>
    <t>Operating Revenues</t>
  </si>
  <si>
    <t>Less: Uncollectible Accounts Expense   1/</t>
  </si>
  <si>
    <t>KPSC Maintenance Fee</t>
  </si>
  <si>
    <t>---------------------</t>
  </si>
  <si>
    <t>Income Before income Taxes</t>
  </si>
  <si>
    <t>Income Before Federal Income Taxes</t>
  </si>
  <si>
    <t>Operating Income Percentage</t>
  </si>
  <si>
    <t>Gross Revenue Conversion Factor (100% / L8)</t>
  </si>
  <si>
    <t>===========</t>
  </si>
  <si>
    <t>Total</t>
  </si>
  <si>
    <t>Applicable GRCF</t>
  </si>
  <si>
    <t>Kentucky Power Company</t>
  </si>
  <si>
    <t>Current Revenue</t>
  </si>
  <si>
    <t>Residential Class</t>
  </si>
  <si>
    <t>All Other</t>
  </si>
  <si>
    <t>All Other kWh</t>
  </si>
  <si>
    <t>Residential Monthly kWh</t>
  </si>
  <si>
    <t>All Other Classes</t>
  </si>
  <si>
    <t>Annual kWh</t>
  </si>
  <si>
    <t>Total kWh</t>
  </si>
  <si>
    <t>RES Rev</t>
  </si>
  <si>
    <t>C&amp;I Rev</t>
  </si>
  <si>
    <t>a</t>
  </si>
  <si>
    <t>b</t>
  </si>
  <si>
    <t>c = a*b</t>
  </si>
  <si>
    <t>e</t>
  </si>
  <si>
    <t>g</t>
  </si>
  <si>
    <t>Less: Federal income Taxes (L6 X 21.00%)</t>
  </si>
  <si>
    <t>Less: State Income Taxes (L4 X 5.0065%)   2/</t>
  </si>
  <si>
    <t>j</t>
  </si>
  <si>
    <t>k</t>
  </si>
  <si>
    <t>Apr - Nov</t>
  </si>
  <si>
    <t>Dec - Mar</t>
  </si>
  <si>
    <t>OL</t>
  </si>
  <si>
    <t>GS-NM</t>
  </si>
  <si>
    <t>GS-SEC</t>
  </si>
  <si>
    <t>GS-AF</t>
  </si>
  <si>
    <t>GS-PRI</t>
  </si>
  <si>
    <t>GSLMTOD</t>
  </si>
  <si>
    <t>SGS TOD</t>
  </si>
  <si>
    <t>MGSTOD</t>
  </si>
  <si>
    <t>GS-SUB</t>
  </si>
  <si>
    <t>LGS-SEC</t>
  </si>
  <si>
    <t>LGS-PRI</t>
  </si>
  <si>
    <t>LGS-SUB</t>
  </si>
  <si>
    <t>LGS-TRAN</t>
  </si>
  <si>
    <t>LGSLMTOD</t>
  </si>
  <si>
    <t>LGS-SEC TOD</t>
  </si>
  <si>
    <t>LGS-PRI TOD</t>
  </si>
  <si>
    <t>PS-SEC</t>
  </si>
  <si>
    <t>PS-PRI</t>
  </si>
  <si>
    <t>IGS-PRI</t>
  </si>
  <si>
    <t>IGS-SUB</t>
  </si>
  <si>
    <t>IGS-TRAN</t>
  </si>
  <si>
    <t>IGS-SEC</t>
  </si>
  <si>
    <t>SL</t>
  </si>
  <si>
    <t>MW</t>
  </si>
  <si>
    <t>Current</t>
  </si>
  <si>
    <t>Rates</t>
  </si>
  <si>
    <t>$</t>
  </si>
  <si>
    <t>Proposed</t>
  </si>
  <si>
    <t>Current Rates</t>
  </si>
  <si>
    <t>RS</t>
  </si>
  <si>
    <t>RS LMTOD</t>
  </si>
  <si>
    <t>RS TOD</t>
  </si>
  <si>
    <t>Increase</t>
  </si>
  <si>
    <t>d = a+b+c</t>
  </si>
  <si>
    <t>f = d*e</t>
  </si>
  <si>
    <t>Revenue (Credit)/Charge</t>
  </si>
  <si>
    <t>i</t>
  </si>
  <si>
    <t>Class Revenue Requirement</t>
  </si>
  <si>
    <t>Class Annual kWh</t>
  </si>
  <si>
    <t>Residential kWh</t>
  </si>
  <si>
    <t>Tariff Rates</t>
  </si>
  <si>
    <t>Residential Rate</t>
  </si>
  <si>
    <t>All Other Rate</t>
  </si>
  <si>
    <t>Federal Tax Change Tariff</t>
  </si>
  <si>
    <t>h = f+g</t>
  </si>
  <si>
    <t>o</t>
  </si>
  <si>
    <t>p = n+o</t>
  </si>
  <si>
    <t>n</t>
  </si>
  <si>
    <t>q = l/n</t>
  </si>
  <si>
    <t>r = m/o</t>
  </si>
  <si>
    <t>l = h*(i/k)</t>
  </si>
  <si>
    <t>m = h*(j/k)</t>
  </si>
  <si>
    <t>KY Retail Protected Excess G&amp;D ADIT Amortization</t>
  </si>
  <si>
    <t>KY Retail Protected Excess Amortization Reduction for NOLC</t>
  </si>
  <si>
    <t>KY Retail Corporate Alternative Minimum Tax - Prior calendar year actual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</si>
  <si>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</si>
  <si>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</si>
  <si>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</si>
  <si>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</si>
  <si>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</si>
  <si>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</si>
  <si>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</si>
  <si>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</si>
  <si>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</si>
  <si>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</si>
  <si>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</si>
  <si>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</si>
  <si>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 2024 - Aug 2025</t>
  </si>
  <si>
    <t>Total Tariff Summary</t>
  </si>
  <si>
    <t>C&amp;I Tariff Summary</t>
  </si>
  <si>
    <t>Res. Tariff Summary</t>
  </si>
  <si>
    <t>Total Tariff Revenue</t>
  </si>
  <si>
    <t>Check</t>
  </si>
  <si>
    <t>(Over)/Under Recovery Balance - ADIT Benefits*</t>
  </si>
  <si>
    <t>* Any over or under-recovery for ADIT benefits related to the securitized Non-Decommissioning Rider Regulatory Assets.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</si>
</sst>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&quot;$&quot;* #,##0_);_(&quot;$&quot;* \(#,##0\);_(&quot;$&quot;* &quot;-&quot;??_);_(@_)"/>
    <numFmt numFmtId="167" formatCode="_(* #,##0.00000_);_(* \(#,##0.00000\);_(* &quot;-&quot;??_);_(@_)"/>
    <numFmt numFmtId="168" formatCode="0.0%"/>
    <numFmt numFmtId="169" formatCode="_(* #,##0.0000_);_(* \(#,##0.0000\);_(* &quot;-&quot;??_);_(@_)"/>
    <numFmt numFmtId="170" formatCode="_(&quot;$&quot;* #,##0.00000_);_(&quot;$&quot;* \(#,##0.00000\);_(&quot;$&quot;* &quot;-&quot;??_);_(@_)"/>
    <numFmt numFmtId="171" formatCode="0.00000000"/>
    <numFmt numFmtId="172" formatCode="[$-409]mmmm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166" fontId="0" fillId="0" borderId="0" xfId="2" applyNumberFormat="1" applyFont="1"/>
    <xf numFmtId="167" fontId="0" fillId="0" borderId="0" xfId="1" applyNumberFormat="1" applyFont="1"/>
    <xf numFmtId="0" fontId="2" fillId="0" borderId="0" xfId="0" applyFont="1"/>
    <xf numFmtId="165" fontId="0" fillId="0" borderId="0" xfId="1" applyNumberFormat="1" applyFont="1" applyBorder="1"/>
    <xf numFmtId="168" fontId="0" fillId="0" borderId="0" xfId="3" applyNumberFormat="1" applyFont="1" applyAlignment="1">
      <alignment horizontal="center"/>
    </xf>
    <xf numFmtId="166" fontId="0" fillId="0" borderId="0" xfId="2" applyNumberFormat="1" applyFont="1" applyBorder="1"/>
    <xf numFmtId="38" fontId="0" fillId="0" borderId="0" xfId="0" applyNumberFormat="1"/>
    <xf numFmtId="17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7" fontId="0" fillId="0" borderId="0" xfId="0" applyNumberFormat="1"/>
    <xf numFmtId="167" fontId="0" fillId="0" borderId="0" xfId="0" applyNumberFormat="1" applyAlignment="1"/>
    <xf numFmtId="6" fontId="0" fillId="0" borderId="0" xfId="0" applyNumberFormat="1"/>
    <xf numFmtId="0" fontId="0" fillId="0" borderId="0" xfId="0" applyFont="1"/>
    <xf numFmtId="0" fontId="6" fillId="0" borderId="0" xfId="0" applyFont="1"/>
    <xf numFmtId="0" fontId="6" fillId="0" borderId="0" xfId="4" applyFont="1"/>
    <xf numFmtId="0" fontId="6" fillId="0" borderId="0" xfId="4" applyFont="1" applyFill="1"/>
    <xf numFmtId="0" fontId="6" fillId="0" borderId="0" xfId="4" applyFont="1" applyBorder="1"/>
    <xf numFmtId="0" fontId="6" fillId="0" borderId="0" xfId="0" applyFont="1" applyBorder="1"/>
    <xf numFmtId="0" fontId="4" fillId="0" borderId="0" xfId="0" applyFont="1" applyAlignment="1">
      <alignment horizontal="center"/>
    </xf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quotePrefix="1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165" fontId="0" fillId="0" borderId="0" xfId="0" applyNumberFormat="1" applyFont="1" applyBorder="1"/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right"/>
    </xf>
    <xf numFmtId="49" fontId="9" fillId="0" borderId="0" xfId="0" applyNumberFormat="1" applyFont="1" applyFill="1" applyAlignment="1">
      <alignment horizontal="center" wrapText="1"/>
    </xf>
    <xf numFmtId="37" fontId="9" fillId="0" borderId="0" xfId="0" applyNumberFormat="1" applyFont="1" applyFill="1" applyAlignment="1">
      <alignment horizontal="center" wrapText="1"/>
    </xf>
    <xf numFmtId="37" fontId="9" fillId="0" borderId="0" xfId="0" applyNumberFormat="1" applyFont="1" applyFill="1" applyAlignment="1">
      <alignment horizontal="center"/>
    </xf>
    <xf numFmtId="49" fontId="9" fillId="0" borderId="0" xfId="0" applyNumberFormat="1" applyFont="1" applyFill="1"/>
    <xf numFmtId="5" fontId="9" fillId="0" borderId="0" xfId="0" applyNumberFormat="1" applyFont="1" applyFill="1"/>
    <xf numFmtId="10" fontId="9" fillId="0" borderId="0" xfId="0" applyNumberFormat="1" applyFont="1" applyFill="1"/>
    <xf numFmtId="164" fontId="9" fillId="0" borderId="0" xfId="0" applyNumberFormat="1" applyFont="1" applyFill="1"/>
    <xf numFmtId="10" fontId="9" fillId="0" borderId="0" xfId="0" applyNumberFormat="1" applyFont="1" applyFill="1" applyAlignment="1">
      <alignment horizontal="right"/>
    </xf>
    <xf numFmtId="49" fontId="9" fillId="0" borderId="0" xfId="0" applyNumberFormat="1" applyFont="1" applyFill="1" applyAlignment="1">
      <alignment horizontal="right"/>
    </xf>
    <xf numFmtId="171" fontId="10" fillId="0" borderId="0" xfId="0" applyNumberFormat="1" applyFont="1" applyFill="1"/>
    <xf numFmtId="0" fontId="1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44" fontId="0" fillId="0" borderId="0" xfId="2" applyFont="1"/>
    <xf numFmtId="167" fontId="0" fillId="0" borderId="1" xfId="1" applyNumberFormat="1" applyFont="1" applyFill="1" applyBorder="1"/>
    <xf numFmtId="166" fontId="0" fillId="0" borderId="0" xfId="2" applyNumberFormat="1" applyFont="1" applyFill="1"/>
    <xf numFmtId="166" fontId="0" fillId="0" borderId="1" xfId="2" applyNumberFormat="1" applyFont="1" applyFill="1" applyBorder="1"/>
    <xf numFmtId="0" fontId="12" fillId="0" borderId="0" xfId="0" applyFont="1"/>
    <xf numFmtId="166" fontId="13" fillId="0" borderId="0" xfId="0" applyNumberFormat="1" applyFont="1"/>
    <xf numFmtId="0" fontId="13" fillId="0" borderId="0" xfId="0" applyFont="1"/>
    <xf numFmtId="49" fontId="9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/>
    <xf numFmtId="166" fontId="6" fillId="0" borderId="0" xfId="2" applyNumberFormat="1" applyFont="1" applyFill="1"/>
    <xf numFmtId="0" fontId="7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166" fontId="0" fillId="0" borderId="0" xfId="0" applyNumberFormat="1" applyFont="1" applyFill="1"/>
    <xf numFmtId="166" fontId="0" fillId="0" borderId="1" xfId="0" applyNumberFormat="1" applyFont="1" applyFill="1" applyBorder="1"/>
    <xf numFmtId="166" fontId="0" fillId="0" borderId="0" xfId="2" applyNumberFormat="1" applyFont="1" applyFill="1" applyAlignment="1">
      <alignment horizontal="center"/>
    </xf>
    <xf numFmtId="165" fontId="0" fillId="0" borderId="0" xfId="1" applyNumberFormat="1" applyFont="1" applyFill="1" applyBorder="1" applyAlignment="1">
      <alignment vertical="center"/>
    </xf>
    <xf numFmtId="165" fontId="0" fillId="0" borderId="1" xfId="1" applyNumberFormat="1" applyFont="1" applyFill="1" applyBorder="1" applyAlignment="1">
      <alignment vertical="center"/>
    </xf>
    <xf numFmtId="165" fontId="0" fillId="0" borderId="0" xfId="1" applyNumberFormat="1" applyFont="1" applyFill="1" applyBorder="1"/>
    <xf numFmtId="170" fontId="0" fillId="0" borderId="0" xfId="2" applyNumberFormat="1" applyFont="1" applyFill="1" applyBorder="1"/>
    <xf numFmtId="0" fontId="0" fillId="0" borderId="0" xfId="0" applyFont="1" applyFill="1" applyBorder="1"/>
    <xf numFmtId="0" fontId="14" fillId="0" borderId="0" xfId="0" applyFont="1" applyFill="1"/>
    <xf numFmtId="0" fontId="6" fillId="0" borderId="0" xfId="0" applyFont="1" applyFill="1"/>
    <xf numFmtId="0" fontId="15" fillId="0" borderId="0" xfId="0" applyFont="1" applyFill="1"/>
    <xf numFmtId="0" fontId="14" fillId="0" borderId="0" xfId="0" applyFont="1" applyFill="1" applyAlignment="1">
      <alignment horizontal="center"/>
    </xf>
    <xf numFmtId="165" fontId="6" fillId="0" borderId="0" xfId="1" applyNumberFormat="1" applyFont="1" applyFill="1"/>
    <xf numFmtId="169" fontId="6" fillId="0" borderId="0" xfId="0" applyNumberFormat="1" applyFont="1" applyFill="1"/>
    <xf numFmtId="165" fontId="6" fillId="0" borderId="0" xfId="0" applyNumberFormat="1" applyFont="1" applyFill="1"/>
    <xf numFmtId="0" fontId="6" fillId="0" borderId="0" xfId="0" applyFont="1" applyFill="1" applyAlignment="1">
      <alignment horizontal="center"/>
    </xf>
    <xf numFmtId="3" fontId="6" fillId="0" borderId="0" xfId="0" applyNumberFormat="1" applyFont="1" applyFill="1"/>
    <xf numFmtId="41" fontId="6" fillId="0" borderId="0" xfId="0" applyNumberFormat="1" applyFont="1" applyFill="1"/>
    <xf numFmtId="3" fontId="6" fillId="0" borderId="1" xfId="0" applyNumberFormat="1" applyFont="1" applyFill="1" applyBorder="1"/>
    <xf numFmtId="42" fontId="6" fillId="0" borderId="0" xfId="0" applyNumberFormat="1" applyFont="1" applyFill="1"/>
    <xf numFmtId="49" fontId="9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/>
    <xf numFmtId="0" fontId="4" fillId="0" borderId="1" xfId="0" applyFont="1" applyBorder="1" applyAlignment="1">
      <alignment horizontal="center"/>
    </xf>
    <xf numFmtId="0" fontId="0" fillId="0" borderId="0" xfId="0" applyFont="1" applyBorder="1" applyAlignment="1">
      <alignment horizontal="left" vertical="top" wrapText="1"/>
    </xf>
    <xf numFmtId="0" fontId="16" fillId="0" borderId="0" xfId="6" applyFont="1" applyFill="1"/>
  </cellXfs>
  <cellStyles count="7">
    <cellStyle name="Comma" xfId="1" builtinId="3"/>
    <cellStyle name="Comma 2" xfId="5" xr:uid="{3178F433-2DD2-4BBB-8187-EA0B23596A38}"/>
    <cellStyle name="Currency" xfId="2" builtinId="4"/>
    <cellStyle name="Hyperlink" xfId="6" builtinId="8"/>
    <cellStyle name="Normal" xfId="0" builtinId="0"/>
    <cellStyle name="Normal 2" xfId="4" xr:uid="{D05AC72C-0ED3-42F0-AB03-DA1191D59D64}"/>
    <cellStyle name="Percent" xfId="3" builtinId="5"/>
  </cellStyles>
  <dxfs count="0"/>
  <tableStyles count="0" defaultTableStyle="TableStyleMedium2" defaultPivotStyle="PivotStyleLight16"/>
  <colors>
    <mruColors>
      <color rgb="FFFFFF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F38"/>
  <sheetViews>
    <sheetView tabSelected="1" zoomScale="90" zoomScaleNormal="90" workbookViewId="0">
      <selection activeCell="B1" sqref="B1"/>
    </sheetView>
  </sheetViews>
  <sheetFormatPr defaultRowHeight="15" x14ac:dyDescent="0.25"/>
  <cols>
    <col min="1" max="1" width="66.5703125" style="13" bestFit="1" customWidth="1"/>
    <col min="2" max="2" width="15" style="1" bestFit="1" customWidth="1"/>
    <col min="3" max="3" width="15.140625" style="21" bestFit="1" customWidth="1"/>
    <col min="4" max="4" width="9.140625" style="13"/>
    <col min="5" max="5" width="10" style="13" bestFit="1" customWidth="1"/>
    <col min="6" max="6" width="16.140625" style="13" bestFit="1" customWidth="1"/>
    <col min="7" max="16384" width="9.140625" style="13"/>
  </cols>
  <sheetData>
    <row r="1" spans="1:6" ht="18.75" x14ac:dyDescent="0.3">
      <c r="A1" s="3" t="s">
        <v>17</v>
      </c>
    </row>
    <row r="2" spans="1:6" ht="18.75" x14ac:dyDescent="0.3">
      <c r="A2" s="3" t="s">
        <v>82</v>
      </c>
    </row>
    <row r="4" spans="1:6" x14ac:dyDescent="0.25">
      <c r="A4" s="13" t="s">
        <v>91</v>
      </c>
      <c r="B4" s="50">
        <v>-1969031</v>
      </c>
      <c r="C4" s="21" t="s">
        <v>28</v>
      </c>
    </row>
    <row r="5" spans="1:6" x14ac:dyDescent="0.25">
      <c r="A5" s="13" t="s">
        <v>92</v>
      </c>
      <c r="B5" s="43">
        <v>0</v>
      </c>
      <c r="C5" s="21" t="s">
        <v>29</v>
      </c>
    </row>
    <row r="6" spans="1:6" x14ac:dyDescent="0.25">
      <c r="A6" s="13" t="s">
        <v>93</v>
      </c>
      <c r="B6" s="44">
        <v>0</v>
      </c>
      <c r="C6" s="21" t="s">
        <v>30</v>
      </c>
    </row>
    <row r="7" spans="1:6" x14ac:dyDescent="0.25">
      <c r="A7" s="13" t="s">
        <v>15</v>
      </c>
      <c r="B7" s="43">
        <f>SUM(B4:B6)</f>
        <v>-1969031</v>
      </c>
      <c r="C7" s="21" t="s">
        <v>72</v>
      </c>
    </row>
    <row r="8" spans="1:6" x14ac:dyDescent="0.25">
      <c r="A8" s="13" t="s">
        <v>16</v>
      </c>
      <c r="B8" s="42">
        <f>GRCF!G25</f>
        <v>1.33849291</v>
      </c>
      <c r="C8" s="21" t="s">
        <v>31</v>
      </c>
    </row>
    <row r="9" spans="1:6" x14ac:dyDescent="0.25">
      <c r="A9" s="13" t="s">
        <v>74</v>
      </c>
      <c r="B9" s="43">
        <f>B7*B8</f>
        <v>-2635534.0330702099</v>
      </c>
      <c r="C9" s="21" t="s">
        <v>73</v>
      </c>
    </row>
    <row r="10" spans="1:6" x14ac:dyDescent="0.25">
      <c r="A10" s="13" t="s">
        <v>112</v>
      </c>
      <c r="B10" s="44">
        <v>-929114.97434925381</v>
      </c>
      <c r="C10" s="21" t="s">
        <v>32</v>
      </c>
      <c r="D10" s="45"/>
      <c r="E10" s="46"/>
      <c r="F10" s="47"/>
    </row>
    <row r="11" spans="1:6" x14ac:dyDescent="0.25">
      <c r="A11" s="13" t="s">
        <v>74</v>
      </c>
      <c r="B11" s="43">
        <f>B9+B10</f>
        <v>-3564649.0074194637</v>
      </c>
      <c r="C11" s="21" t="s">
        <v>83</v>
      </c>
      <c r="F11" s="41"/>
    </row>
    <row r="12" spans="1:6" x14ac:dyDescent="0.25">
      <c r="B12" s="43"/>
      <c r="C12" s="5"/>
    </row>
    <row r="13" spans="1:6" x14ac:dyDescent="0.25">
      <c r="A13" s="20" t="s">
        <v>18</v>
      </c>
      <c r="B13" s="43"/>
    </row>
    <row r="14" spans="1:6" x14ac:dyDescent="0.25">
      <c r="A14" s="13" t="s">
        <v>19</v>
      </c>
      <c r="B14" s="43">
        <f>'kWh &amp; Revenue'!N13</f>
        <v>301778963.85000002</v>
      </c>
      <c r="C14" s="22" t="s">
        <v>75</v>
      </c>
    </row>
    <row r="15" spans="1:6" x14ac:dyDescent="0.25">
      <c r="A15" s="13" t="s">
        <v>20</v>
      </c>
      <c r="B15" s="44">
        <f>'kWh &amp; Revenue'!N14</f>
        <v>380111338.15000004</v>
      </c>
      <c r="C15" s="21" t="s">
        <v>35</v>
      </c>
    </row>
    <row r="16" spans="1:6" x14ac:dyDescent="0.25">
      <c r="A16" s="13" t="s">
        <v>15</v>
      </c>
      <c r="B16" s="43">
        <f>B15+B14</f>
        <v>681890302</v>
      </c>
      <c r="C16" s="22" t="s">
        <v>36</v>
      </c>
    </row>
    <row r="17" spans="1:3" ht="17.25" customHeight="1" x14ac:dyDescent="0.25">
      <c r="B17" s="51"/>
      <c r="C17" s="23"/>
    </row>
    <row r="18" spans="1:3" ht="17.25" customHeight="1" x14ac:dyDescent="0.25">
      <c r="A18" s="20" t="s">
        <v>76</v>
      </c>
      <c r="B18" s="52"/>
      <c r="C18" s="23"/>
    </row>
    <row r="19" spans="1:3" x14ac:dyDescent="0.25">
      <c r="A19" s="13" t="s">
        <v>19</v>
      </c>
      <c r="B19" s="53">
        <f>(B14/B16)*B11</f>
        <v>-1577579.3859992113</v>
      </c>
      <c r="C19" s="21" t="s">
        <v>89</v>
      </c>
    </row>
    <row r="20" spans="1:3" x14ac:dyDescent="0.25">
      <c r="A20" s="13" t="s">
        <v>20</v>
      </c>
      <c r="B20" s="54">
        <f>B11-B19</f>
        <v>-1987069.6214202524</v>
      </c>
      <c r="C20" s="21" t="s">
        <v>90</v>
      </c>
    </row>
    <row r="21" spans="1:3" x14ac:dyDescent="0.25">
      <c r="A21" s="13" t="s">
        <v>15</v>
      </c>
      <c r="B21" s="53">
        <f>B20+B19</f>
        <v>-3564649.0074194637</v>
      </c>
    </row>
    <row r="22" spans="1:3" x14ac:dyDescent="0.25">
      <c r="B22" s="43"/>
    </row>
    <row r="23" spans="1:3" ht="13.5" customHeight="1" x14ac:dyDescent="0.25">
      <c r="A23" s="20" t="s">
        <v>77</v>
      </c>
      <c r="B23" s="55" t="s">
        <v>24</v>
      </c>
    </row>
    <row r="24" spans="1:3" x14ac:dyDescent="0.25">
      <c r="A24" s="13" t="s">
        <v>78</v>
      </c>
      <c r="B24" s="56">
        <f>'kWh &amp; Revenue'!N3</f>
        <v>1901549940</v>
      </c>
      <c r="C24" s="22" t="s">
        <v>86</v>
      </c>
    </row>
    <row r="25" spans="1:3" x14ac:dyDescent="0.25">
      <c r="A25" s="13" t="s">
        <v>21</v>
      </c>
      <c r="B25" s="57">
        <f>'kWh &amp; Revenue'!N6</f>
        <v>3431886084</v>
      </c>
      <c r="C25" s="22" t="s">
        <v>84</v>
      </c>
    </row>
    <row r="26" spans="1:3" x14ac:dyDescent="0.25">
      <c r="A26" s="13" t="s">
        <v>15</v>
      </c>
      <c r="B26" s="58">
        <f>SUM(B24:B25)</f>
        <v>5333436024</v>
      </c>
      <c r="C26" s="22" t="s">
        <v>85</v>
      </c>
    </row>
    <row r="27" spans="1:3" x14ac:dyDescent="0.25">
      <c r="B27" s="40"/>
      <c r="C27" s="13"/>
    </row>
    <row r="28" spans="1:3" x14ac:dyDescent="0.25">
      <c r="A28" s="20" t="s">
        <v>79</v>
      </c>
      <c r="B28" s="40"/>
      <c r="C28" s="13"/>
    </row>
    <row r="29" spans="1:3" x14ac:dyDescent="0.25">
      <c r="A29" s="24" t="s">
        <v>80</v>
      </c>
      <c r="B29" s="59">
        <f>ROUND(B19/$B$24,5)</f>
        <v>-8.3000000000000001E-4</v>
      </c>
      <c r="C29" s="21" t="s">
        <v>87</v>
      </c>
    </row>
    <row r="30" spans="1:3" x14ac:dyDescent="0.25">
      <c r="A30" s="24" t="s">
        <v>81</v>
      </c>
      <c r="B30" s="59">
        <f>ROUND(B20/$B$25,5)</f>
        <v>-5.8E-4</v>
      </c>
      <c r="C30" s="21" t="s">
        <v>88</v>
      </c>
    </row>
    <row r="31" spans="1:3" x14ac:dyDescent="0.25">
      <c r="A31" s="24"/>
      <c r="B31" s="59"/>
    </row>
    <row r="32" spans="1:3" x14ac:dyDescent="0.25">
      <c r="B32" s="58"/>
    </row>
    <row r="33" spans="1:3" s="24" customFormat="1" x14ac:dyDescent="0.25">
      <c r="A33" s="76" t="s">
        <v>113</v>
      </c>
      <c r="B33" s="76"/>
      <c r="C33" s="76"/>
    </row>
    <row r="34" spans="1:3" s="24" customFormat="1" x14ac:dyDescent="0.25">
      <c r="A34" s="76"/>
      <c r="B34" s="76"/>
      <c r="C34" s="76"/>
    </row>
    <row r="35" spans="1:3" s="24" customFormat="1" x14ac:dyDescent="0.25">
      <c r="A35" s="25"/>
      <c r="B35" s="60"/>
    </row>
    <row r="36" spans="1:3" s="24" customFormat="1" x14ac:dyDescent="0.25">
      <c r="B36" s="56"/>
      <c r="C36" s="23"/>
    </row>
    <row r="37" spans="1:3" s="24" customFormat="1" x14ac:dyDescent="0.25">
      <c r="B37" s="4"/>
      <c r="C37" s="23"/>
    </row>
    <row r="38" spans="1:3" s="24" customFormat="1" x14ac:dyDescent="0.25">
      <c r="B38" s="6"/>
      <c r="C38" s="23"/>
    </row>
  </sheetData>
  <mergeCells count="1">
    <mergeCell ref="A33:C34"/>
  </mergeCells>
  <pageMargins left="0.7" right="0.7" top="0.75" bottom="0.7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6" tint="0.39997558519241921"/>
    <pageSetUpPr fitToPage="1"/>
  </sheetPr>
  <dimension ref="A1:G40"/>
  <sheetViews>
    <sheetView topLeftCell="A3" zoomScale="90" zoomScaleNormal="90" workbookViewId="0">
      <selection activeCell="G16" sqref="G16"/>
    </sheetView>
  </sheetViews>
  <sheetFormatPr defaultColWidth="9.140625" defaultRowHeight="12.75" x14ac:dyDescent="0.2"/>
  <cols>
    <col min="1" max="1" width="4.42578125" style="26" bestFit="1" customWidth="1"/>
    <col min="2" max="2" width="2.28515625" style="27" customWidth="1"/>
    <col min="3" max="3" width="44.85546875" style="27" customWidth="1"/>
    <col min="4" max="4" width="8.7109375" style="32" customWidth="1"/>
    <col min="5" max="5" width="10.28515625" style="27" bestFit="1" customWidth="1"/>
    <col min="6" max="6" width="2.28515625" style="27" customWidth="1"/>
    <col min="7" max="7" width="20.42578125" style="27" bestFit="1" customWidth="1"/>
    <col min="8" max="8" width="2.28515625" style="27" customWidth="1"/>
    <col min="9" max="16384" width="9.140625" style="27"/>
  </cols>
  <sheetData>
    <row r="1" spans="1:7" x14ac:dyDescent="0.2">
      <c r="C1" s="73" t="s">
        <v>0</v>
      </c>
      <c r="D1" s="74"/>
      <c r="E1" s="74"/>
      <c r="F1" s="49"/>
      <c r="G1" s="28"/>
    </row>
    <row r="2" spans="1:7" x14ac:dyDescent="0.2">
      <c r="C2" s="73" t="s">
        <v>1</v>
      </c>
      <c r="D2" s="74"/>
      <c r="E2" s="74"/>
      <c r="F2" s="49"/>
      <c r="G2" s="28"/>
    </row>
    <row r="3" spans="1:7" x14ac:dyDescent="0.2">
      <c r="C3" s="73" t="s">
        <v>2</v>
      </c>
      <c r="D3" s="74"/>
      <c r="E3" s="74"/>
      <c r="F3" s="49"/>
      <c r="G3" s="28"/>
    </row>
    <row r="4" spans="1:7" x14ac:dyDescent="0.2">
      <c r="C4" s="73"/>
      <c r="D4" s="74"/>
      <c r="E4" s="74"/>
      <c r="F4" s="49"/>
    </row>
    <row r="5" spans="1:7" x14ac:dyDescent="0.2">
      <c r="D5" s="48"/>
    </row>
    <row r="6" spans="1:7" ht="38.25" x14ac:dyDescent="0.2">
      <c r="A6" s="29" t="s">
        <v>3</v>
      </c>
      <c r="C6" s="26" t="s">
        <v>4</v>
      </c>
      <c r="D6" s="48"/>
      <c r="E6" s="29"/>
      <c r="F6" s="29"/>
      <c r="G6" s="29" t="s">
        <v>5</v>
      </c>
    </row>
    <row r="7" spans="1:7" x14ac:dyDescent="0.2">
      <c r="A7" s="30">
        <v>-1</v>
      </c>
      <c r="C7" s="31">
        <f>+A7-1</f>
        <v>-2</v>
      </c>
      <c r="D7" s="48"/>
      <c r="E7" s="31"/>
      <c r="F7" s="31"/>
      <c r="G7" s="31">
        <f>+C7-1</f>
        <v>-3</v>
      </c>
    </row>
    <row r="8" spans="1:7" x14ac:dyDescent="0.2">
      <c r="A8" s="31"/>
    </row>
    <row r="9" spans="1:7" x14ac:dyDescent="0.2">
      <c r="A9" s="31">
        <v>1</v>
      </c>
      <c r="C9" s="27" t="s">
        <v>6</v>
      </c>
      <c r="E9" s="33"/>
      <c r="F9" s="33"/>
      <c r="G9" s="34">
        <v>1</v>
      </c>
    </row>
    <row r="10" spans="1:7" x14ac:dyDescent="0.2">
      <c r="A10" s="31"/>
      <c r="E10" s="33"/>
      <c r="F10" s="33"/>
      <c r="G10" s="34"/>
    </row>
    <row r="11" spans="1:7" x14ac:dyDescent="0.2">
      <c r="A11" s="31">
        <f>+A9+1</f>
        <v>2</v>
      </c>
      <c r="C11" s="27" t="s">
        <v>7</v>
      </c>
      <c r="E11" s="33"/>
      <c r="F11" s="33"/>
      <c r="G11" s="35">
        <v>2.8220741968490986E-3</v>
      </c>
    </row>
    <row r="12" spans="1:7" x14ac:dyDescent="0.2">
      <c r="A12" s="31">
        <f>+A11+1</f>
        <v>3</v>
      </c>
      <c r="C12" s="27" t="s">
        <v>8</v>
      </c>
      <c r="E12" s="33"/>
      <c r="F12" s="33"/>
      <c r="G12" s="35">
        <v>1.5950000000000001E-3</v>
      </c>
    </row>
    <row r="13" spans="1:7" x14ac:dyDescent="0.2">
      <c r="A13" s="31"/>
      <c r="E13" s="33"/>
      <c r="F13" s="33"/>
      <c r="G13" s="36" t="s">
        <v>9</v>
      </c>
    </row>
    <row r="14" spans="1:7" x14ac:dyDescent="0.2">
      <c r="A14" s="31">
        <f>+A12+1</f>
        <v>4</v>
      </c>
      <c r="C14" s="27" t="s">
        <v>10</v>
      </c>
      <c r="E14" s="33"/>
      <c r="F14" s="33"/>
      <c r="G14" s="35">
        <f>+G9-G11-G12</f>
        <v>0.99558292580315089</v>
      </c>
    </row>
    <row r="15" spans="1:7" x14ac:dyDescent="0.2">
      <c r="A15" s="31"/>
      <c r="E15" s="37"/>
      <c r="F15" s="37"/>
      <c r="G15" s="36"/>
    </row>
    <row r="16" spans="1:7" x14ac:dyDescent="0.2">
      <c r="A16" s="31">
        <f>+A14+1</f>
        <v>5</v>
      </c>
      <c r="C16" s="27" t="s">
        <v>34</v>
      </c>
      <c r="E16" s="35">
        <v>5.0097000000000003E-2</v>
      </c>
      <c r="F16" s="35"/>
      <c r="G16" s="35">
        <f>ROUND(G14*E16,6)</f>
        <v>4.9875999999999997E-2</v>
      </c>
    </row>
    <row r="17" spans="1:7" x14ac:dyDescent="0.2">
      <c r="A17" s="31"/>
      <c r="E17" s="37"/>
      <c r="F17" s="37"/>
      <c r="G17" s="36" t="s">
        <v>9</v>
      </c>
    </row>
    <row r="18" spans="1:7" x14ac:dyDescent="0.2">
      <c r="A18" s="31"/>
      <c r="E18" s="37"/>
      <c r="F18" s="37"/>
      <c r="G18" s="36"/>
    </row>
    <row r="19" spans="1:7" x14ac:dyDescent="0.2">
      <c r="A19" s="31">
        <f>+A16+1</f>
        <v>6</v>
      </c>
      <c r="C19" s="27" t="s">
        <v>11</v>
      </c>
      <c r="E19" s="33"/>
      <c r="F19" s="33"/>
      <c r="G19" s="35">
        <f>+G14-G16</f>
        <v>0.94570692580315086</v>
      </c>
    </row>
    <row r="20" spans="1:7" x14ac:dyDescent="0.2">
      <c r="A20" s="31"/>
      <c r="E20" s="37"/>
      <c r="F20" s="37"/>
      <c r="G20" s="36"/>
    </row>
    <row r="21" spans="1:7" x14ac:dyDescent="0.2">
      <c r="A21" s="31">
        <f>+A19+1</f>
        <v>7</v>
      </c>
      <c r="C21" s="27" t="s">
        <v>33</v>
      </c>
      <c r="E21" s="34">
        <v>0.21</v>
      </c>
      <c r="F21" s="34"/>
      <c r="G21" s="35">
        <f>ROUND(G19*E21,6)</f>
        <v>0.198598</v>
      </c>
    </row>
    <row r="22" spans="1:7" x14ac:dyDescent="0.2">
      <c r="A22" s="31"/>
      <c r="E22" s="33"/>
      <c r="F22" s="33"/>
      <c r="G22" s="34"/>
    </row>
    <row r="23" spans="1:7" x14ac:dyDescent="0.2">
      <c r="A23" s="31">
        <f>+A21+1</f>
        <v>8</v>
      </c>
      <c r="C23" s="27" t="s">
        <v>12</v>
      </c>
      <c r="E23" s="33"/>
      <c r="F23" s="33"/>
      <c r="G23" s="35">
        <f>+G19-G21</f>
        <v>0.74710892580315091</v>
      </c>
    </row>
    <row r="24" spans="1:7" x14ac:dyDescent="0.2">
      <c r="A24" s="31"/>
      <c r="E24" s="33"/>
      <c r="F24" s="33"/>
      <c r="G24" s="36" t="s">
        <v>9</v>
      </c>
    </row>
    <row r="25" spans="1:7" x14ac:dyDescent="0.2">
      <c r="A25" s="31">
        <f>+A23+1</f>
        <v>9</v>
      </c>
      <c r="C25" s="27" t="s">
        <v>13</v>
      </c>
      <c r="E25" s="33"/>
      <c r="F25" s="33"/>
      <c r="G25" s="38">
        <f>ROUND(100/G23/100,8)</f>
        <v>1.33849291</v>
      </c>
    </row>
    <row r="26" spans="1:7" x14ac:dyDescent="0.2">
      <c r="A26" s="31"/>
      <c r="E26" s="33"/>
      <c r="F26" s="33"/>
      <c r="G26" s="36" t="s">
        <v>14</v>
      </c>
    </row>
    <row r="27" spans="1:7" x14ac:dyDescent="0.2">
      <c r="A27" s="31"/>
      <c r="E27" s="33"/>
      <c r="F27" s="33"/>
    </row>
    <row r="28" spans="1:7" x14ac:dyDescent="0.2">
      <c r="A28" s="31"/>
      <c r="E28" s="33"/>
      <c r="F28" s="33"/>
    </row>
    <row r="29" spans="1:7" ht="15" x14ac:dyDescent="0.25">
      <c r="A29" s="39"/>
      <c r="C29" s="77"/>
      <c r="E29" s="34"/>
      <c r="F29" s="34"/>
      <c r="G29" s="34"/>
    </row>
    <row r="30" spans="1:7" x14ac:dyDescent="0.2">
      <c r="E30" s="34"/>
      <c r="F30" s="34"/>
      <c r="G30" s="34"/>
    </row>
    <row r="31" spans="1:7" x14ac:dyDescent="0.2">
      <c r="E31" s="34"/>
      <c r="F31" s="34"/>
      <c r="G31" s="34"/>
    </row>
    <row r="32" spans="1:7" x14ac:dyDescent="0.2">
      <c r="E32" s="34"/>
      <c r="F32" s="34"/>
      <c r="G32" s="34"/>
    </row>
    <row r="33" spans="5:7" x14ac:dyDescent="0.2">
      <c r="E33" s="34"/>
      <c r="F33" s="34"/>
      <c r="G33" s="34"/>
    </row>
    <row r="34" spans="5:7" x14ac:dyDescent="0.2">
      <c r="E34" s="34"/>
      <c r="F34" s="34"/>
      <c r="G34" s="34"/>
    </row>
    <row r="35" spans="5:7" x14ac:dyDescent="0.2">
      <c r="E35" s="34"/>
      <c r="F35" s="34"/>
      <c r="G35" s="34"/>
    </row>
    <row r="36" spans="5:7" x14ac:dyDescent="0.2">
      <c r="E36" s="34"/>
      <c r="F36" s="34"/>
      <c r="G36" s="34"/>
    </row>
    <row r="37" spans="5:7" x14ac:dyDescent="0.2">
      <c r="E37" s="34"/>
      <c r="F37" s="34"/>
      <c r="G37" s="34"/>
    </row>
    <row r="38" spans="5:7" x14ac:dyDescent="0.2">
      <c r="E38" s="34"/>
      <c r="F38" s="34"/>
      <c r="G38" s="34"/>
    </row>
    <row r="39" spans="5:7" x14ac:dyDescent="0.2">
      <c r="E39" s="34"/>
      <c r="F39" s="34"/>
      <c r="G39" s="34"/>
    </row>
    <row r="40" spans="5:7" x14ac:dyDescent="0.2">
      <c r="E40" s="34"/>
      <c r="F40" s="34"/>
      <c r="G40" s="34"/>
    </row>
  </sheetData>
  <mergeCells count="4">
    <mergeCell ref="C1:E1"/>
    <mergeCell ref="C2:E2"/>
    <mergeCell ref="C3:E3"/>
    <mergeCell ref="C4:E4"/>
  </mergeCells>
  <pageMargins left="0.7" right="0.7" top="0.75" bottom="0.75" header="0.3" footer="0.3"/>
  <pageSetup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6" tint="0.39997558519241921"/>
    <pageSetUpPr fitToPage="1"/>
  </sheetPr>
  <dimension ref="A1:O18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8" sqref="H8"/>
    </sheetView>
  </sheetViews>
  <sheetFormatPr defaultRowHeight="15" x14ac:dyDescent="0.25"/>
  <cols>
    <col min="1" max="1" width="25.7109375" style="62" bestFit="1" customWidth="1"/>
    <col min="2" max="13" width="15.140625" style="62" customWidth="1"/>
    <col min="14" max="14" width="16.85546875" style="62" bestFit="1" customWidth="1"/>
    <col min="15" max="16384" width="9.140625" style="62"/>
  </cols>
  <sheetData>
    <row r="1" spans="1:15" x14ac:dyDescent="0.25">
      <c r="A1" s="61" t="s">
        <v>106</v>
      </c>
    </row>
    <row r="2" spans="1:15" x14ac:dyDescent="0.25">
      <c r="A2" s="63" t="s">
        <v>22</v>
      </c>
      <c r="B2" s="64" t="s">
        <v>94</v>
      </c>
      <c r="C2" s="64" t="s">
        <v>95</v>
      </c>
      <c r="D2" s="64" t="s">
        <v>96</v>
      </c>
      <c r="E2" s="64" t="s">
        <v>97</v>
      </c>
      <c r="F2" s="64" t="s">
        <v>98</v>
      </c>
      <c r="G2" s="64" t="s">
        <v>99</v>
      </c>
      <c r="H2" s="64" t="s">
        <v>100</v>
      </c>
      <c r="I2" s="64" t="s">
        <v>101</v>
      </c>
      <c r="J2" s="64" t="s">
        <v>102</v>
      </c>
      <c r="K2" s="64" t="s">
        <v>103</v>
      </c>
      <c r="L2" s="64" t="s">
        <v>104</v>
      </c>
      <c r="M2" s="64" t="s">
        <v>105</v>
      </c>
      <c r="N2" s="64" t="s">
        <v>15</v>
      </c>
    </row>
    <row r="3" spans="1:15" x14ac:dyDescent="0.25">
      <c r="A3" s="62" t="s">
        <v>109</v>
      </c>
      <c r="B3" s="65">
        <v>111686869</v>
      </c>
      <c r="C3" s="65">
        <v>110318149</v>
      </c>
      <c r="D3" s="65">
        <v>130132788</v>
      </c>
      <c r="E3" s="65">
        <v>203306889</v>
      </c>
      <c r="F3" s="65">
        <v>283718403</v>
      </c>
      <c r="G3" s="65">
        <v>188592628</v>
      </c>
      <c r="H3" s="65">
        <v>182932954</v>
      </c>
      <c r="I3" s="65">
        <v>104515756</v>
      </c>
      <c r="J3" s="65">
        <v>86117252</v>
      </c>
      <c r="K3" s="65">
        <v>165901057</v>
      </c>
      <c r="L3" s="65">
        <v>179247773</v>
      </c>
      <c r="M3" s="65">
        <v>155079422</v>
      </c>
      <c r="N3" s="65">
        <f>SUM(B3:M3)</f>
        <v>1901549940</v>
      </c>
      <c r="O3" s="66"/>
    </row>
    <row r="4" spans="1:15" x14ac:dyDescent="0.25">
      <c r="N4" s="67"/>
    </row>
    <row r="5" spans="1:15" x14ac:dyDescent="0.25">
      <c r="A5" s="63" t="s">
        <v>23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 t="s">
        <v>15</v>
      </c>
    </row>
    <row r="6" spans="1:15" x14ac:dyDescent="0.25">
      <c r="A6" s="62" t="s">
        <v>108</v>
      </c>
      <c r="B6" s="65">
        <v>267881320</v>
      </c>
      <c r="C6" s="65">
        <v>301667244</v>
      </c>
      <c r="D6" s="65">
        <v>291997197</v>
      </c>
      <c r="E6" s="65">
        <v>282594770</v>
      </c>
      <c r="F6" s="65">
        <v>315913991</v>
      </c>
      <c r="G6" s="65">
        <v>260169042</v>
      </c>
      <c r="H6" s="65">
        <v>276107284</v>
      </c>
      <c r="I6" s="65">
        <v>269628545</v>
      </c>
      <c r="J6" s="65">
        <v>268181206</v>
      </c>
      <c r="K6" s="65">
        <v>331843462</v>
      </c>
      <c r="L6" s="65">
        <v>292963707</v>
      </c>
      <c r="M6" s="65">
        <v>272938316</v>
      </c>
      <c r="N6" s="65">
        <f>SUM(B6:M6)</f>
        <v>3431886084</v>
      </c>
      <c r="O6" s="66"/>
    </row>
    <row r="7" spans="1:15" x14ac:dyDescent="0.25">
      <c r="N7" s="67"/>
    </row>
    <row r="8" spans="1:15" x14ac:dyDescent="0.25">
      <c r="A8" s="62" t="s">
        <v>25</v>
      </c>
      <c r="B8" s="69">
        <f>SUM(B3:B7)</f>
        <v>379568189</v>
      </c>
      <c r="C8" s="69">
        <f t="shared" ref="C8:M8" si="0">SUM(C3:C7)</f>
        <v>411985393</v>
      </c>
      <c r="D8" s="69">
        <f t="shared" si="0"/>
        <v>422129985</v>
      </c>
      <c r="E8" s="69">
        <f t="shared" si="0"/>
        <v>485901659</v>
      </c>
      <c r="F8" s="69">
        <f t="shared" si="0"/>
        <v>599632394</v>
      </c>
      <c r="G8" s="69">
        <f t="shared" si="0"/>
        <v>448761670</v>
      </c>
      <c r="H8" s="69">
        <f t="shared" si="0"/>
        <v>459040238</v>
      </c>
      <c r="I8" s="69">
        <f t="shared" si="0"/>
        <v>374144301</v>
      </c>
      <c r="J8" s="69">
        <f t="shared" si="0"/>
        <v>354298458</v>
      </c>
      <c r="K8" s="69">
        <f t="shared" si="0"/>
        <v>497744519</v>
      </c>
      <c r="L8" s="69">
        <f t="shared" si="0"/>
        <v>472211480</v>
      </c>
      <c r="M8" s="69">
        <f t="shared" si="0"/>
        <v>428017738</v>
      </c>
      <c r="N8" s="65">
        <f>SUM(B8:M8)</f>
        <v>5333436024</v>
      </c>
    </row>
    <row r="9" spans="1:15" x14ac:dyDescent="0.25"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5"/>
    </row>
    <row r="10" spans="1:15" x14ac:dyDescent="0.25">
      <c r="A10" s="62" t="s">
        <v>107</v>
      </c>
      <c r="B10" s="69">
        <v>379568189</v>
      </c>
      <c r="C10" s="69">
        <v>411985393</v>
      </c>
      <c r="D10" s="69">
        <v>422129985</v>
      </c>
      <c r="E10" s="69">
        <v>485901659</v>
      </c>
      <c r="F10" s="69">
        <v>599632394</v>
      </c>
      <c r="G10" s="69">
        <v>448761670</v>
      </c>
      <c r="H10" s="69">
        <v>459040238</v>
      </c>
      <c r="I10" s="69">
        <v>374144301</v>
      </c>
      <c r="J10" s="69">
        <v>354298458</v>
      </c>
      <c r="K10" s="69">
        <v>497744519</v>
      </c>
      <c r="L10" s="69">
        <v>472211480</v>
      </c>
      <c r="M10" s="69">
        <v>428017738</v>
      </c>
      <c r="N10" s="65">
        <v>5333436024</v>
      </c>
    </row>
    <row r="11" spans="1:15" x14ac:dyDescent="0.25">
      <c r="A11" s="62" t="s">
        <v>111</v>
      </c>
      <c r="B11" s="70">
        <f>B10-B8</f>
        <v>0</v>
      </c>
      <c r="C11" s="70">
        <f t="shared" ref="C11:N11" si="1">C10-C8</f>
        <v>0</v>
      </c>
      <c r="D11" s="70">
        <f t="shared" si="1"/>
        <v>0</v>
      </c>
      <c r="E11" s="70">
        <f t="shared" si="1"/>
        <v>0</v>
      </c>
      <c r="F11" s="70">
        <f t="shared" si="1"/>
        <v>0</v>
      </c>
      <c r="G11" s="70">
        <f t="shared" si="1"/>
        <v>0</v>
      </c>
      <c r="H11" s="70">
        <f t="shared" si="1"/>
        <v>0</v>
      </c>
      <c r="I11" s="70">
        <f t="shared" si="1"/>
        <v>0</v>
      </c>
      <c r="J11" s="70">
        <f t="shared" si="1"/>
        <v>0</v>
      </c>
      <c r="K11" s="70">
        <f t="shared" si="1"/>
        <v>0</v>
      </c>
      <c r="L11" s="70">
        <f t="shared" si="1"/>
        <v>0</v>
      </c>
      <c r="M11" s="70">
        <f t="shared" si="1"/>
        <v>0</v>
      </c>
      <c r="N11" s="70">
        <f t="shared" si="1"/>
        <v>0</v>
      </c>
    </row>
    <row r="12" spans="1:15" x14ac:dyDescent="0.25"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5" x14ac:dyDescent="0.25">
      <c r="A13" s="62" t="s">
        <v>26</v>
      </c>
      <c r="B13" s="69">
        <v>17489516.349999998</v>
      </c>
      <c r="C13" s="69">
        <v>17387119.219999999</v>
      </c>
      <c r="D13" s="69">
        <v>20253469.180000003</v>
      </c>
      <c r="E13" s="69">
        <v>29777229.949999999</v>
      </c>
      <c r="F13" s="69">
        <v>41238440.139999993</v>
      </c>
      <c r="G13" s="69">
        <v>28874673.170000002</v>
      </c>
      <c r="H13" s="69">
        <v>27923403.68</v>
      </c>
      <c r="I13" s="69">
        <v>18392449.77</v>
      </c>
      <c r="J13" s="69">
        <v>14796950.77</v>
      </c>
      <c r="K13" s="69">
        <v>28284808.909999996</v>
      </c>
      <c r="L13" s="69">
        <v>29866787.760000002</v>
      </c>
      <c r="M13" s="69">
        <v>27494114.949999999</v>
      </c>
      <c r="N13" s="69">
        <f>SUM(B13:M13)</f>
        <v>301778963.85000002</v>
      </c>
    </row>
    <row r="14" spans="1:15" x14ac:dyDescent="0.25">
      <c r="A14" s="62" t="s">
        <v>27</v>
      </c>
      <c r="B14" s="71">
        <v>28673921.059999999</v>
      </c>
      <c r="C14" s="71">
        <v>31424259.5</v>
      </c>
      <c r="D14" s="71">
        <v>30498053.679999996</v>
      </c>
      <c r="E14" s="71">
        <v>31239236.010000002</v>
      </c>
      <c r="F14" s="71">
        <v>33883457.460000001</v>
      </c>
      <c r="G14" s="71">
        <v>29666432.659999996</v>
      </c>
      <c r="H14" s="71">
        <v>31472315.590000004</v>
      </c>
      <c r="I14" s="71">
        <v>28587214.52</v>
      </c>
      <c r="J14" s="71">
        <v>28921749.77</v>
      </c>
      <c r="K14" s="71">
        <v>38784896.230000004</v>
      </c>
      <c r="L14" s="71">
        <v>33559547.989999995</v>
      </c>
      <c r="M14" s="71">
        <v>33400253.680000003</v>
      </c>
      <c r="N14" s="71">
        <f t="shared" ref="N14" si="2">SUM(B14:M14)</f>
        <v>380111338.15000004</v>
      </c>
    </row>
    <row r="15" spans="1:15" x14ac:dyDescent="0.25">
      <c r="B15" s="69">
        <f>B13+B14</f>
        <v>46163437.409999996</v>
      </c>
      <c r="C15" s="69">
        <f t="shared" ref="C15:N15" si="3">C13+C14</f>
        <v>48811378.719999999</v>
      </c>
      <c r="D15" s="69">
        <f t="shared" si="3"/>
        <v>50751522.859999999</v>
      </c>
      <c r="E15" s="69">
        <f t="shared" si="3"/>
        <v>61016465.960000001</v>
      </c>
      <c r="F15" s="69">
        <f t="shared" si="3"/>
        <v>75121897.599999994</v>
      </c>
      <c r="G15" s="69">
        <f t="shared" si="3"/>
        <v>58541105.829999998</v>
      </c>
      <c r="H15" s="69">
        <f t="shared" si="3"/>
        <v>59395719.270000003</v>
      </c>
      <c r="I15" s="69">
        <f t="shared" si="3"/>
        <v>46979664.289999999</v>
      </c>
      <c r="J15" s="69">
        <f t="shared" si="3"/>
        <v>43718700.539999999</v>
      </c>
      <c r="K15" s="69">
        <f t="shared" si="3"/>
        <v>67069705.140000001</v>
      </c>
      <c r="L15" s="69">
        <f t="shared" si="3"/>
        <v>63426335.75</v>
      </c>
      <c r="M15" s="69">
        <f t="shared" si="3"/>
        <v>60894368.630000003</v>
      </c>
      <c r="N15" s="69">
        <f t="shared" si="3"/>
        <v>681890302</v>
      </c>
    </row>
    <row r="17" spans="1:14" x14ac:dyDescent="0.25">
      <c r="A17" s="62" t="s">
        <v>110</v>
      </c>
      <c r="B17" s="72">
        <v>46163437.409999996</v>
      </c>
      <c r="C17" s="72">
        <v>48811378.719999999</v>
      </c>
      <c r="D17" s="72">
        <v>50751522.859999999</v>
      </c>
      <c r="E17" s="72">
        <v>61016465.960000001</v>
      </c>
      <c r="F17" s="72">
        <v>75121897.599999994</v>
      </c>
      <c r="G17" s="72">
        <v>58541105.829999998</v>
      </c>
      <c r="H17" s="72">
        <v>59395719.270000003</v>
      </c>
      <c r="I17" s="72">
        <v>46979664.289999999</v>
      </c>
      <c r="J17" s="72">
        <v>43718700.539999999</v>
      </c>
      <c r="K17" s="72">
        <v>67069705.140000001</v>
      </c>
      <c r="L17" s="72">
        <v>63426335.75</v>
      </c>
      <c r="M17" s="72">
        <v>60894368.630000003</v>
      </c>
      <c r="N17" s="72">
        <f>SUM(B17:M17)</f>
        <v>681890302</v>
      </c>
    </row>
    <row r="18" spans="1:14" x14ac:dyDescent="0.25">
      <c r="A18" s="62" t="s">
        <v>111</v>
      </c>
      <c r="B18" s="72">
        <f>B17-B15</f>
        <v>0</v>
      </c>
      <c r="C18" s="72">
        <f t="shared" ref="C18:N18" si="4">C17-C15</f>
        <v>0</v>
      </c>
      <c r="D18" s="72">
        <f t="shared" si="4"/>
        <v>0</v>
      </c>
      <c r="E18" s="72">
        <f t="shared" si="4"/>
        <v>0</v>
      </c>
      <c r="F18" s="72">
        <f t="shared" si="4"/>
        <v>0</v>
      </c>
      <c r="G18" s="72">
        <f t="shared" si="4"/>
        <v>0</v>
      </c>
      <c r="H18" s="72">
        <f t="shared" si="4"/>
        <v>0</v>
      </c>
      <c r="I18" s="72">
        <f t="shared" si="4"/>
        <v>0</v>
      </c>
      <c r="J18" s="72">
        <f t="shared" si="4"/>
        <v>0</v>
      </c>
      <c r="K18" s="72">
        <f t="shared" si="4"/>
        <v>0</v>
      </c>
      <c r="L18" s="72">
        <f t="shared" si="4"/>
        <v>0</v>
      </c>
      <c r="M18" s="72">
        <f t="shared" si="4"/>
        <v>0</v>
      </c>
      <c r="N18" s="72">
        <f t="shared" si="4"/>
        <v>0</v>
      </c>
    </row>
  </sheetData>
  <pageMargins left="0.7" right="0.7" top="0.75" bottom="0.75" header="0.3" footer="0.3"/>
  <pageSetup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9AAC4-A858-4173-9250-1E28B84A0ADB}">
  <sheetPr codeName="Sheet4">
    <pageSetUpPr fitToPage="1"/>
  </sheetPr>
  <dimension ref="A1:Y44"/>
  <sheetViews>
    <sheetView zoomScale="80" zoomScaleNormal="80" workbookViewId="0">
      <selection activeCell="N10" sqref="N10"/>
    </sheetView>
  </sheetViews>
  <sheetFormatPr defaultRowHeight="15" outlineLevelCol="1" x14ac:dyDescent="0.25"/>
  <cols>
    <col min="1" max="1" width="23.28515625" style="13" customWidth="1"/>
    <col min="2" max="13" width="13" customWidth="1" outlineLevel="1"/>
    <col min="14" max="14" width="14.42578125" bestFit="1" customWidth="1"/>
    <col min="15" max="15" width="12.7109375" bestFit="1" customWidth="1"/>
    <col min="16" max="16" width="14.42578125" bestFit="1" customWidth="1"/>
    <col min="18" max="19" width="10.28515625" bestFit="1" customWidth="1"/>
    <col min="20" max="20" width="13.42578125" bestFit="1" customWidth="1"/>
    <col min="21" max="21" width="3.7109375" customWidth="1"/>
    <col min="22" max="22" width="10.28515625" bestFit="1" customWidth="1"/>
    <col min="23" max="23" width="12.28515625" bestFit="1" customWidth="1"/>
    <col min="24" max="24" width="3.7109375" customWidth="1"/>
    <col min="25" max="25" width="12.7109375" bestFit="1" customWidth="1"/>
  </cols>
  <sheetData>
    <row r="1" spans="1:25" x14ac:dyDescent="0.25">
      <c r="R1" s="75" t="s">
        <v>67</v>
      </c>
      <c r="S1" s="75"/>
      <c r="T1" s="19" t="s">
        <v>63</v>
      </c>
      <c r="U1" s="19"/>
      <c r="V1" s="19" t="s">
        <v>66</v>
      </c>
      <c r="W1" s="19" t="s">
        <v>66</v>
      </c>
      <c r="Y1" s="19" t="s">
        <v>71</v>
      </c>
    </row>
    <row r="2" spans="1:25" x14ac:dyDescent="0.25">
      <c r="A2" s="13" t="s">
        <v>4</v>
      </c>
      <c r="B2" s="8">
        <v>44927</v>
      </c>
      <c r="C2" s="8">
        <v>44958</v>
      </c>
      <c r="D2" s="8">
        <v>44986</v>
      </c>
      <c r="E2" s="8">
        <v>44652</v>
      </c>
      <c r="F2" s="8">
        <v>44682</v>
      </c>
      <c r="G2" s="8">
        <v>44713</v>
      </c>
      <c r="H2" s="8">
        <v>44743</v>
      </c>
      <c r="I2" s="8">
        <v>44774</v>
      </c>
      <c r="J2" s="8">
        <v>44805</v>
      </c>
      <c r="K2" s="8">
        <v>44835</v>
      </c>
      <c r="L2" s="8">
        <v>44866</v>
      </c>
      <c r="M2" s="8">
        <v>44896</v>
      </c>
      <c r="N2" s="8" t="s">
        <v>15</v>
      </c>
      <c r="O2" s="9" t="s">
        <v>38</v>
      </c>
      <c r="P2" s="9" t="s">
        <v>37</v>
      </c>
      <c r="R2" s="9" t="s">
        <v>38</v>
      </c>
      <c r="S2" s="9" t="s">
        <v>37</v>
      </c>
      <c r="T2" s="9" t="s">
        <v>65</v>
      </c>
      <c r="U2" s="9"/>
      <c r="V2" s="9" t="s">
        <v>64</v>
      </c>
      <c r="W2" s="9" t="s">
        <v>65</v>
      </c>
      <c r="Y2" s="9" t="s">
        <v>65</v>
      </c>
    </row>
    <row r="4" spans="1:25" x14ac:dyDescent="0.25">
      <c r="A4" s="14" t="s">
        <v>68</v>
      </c>
      <c r="B4" s="7">
        <v>285837667.592345</v>
      </c>
      <c r="C4" s="7">
        <v>237161573.77324414</v>
      </c>
      <c r="D4" s="7">
        <v>155990701.66346288</v>
      </c>
      <c r="E4" s="7">
        <v>133826072.64588574</v>
      </c>
      <c r="F4" s="7">
        <v>114720972.78939649</v>
      </c>
      <c r="G4" s="7">
        <v>126818414.48895693</v>
      </c>
      <c r="H4" s="7">
        <v>151971178.07885963</v>
      </c>
      <c r="I4" s="7">
        <v>157093953.65684652</v>
      </c>
      <c r="J4" s="7">
        <v>141812730.45688939</v>
      </c>
      <c r="K4" s="7">
        <v>120218503.40965556</v>
      </c>
      <c r="L4" s="7">
        <v>123672570.34284183</v>
      </c>
      <c r="M4" s="7">
        <v>196431978.03965485</v>
      </c>
      <c r="N4" s="7">
        <f t="shared" ref="N4:N5" si="0">SUM(B4:M4)</f>
        <v>1945556316.9380388</v>
      </c>
      <c r="O4" s="7">
        <f>SUM(B4:D4,M4)</f>
        <v>875421921.06870687</v>
      </c>
      <c r="P4" s="7">
        <f>SUM(E4:L4)</f>
        <v>1070134395.8693321</v>
      </c>
      <c r="R4" s="2">
        <v>-2.1870000000000001E-2</v>
      </c>
      <c r="S4" s="2">
        <v>-1E-4</v>
      </c>
      <c r="T4" s="12">
        <f>O4*R4+P4*S4</f>
        <v>-19252490.853359554</v>
      </c>
      <c r="V4" s="2">
        <f>'Allocation &amp; Rates'!B29</f>
        <v>-8.3000000000000001E-4</v>
      </c>
      <c r="W4" s="12">
        <f>N4*V4</f>
        <v>-1614811.7430585723</v>
      </c>
      <c r="Y4" s="12">
        <f>W4-T4</f>
        <v>17637679.110300981</v>
      </c>
    </row>
    <row r="5" spans="1:25" x14ac:dyDescent="0.25">
      <c r="A5" s="14" t="s">
        <v>69</v>
      </c>
      <c r="B5" s="7">
        <v>480766.09211366362</v>
      </c>
      <c r="C5" s="7">
        <v>368094.78728297714</v>
      </c>
      <c r="D5" s="7">
        <v>228154.10597886195</v>
      </c>
      <c r="E5" s="7">
        <v>195123.30031204096</v>
      </c>
      <c r="F5" s="7">
        <v>162167.59559090424</v>
      </c>
      <c r="G5" s="7">
        <v>170064.44023226399</v>
      </c>
      <c r="H5" s="7">
        <v>217186.96198313203</v>
      </c>
      <c r="I5" s="7">
        <v>219884.51980018214</v>
      </c>
      <c r="J5" s="7">
        <v>205805.10478498519</v>
      </c>
      <c r="K5" s="7">
        <v>169020.95424080759</v>
      </c>
      <c r="L5" s="7">
        <v>163476.30018933391</v>
      </c>
      <c r="M5" s="7">
        <v>296132.68499392481</v>
      </c>
      <c r="N5" s="7">
        <f t="shared" si="0"/>
        <v>2875876.8475030772</v>
      </c>
      <c r="O5" s="7">
        <f>SUM(B5:D5,M5)</f>
        <v>1373147.6703694274</v>
      </c>
      <c r="P5" s="7">
        <f t="shared" ref="P5:P6" si="1">SUM(E5:L5)</f>
        <v>1502729.1771336503</v>
      </c>
      <c r="R5" s="2">
        <f>$R$4</f>
        <v>-2.1870000000000001E-2</v>
      </c>
      <c r="S5" s="2">
        <f>$S$4</f>
        <v>-1E-4</v>
      </c>
      <c r="T5" s="12">
        <f>O5*R5+P5*S5</f>
        <v>-30181.012468692745</v>
      </c>
      <c r="V5" s="10">
        <f>$V$4</f>
        <v>-8.3000000000000001E-4</v>
      </c>
      <c r="W5" s="12">
        <f t="shared" ref="W5:W42" si="2">N5*V5</f>
        <v>-2386.9777834275542</v>
      </c>
      <c r="Y5" s="12">
        <f t="shared" ref="Y5:Y42" si="3">W5-T5</f>
        <v>27794.034685265189</v>
      </c>
    </row>
    <row r="6" spans="1:25" x14ac:dyDescent="0.25">
      <c r="A6" s="17" t="s">
        <v>70</v>
      </c>
      <c r="B6" s="7">
        <v>23948.529398080751</v>
      </c>
      <c r="C6" s="7">
        <v>18695.302614892542</v>
      </c>
      <c r="D6" s="7">
        <v>10824.230558276206</v>
      </c>
      <c r="E6" s="7">
        <v>10173.45780992531</v>
      </c>
      <c r="F6" s="7">
        <v>7774.8393048064654</v>
      </c>
      <c r="G6" s="7">
        <v>8875.8698820712689</v>
      </c>
      <c r="H6" s="7">
        <v>11381.928723174735</v>
      </c>
      <c r="I6" s="7">
        <v>12756.332891337142</v>
      </c>
      <c r="J6" s="7">
        <v>10441.307771793205</v>
      </c>
      <c r="K6" s="7">
        <v>9771.2264355126954</v>
      </c>
      <c r="L6" s="7">
        <v>6205.9391071299951</v>
      </c>
      <c r="M6" s="7">
        <v>10725.094261831569</v>
      </c>
      <c r="N6" s="7">
        <f>SUM(B6:M6)</f>
        <v>141574.05875883187</v>
      </c>
      <c r="O6" s="7">
        <f>SUM(B6:D6,M6)</f>
        <v>64193.156833081062</v>
      </c>
      <c r="P6" s="7">
        <f t="shared" si="1"/>
        <v>77380.901925750819</v>
      </c>
      <c r="R6" s="10">
        <f>$R$4</f>
        <v>-2.1870000000000001E-2</v>
      </c>
      <c r="S6" s="2">
        <f>$S$4</f>
        <v>-1E-4</v>
      </c>
      <c r="T6" s="12">
        <f>O6*R6+P6*S6</f>
        <v>-1411.6424301320581</v>
      </c>
      <c r="V6" s="10">
        <f>$V$5</f>
        <v>-8.3000000000000001E-4</v>
      </c>
      <c r="W6" s="12">
        <f t="shared" si="2"/>
        <v>-117.50646876983046</v>
      </c>
      <c r="Y6" s="12">
        <f t="shared" si="3"/>
        <v>1294.1359613622276</v>
      </c>
    </row>
    <row r="7" spans="1:25" x14ac:dyDescent="0.25">
      <c r="A7" s="1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R7" s="10"/>
      <c r="S7" s="2"/>
      <c r="T7" s="12"/>
      <c r="V7" s="10"/>
      <c r="W7" s="12"/>
      <c r="Y7" s="12"/>
    </row>
    <row r="8" spans="1:25" x14ac:dyDescent="0.25">
      <c r="A8" s="14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R8" s="10"/>
      <c r="S8" s="2"/>
      <c r="T8" s="12"/>
      <c r="V8" s="10"/>
      <c r="W8" s="12"/>
      <c r="Y8" s="12"/>
    </row>
    <row r="9" spans="1:25" x14ac:dyDescent="0.25">
      <c r="A9" s="14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R9" s="10"/>
      <c r="S9" s="10"/>
      <c r="W9" s="12"/>
      <c r="Y9" s="12"/>
    </row>
    <row r="10" spans="1:25" x14ac:dyDescent="0.25">
      <c r="A10" s="14" t="s">
        <v>41</v>
      </c>
      <c r="N10" s="7">
        <v>591400173.44258034</v>
      </c>
      <c r="R10" s="11">
        <v>-6.7200000000000003E-3</v>
      </c>
      <c r="S10" s="11"/>
      <c r="T10" s="12">
        <f>N10*R10</f>
        <v>-3974209.1655341401</v>
      </c>
      <c r="V10" s="10">
        <f>'Allocation &amp; Rates'!B30</f>
        <v>-5.8E-4</v>
      </c>
      <c r="W10" s="12">
        <f t="shared" si="2"/>
        <v>-343012.1005966966</v>
      </c>
      <c r="Y10" s="12">
        <f t="shared" si="3"/>
        <v>3631197.0649374435</v>
      </c>
    </row>
    <row r="11" spans="1:25" x14ac:dyDescent="0.25">
      <c r="A11" s="14" t="s">
        <v>40</v>
      </c>
      <c r="N11" s="7">
        <v>3136289.2240065546</v>
      </c>
      <c r="O11" s="7"/>
      <c r="P11" s="7"/>
      <c r="R11" s="11">
        <f>$R$10</f>
        <v>-6.7200000000000003E-3</v>
      </c>
      <c r="S11" s="10"/>
      <c r="T11" s="12">
        <f t="shared" ref="T11:T42" si="4">N11*R11</f>
        <v>-21075.863585324048</v>
      </c>
      <c r="V11" s="10">
        <f>$V$10</f>
        <v>-5.8E-4</v>
      </c>
      <c r="W11" s="12">
        <f t="shared" si="2"/>
        <v>-1819.0477499238016</v>
      </c>
      <c r="Y11" s="12">
        <f t="shared" si="3"/>
        <v>19256.815835400248</v>
      </c>
    </row>
    <row r="12" spans="1:25" x14ac:dyDescent="0.25">
      <c r="A12" s="14" t="s">
        <v>45</v>
      </c>
      <c r="N12" s="7">
        <v>7995315.8158995816</v>
      </c>
      <c r="R12" s="11">
        <f t="shared" ref="R12:R42" si="5">$R$10</f>
        <v>-6.7200000000000003E-3</v>
      </c>
      <c r="T12" s="12">
        <f t="shared" si="4"/>
        <v>-53728.522282845188</v>
      </c>
      <c r="V12" s="10">
        <f t="shared" ref="V12:V17" si="6">$V$10</f>
        <v>-5.8E-4</v>
      </c>
      <c r="W12" s="12">
        <f t="shared" si="2"/>
        <v>-4637.2831732217574</v>
      </c>
      <c r="Y12" s="12">
        <f t="shared" si="3"/>
        <v>49091.239109623428</v>
      </c>
    </row>
    <row r="13" spans="1:25" x14ac:dyDescent="0.25">
      <c r="A13" s="14" t="s">
        <v>42</v>
      </c>
      <c r="N13" s="7">
        <v>1415369.1901477831</v>
      </c>
      <c r="R13" s="11">
        <f t="shared" si="5"/>
        <v>-6.7200000000000003E-3</v>
      </c>
      <c r="T13" s="12">
        <f t="shared" si="4"/>
        <v>-9511.2809577931039</v>
      </c>
      <c r="V13" s="10">
        <f t="shared" si="6"/>
        <v>-5.8E-4</v>
      </c>
      <c r="W13" s="12">
        <f t="shared" si="2"/>
        <v>-820.91413028571424</v>
      </c>
      <c r="Y13" s="12">
        <f t="shared" si="3"/>
        <v>8690.3668275073906</v>
      </c>
    </row>
    <row r="14" spans="1:25" x14ac:dyDescent="0.25">
      <c r="A14" s="14" t="s">
        <v>44</v>
      </c>
      <c r="N14" s="7">
        <v>1798725.5977885965</v>
      </c>
      <c r="R14" s="11">
        <f t="shared" si="5"/>
        <v>-6.7200000000000003E-3</v>
      </c>
      <c r="T14" s="12">
        <f t="shared" si="4"/>
        <v>-12087.436017139369</v>
      </c>
      <c r="V14" s="10">
        <f t="shared" si="6"/>
        <v>-5.8E-4</v>
      </c>
      <c r="W14" s="12">
        <f t="shared" si="2"/>
        <v>-1043.2608467173859</v>
      </c>
      <c r="Y14" s="12">
        <f t="shared" si="3"/>
        <v>11044.175170421982</v>
      </c>
    </row>
    <row r="15" spans="1:25" x14ac:dyDescent="0.25">
      <c r="A15" s="14" t="s">
        <v>46</v>
      </c>
      <c r="N15" s="7">
        <v>8519715.6602870822</v>
      </c>
      <c r="R15" s="11">
        <f t="shared" si="5"/>
        <v>-6.7200000000000003E-3</v>
      </c>
      <c r="T15" s="12">
        <f t="shared" si="4"/>
        <v>-57252.489237129193</v>
      </c>
      <c r="V15" s="10">
        <f t="shared" si="6"/>
        <v>-5.8E-4</v>
      </c>
      <c r="W15" s="12">
        <f t="shared" si="2"/>
        <v>-4941.4350829665073</v>
      </c>
      <c r="Y15" s="12">
        <f t="shared" si="3"/>
        <v>52311.054154162688</v>
      </c>
    </row>
    <row r="16" spans="1:25" x14ac:dyDescent="0.25">
      <c r="A16" s="14" t="s">
        <v>43</v>
      </c>
      <c r="N16" s="7">
        <v>8054925.0043271501</v>
      </c>
      <c r="R16" s="11">
        <f t="shared" si="5"/>
        <v>-6.7200000000000003E-3</v>
      </c>
      <c r="T16" s="12">
        <f t="shared" si="4"/>
        <v>-54129.09602907845</v>
      </c>
      <c r="V16" s="10">
        <f t="shared" si="6"/>
        <v>-5.8E-4</v>
      </c>
      <c r="W16" s="12">
        <f t="shared" si="2"/>
        <v>-4671.8565025097469</v>
      </c>
      <c r="Y16" s="12">
        <f t="shared" si="3"/>
        <v>49457.239526568701</v>
      </c>
    </row>
    <row r="17" spans="1:25" x14ac:dyDescent="0.25">
      <c r="A17" s="18" t="s">
        <v>47</v>
      </c>
      <c r="N17" s="7">
        <v>414194.59459459462</v>
      </c>
      <c r="R17" s="11">
        <f t="shared" si="5"/>
        <v>-6.7200000000000003E-3</v>
      </c>
      <c r="T17" s="12">
        <f t="shared" si="4"/>
        <v>-2783.3876756756758</v>
      </c>
      <c r="V17" s="10">
        <f t="shared" si="6"/>
        <v>-5.8E-4</v>
      </c>
      <c r="W17" s="12">
        <f t="shared" si="2"/>
        <v>-240.23286486486487</v>
      </c>
      <c r="Y17" s="12">
        <f t="shared" si="3"/>
        <v>2543.1548108108109</v>
      </c>
    </row>
    <row r="18" spans="1:25" x14ac:dyDescent="0.25">
      <c r="A18" s="18"/>
      <c r="N18" s="7"/>
      <c r="R18" s="11"/>
      <c r="T18" s="12"/>
      <c r="V18" s="10"/>
      <c r="W18" s="12"/>
      <c r="Y18" s="12"/>
    </row>
    <row r="19" spans="1:25" x14ac:dyDescent="0.25">
      <c r="A19" s="14"/>
      <c r="N19" s="7"/>
      <c r="T19" s="12"/>
      <c r="W19" s="12"/>
      <c r="Y19" s="12"/>
    </row>
    <row r="20" spans="1:25" x14ac:dyDescent="0.25">
      <c r="A20" s="14" t="s">
        <v>48</v>
      </c>
      <c r="N20" s="7">
        <v>303151072.29663664</v>
      </c>
      <c r="R20" s="11">
        <f t="shared" si="5"/>
        <v>-6.7200000000000003E-3</v>
      </c>
      <c r="T20" s="12">
        <f t="shared" si="4"/>
        <v>-2037175.2058333983</v>
      </c>
      <c r="V20" s="10">
        <f t="shared" ref="V20:V26" si="7">$V$10</f>
        <v>-5.8E-4</v>
      </c>
      <c r="W20" s="12">
        <f t="shared" si="2"/>
        <v>-175827.62193204925</v>
      </c>
      <c r="Y20" s="12">
        <f t="shared" si="3"/>
        <v>1861347.583901349</v>
      </c>
    </row>
    <row r="21" spans="1:25" x14ac:dyDescent="0.25">
      <c r="A21" s="14" t="s">
        <v>52</v>
      </c>
      <c r="N21" s="7">
        <v>1746972</v>
      </c>
      <c r="R21" s="11">
        <f t="shared" si="5"/>
        <v>-6.7200000000000003E-3</v>
      </c>
      <c r="T21" s="12">
        <f t="shared" si="4"/>
        <v>-11739.65184</v>
      </c>
      <c r="V21" s="10">
        <f t="shared" si="7"/>
        <v>-5.8E-4</v>
      </c>
      <c r="W21" s="12">
        <f t="shared" si="2"/>
        <v>-1013.24376</v>
      </c>
      <c r="Y21" s="12">
        <f t="shared" si="3"/>
        <v>10726.408080000001</v>
      </c>
    </row>
    <row r="22" spans="1:25" x14ac:dyDescent="0.25">
      <c r="A22" s="14" t="s">
        <v>53</v>
      </c>
      <c r="N22" s="7">
        <v>6013017.5999999996</v>
      </c>
      <c r="R22" s="11">
        <f t="shared" si="5"/>
        <v>-6.7200000000000003E-3</v>
      </c>
      <c r="T22" s="12">
        <f t="shared" si="4"/>
        <v>-40407.478272</v>
      </c>
      <c r="V22" s="10">
        <f t="shared" si="7"/>
        <v>-5.8E-4</v>
      </c>
      <c r="W22" s="12">
        <f t="shared" si="2"/>
        <v>-3487.5502079999997</v>
      </c>
      <c r="Y22" s="12">
        <f t="shared" si="3"/>
        <v>36919.928064</v>
      </c>
    </row>
    <row r="23" spans="1:25" x14ac:dyDescent="0.25">
      <c r="A23" s="14" t="s">
        <v>54</v>
      </c>
      <c r="N23" s="7">
        <v>2286064</v>
      </c>
      <c r="R23" s="11">
        <f t="shared" si="5"/>
        <v>-6.7200000000000003E-3</v>
      </c>
      <c r="T23" s="12">
        <f t="shared" si="4"/>
        <v>-15362.35008</v>
      </c>
      <c r="V23" s="10">
        <f t="shared" si="7"/>
        <v>-5.8E-4</v>
      </c>
      <c r="W23" s="12">
        <f t="shared" si="2"/>
        <v>-1325.9171200000001</v>
      </c>
      <c r="Y23" s="12">
        <f t="shared" si="3"/>
        <v>14036.43296</v>
      </c>
    </row>
    <row r="24" spans="1:25" x14ac:dyDescent="0.25">
      <c r="A24" s="14" t="s">
        <v>49</v>
      </c>
      <c r="N24" s="7">
        <v>85895920.531903774</v>
      </c>
      <c r="R24" s="11">
        <f t="shared" si="5"/>
        <v>-6.7200000000000003E-3</v>
      </c>
      <c r="T24" s="12">
        <f t="shared" si="4"/>
        <v>-577220.58597439341</v>
      </c>
      <c r="V24" s="10">
        <f t="shared" si="7"/>
        <v>-5.8E-4</v>
      </c>
      <c r="W24" s="12">
        <f t="shared" si="2"/>
        <v>-49819.633908504191</v>
      </c>
      <c r="Y24" s="12">
        <f t="shared" si="3"/>
        <v>527400.95206588926</v>
      </c>
    </row>
    <row r="25" spans="1:25" x14ac:dyDescent="0.25">
      <c r="A25" s="14" t="s">
        <v>50</v>
      </c>
      <c r="N25" s="7">
        <v>13944800.153846154</v>
      </c>
      <c r="R25" s="11">
        <f t="shared" si="5"/>
        <v>-6.7200000000000003E-3</v>
      </c>
      <c r="T25" s="12">
        <f t="shared" si="4"/>
        <v>-93709.057033846155</v>
      </c>
      <c r="V25" s="10">
        <f t="shared" si="7"/>
        <v>-5.8E-4</v>
      </c>
      <c r="W25" s="12">
        <f t="shared" si="2"/>
        <v>-8087.9840892307693</v>
      </c>
      <c r="Y25" s="12">
        <f t="shared" si="3"/>
        <v>85621.072944615385</v>
      </c>
    </row>
    <row r="26" spans="1:25" x14ac:dyDescent="0.25">
      <c r="A26" s="18" t="s">
        <v>51</v>
      </c>
      <c r="N26" s="7">
        <v>0</v>
      </c>
      <c r="R26" s="11">
        <f t="shared" si="5"/>
        <v>-6.7200000000000003E-3</v>
      </c>
      <c r="T26" s="12">
        <f t="shared" si="4"/>
        <v>0</v>
      </c>
      <c r="V26" s="10">
        <f t="shared" si="7"/>
        <v>-5.8E-4</v>
      </c>
      <c r="W26" s="12">
        <f t="shared" si="2"/>
        <v>0</v>
      </c>
      <c r="Y26" s="12">
        <f t="shared" si="3"/>
        <v>0</v>
      </c>
    </row>
    <row r="27" spans="1:25" x14ac:dyDescent="0.25">
      <c r="A27" s="18"/>
      <c r="N27" s="7"/>
      <c r="R27" s="11"/>
      <c r="T27" s="12"/>
      <c r="V27" s="10"/>
      <c r="W27" s="12"/>
      <c r="Y27" s="12"/>
    </row>
    <row r="28" spans="1:25" x14ac:dyDescent="0.25">
      <c r="A28" s="14"/>
      <c r="N28" s="7"/>
      <c r="T28" s="12"/>
      <c r="W28" s="12"/>
      <c r="Y28" s="12"/>
    </row>
    <row r="29" spans="1:25" x14ac:dyDescent="0.25">
      <c r="A29" s="15" t="s">
        <v>55</v>
      </c>
      <c r="N29" s="7">
        <v>87428913.394495726</v>
      </c>
      <c r="R29" s="11">
        <f t="shared" si="5"/>
        <v>-6.7200000000000003E-3</v>
      </c>
      <c r="T29" s="12">
        <f t="shared" si="4"/>
        <v>-587522.29801101133</v>
      </c>
      <c r="V29" s="10">
        <f t="shared" ref="V29:V30" si="8">$V$10</f>
        <v>-5.8E-4</v>
      </c>
      <c r="W29" s="12">
        <f t="shared" si="2"/>
        <v>-50708.76976880752</v>
      </c>
      <c r="Y29" s="12">
        <f t="shared" si="3"/>
        <v>536813.52824220376</v>
      </c>
    </row>
    <row r="30" spans="1:25" x14ac:dyDescent="0.25">
      <c r="A30" s="17" t="s">
        <v>56</v>
      </c>
      <c r="N30" s="7">
        <v>1737216.0392989507</v>
      </c>
      <c r="R30" s="11">
        <f t="shared" si="5"/>
        <v>-6.7200000000000003E-3</v>
      </c>
      <c r="T30" s="12">
        <f t="shared" si="4"/>
        <v>-11674.091784088949</v>
      </c>
      <c r="V30" s="10">
        <f t="shared" si="8"/>
        <v>-5.8E-4</v>
      </c>
      <c r="W30" s="12">
        <f t="shared" si="2"/>
        <v>-1007.5853027933914</v>
      </c>
      <c r="Y30" s="12">
        <f t="shared" si="3"/>
        <v>10666.506481295557</v>
      </c>
    </row>
    <row r="31" spans="1:25" x14ac:dyDescent="0.25">
      <c r="A31" s="17"/>
      <c r="N31" s="7"/>
      <c r="R31" s="11"/>
      <c r="T31" s="12"/>
      <c r="V31" s="10"/>
      <c r="W31" s="12"/>
      <c r="Y31" s="12"/>
    </row>
    <row r="32" spans="1:25" x14ac:dyDescent="0.25">
      <c r="A32" s="14"/>
      <c r="N32" s="7"/>
      <c r="T32" s="12"/>
      <c r="W32" s="12"/>
      <c r="Y32" s="12"/>
    </row>
    <row r="33" spans="1:25" x14ac:dyDescent="0.25">
      <c r="A33" s="15" t="s">
        <v>60</v>
      </c>
      <c r="N33" s="7">
        <v>15643440</v>
      </c>
      <c r="R33" s="11">
        <f t="shared" si="5"/>
        <v>-6.7200000000000003E-3</v>
      </c>
      <c r="T33" s="12">
        <f t="shared" si="4"/>
        <v>-105123.91680000001</v>
      </c>
      <c r="V33" s="10">
        <f t="shared" ref="V33:V36" si="9">$V$10</f>
        <v>-5.8E-4</v>
      </c>
      <c r="W33" s="12">
        <f t="shared" si="2"/>
        <v>-9073.1952000000001</v>
      </c>
      <c r="Y33" s="12">
        <f t="shared" si="3"/>
        <v>96050.721600000004</v>
      </c>
    </row>
    <row r="34" spans="1:25" x14ac:dyDescent="0.25">
      <c r="A34" s="15" t="s">
        <v>57</v>
      </c>
      <c r="N34" s="7">
        <v>325487811.81355929</v>
      </c>
      <c r="R34" s="11">
        <f t="shared" si="5"/>
        <v>-6.7200000000000003E-3</v>
      </c>
      <c r="T34" s="12">
        <f t="shared" si="4"/>
        <v>-2187278.0953871184</v>
      </c>
      <c r="V34" s="10">
        <f t="shared" si="9"/>
        <v>-5.8E-4</v>
      </c>
      <c r="W34" s="12">
        <f t="shared" si="2"/>
        <v>-188782.9308518644</v>
      </c>
      <c r="Y34" s="12">
        <f t="shared" si="3"/>
        <v>1998495.164535254</v>
      </c>
    </row>
    <row r="35" spans="1:25" x14ac:dyDescent="0.25">
      <c r="A35" s="15" t="s">
        <v>58</v>
      </c>
      <c r="N35" s="7">
        <v>1600613142.4301887</v>
      </c>
      <c r="R35" s="11">
        <f t="shared" si="5"/>
        <v>-6.7200000000000003E-3</v>
      </c>
      <c r="T35" s="12">
        <f t="shared" si="4"/>
        <v>-10756120.317130867</v>
      </c>
      <c r="V35" s="10">
        <f t="shared" si="9"/>
        <v>-5.8E-4</v>
      </c>
      <c r="W35" s="12">
        <f t="shared" si="2"/>
        <v>-928355.62260950939</v>
      </c>
      <c r="Y35" s="12">
        <f t="shared" si="3"/>
        <v>9827764.6945213582</v>
      </c>
    </row>
    <row r="36" spans="1:25" x14ac:dyDescent="0.25">
      <c r="A36" s="17" t="s">
        <v>59</v>
      </c>
      <c r="N36" s="7">
        <v>245809083</v>
      </c>
      <c r="R36" s="11">
        <f t="shared" si="5"/>
        <v>-6.7200000000000003E-3</v>
      </c>
      <c r="T36" s="12">
        <f t="shared" si="4"/>
        <v>-1651837.03776</v>
      </c>
      <c r="V36" s="10">
        <f t="shared" si="9"/>
        <v>-5.8E-4</v>
      </c>
      <c r="W36" s="12">
        <f t="shared" si="2"/>
        <v>-142569.26814</v>
      </c>
      <c r="Y36" s="12">
        <f t="shared" si="3"/>
        <v>1509267.7696199999</v>
      </c>
    </row>
    <row r="37" spans="1:25" x14ac:dyDescent="0.25">
      <c r="A37" s="18"/>
      <c r="N37" s="7"/>
      <c r="R37" s="11"/>
      <c r="T37" s="12"/>
      <c r="V37" s="10"/>
      <c r="W37" s="12"/>
      <c r="Y37" s="12"/>
    </row>
    <row r="38" spans="1:25" x14ac:dyDescent="0.25">
      <c r="A38" s="14"/>
      <c r="T38" s="12"/>
      <c r="W38" s="12"/>
      <c r="Y38" s="12"/>
    </row>
    <row r="39" spans="1:25" x14ac:dyDescent="0.25">
      <c r="A39" s="13" t="s">
        <v>39</v>
      </c>
      <c r="N39" s="7">
        <v>37817168</v>
      </c>
      <c r="R39" s="11">
        <f t="shared" si="5"/>
        <v>-6.7200000000000003E-3</v>
      </c>
      <c r="T39" s="12">
        <f t="shared" si="4"/>
        <v>-254131.36896000002</v>
      </c>
      <c r="V39" s="10">
        <f t="shared" ref="V39:V40" si="10">$V$10</f>
        <v>-5.8E-4</v>
      </c>
      <c r="W39" s="12">
        <f t="shared" si="2"/>
        <v>-21933.957439999998</v>
      </c>
      <c r="Y39" s="12">
        <f t="shared" si="3"/>
        <v>232197.41152000002</v>
      </c>
    </row>
    <row r="40" spans="1:25" x14ac:dyDescent="0.25">
      <c r="A40" s="13" t="s">
        <v>61</v>
      </c>
      <c r="N40" s="7">
        <v>8426444</v>
      </c>
      <c r="R40" s="11">
        <f t="shared" si="5"/>
        <v>-6.7200000000000003E-3</v>
      </c>
      <c r="T40" s="12">
        <f t="shared" si="4"/>
        <v>-56625.703679999999</v>
      </c>
      <c r="V40" s="10">
        <f t="shared" si="10"/>
        <v>-5.8E-4</v>
      </c>
      <c r="W40" s="12">
        <f t="shared" si="2"/>
        <v>-4887.33752</v>
      </c>
      <c r="Y40" s="12">
        <f t="shared" si="3"/>
        <v>51738.366159999998</v>
      </c>
    </row>
    <row r="41" spans="1:25" x14ac:dyDescent="0.25">
      <c r="A41" s="14"/>
      <c r="N41" s="7"/>
      <c r="T41" s="12"/>
      <c r="W41" s="12"/>
      <c r="Y41" s="12"/>
    </row>
    <row r="42" spans="1:25" x14ac:dyDescent="0.25">
      <c r="A42" s="14" t="s">
        <v>62</v>
      </c>
      <c r="N42" s="7">
        <v>1646859.495145631</v>
      </c>
      <c r="R42" s="11">
        <f t="shared" si="5"/>
        <v>-6.7200000000000003E-3</v>
      </c>
      <c r="T42" s="12">
        <f t="shared" si="4"/>
        <v>-11066.895807378642</v>
      </c>
      <c r="V42" s="10">
        <f>$V$10</f>
        <v>-5.8E-4</v>
      </c>
      <c r="W42" s="12">
        <f t="shared" si="2"/>
        <v>-955.17850718446596</v>
      </c>
      <c r="Y42" s="12">
        <f t="shared" si="3"/>
        <v>10111.717300194176</v>
      </c>
    </row>
    <row r="44" spans="1:25" x14ac:dyDescent="0.25">
      <c r="A44" s="16" t="s">
        <v>15</v>
      </c>
      <c r="N44" s="7">
        <f>SUM(N4:N42)</f>
        <v>5308956401.1290073</v>
      </c>
      <c r="T44" s="12">
        <f>SUM(T4:T42)</f>
        <v>-41865854.803931601</v>
      </c>
      <c r="W44" s="12">
        <f>SUM(W4:W42)</f>
        <v>-3566338.1546158986</v>
      </c>
      <c r="Y44" s="12">
        <f>SUM(Y4:Y42)</f>
        <v>38299516.6493157</v>
      </c>
    </row>
  </sheetData>
  <mergeCells count="1">
    <mergeCell ref="R1:S1"/>
  </mergeCells>
  <pageMargins left="0.7" right="0.7" top="0.75" bottom="0.75" header="0.3" footer="0.3"/>
  <pageSetup paperSize="17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wvc2lzbD48VXNlck5hbWU+Q09SUFxzMjUxNjM1PC9Vc2VyTmFtZT48RGF0ZVRpbWU+Ni82LzIwMjMgNjo1MjowNSBQTTwvRGF0ZVRpbWU+PExhYmVsU3RyaW5nPlVuY2F0ZWdvcml6ZWQ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</sisl>
</file>

<file path=customXml/itemProps1.xml><?xml version="1.0" encoding="utf-8"?>
<ds:datastoreItem xmlns:ds="http://schemas.openxmlformats.org/officeDocument/2006/customXml" ds:itemID="{7D5247C5-FEB8-4B7C-B968-743474DD8D2F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F877BCCC-DA89-4522-96CD-A93DC9F6661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Allocation &amp; Rates</vt:lpstr>
      <vt:lpstr>GRCF</vt:lpstr>
      <vt:lpstr>kWh &amp; Revenue</vt:lpstr>
      <vt:lpstr>Adj TY Revenue</vt:lpstr>
      <vt:lpstr>'Adj TY Revenue'!Print_Area</vt:lpstr>
      <vt:lpstr>'Allocation &amp; Rates'!Print_Area</vt:lpstr>
      <vt:lpstr>GRCF!Print_Area</vt:lpstr>
      <vt:lpstr>'kWh &amp; Revenue'!Print_Area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s207409</dc:creator>
  <cp:keywords/>
  <cp:lastModifiedBy>Lerah M Kahn</cp:lastModifiedBy>
  <cp:lastPrinted>2025-09-17T17:51:23Z</cp:lastPrinted>
  <dcterms:created xsi:type="dcterms:W3CDTF">2018-04-10T17:17:36Z</dcterms:created>
  <dcterms:modified xsi:type="dcterms:W3CDTF">2025-10-15T14:58:18Z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{8E970CD3-5BAB-46A5-A41B-A2D73538C302}</vt:lpwstr>
  </property>
  <property fmtid="{D5CDD505-2E9C-101B-9397-08002B2CF9AE}" pid="3" name="docIndexRef">
    <vt:lpwstr>4411de46-d5fc-4b01-84ec-c617a4af4a55</vt:lpwstr>
  </property>
  <property fmtid="{D5CDD505-2E9C-101B-9397-08002B2CF9AE}" pid="4" name="bjSaver">
    <vt:lpwstr>N1DSBWDQZIeY/VRw0Xy3fwx0B1BRPR0Y</vt:lpwstr>
  </property>
  <property fmtid="{D5CDD505-2E9C-101B-9397-08002B2CF9AE}" pid="5" name="bjDocumentSecurityLabel">
    <vt:lpwstr>Uncategorized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7" name="bjDocumentLabelXML-0">
    <vt:lpwstr>ames.com/2008/01/sie/internal/label"&gt;&lt;element uid="936e22d5-45a7-4cb7-95ab-1aa8c7c88789" value="" /&gt;&lt;/sisl&gt;</vt:lpwstr>
  </property>
  <property fmtid="{D5CDD505-2E9C-101B-9397-08002B2CF9AE}" pid="8" name="MSIP_Label_574d496c-7ac4-4b13-81fd-698eca66b217_SiteId">
    <vt:lpwstr>15f3c881-6b03-4ff6-8559-77bf5177818f</vt:lpwstr>
  </property>
  <property fmtid="{D5CDD505-2E9C-101B-9397-08002B2CF9AE}" pid="9" name="MSIP_Label_574d496c-7ac4-4b13-81fd-698eca66b217_Name">
    <vt:lpwstr>Uncategorized</vt:lpwstr>
  </property>
  <property fmtid="{D5CDD505-2E9C-101B-9397-08002B2CF9AE}" pid="10" name="MSIP_Label_574d496c-7ac4-4b13-81fd-698eca66b217_Enabled">
    <vt:lpwstr>true</vt:lpwstr>
  </property>
  <property fmtid="{D5CDD505-2E9C-101B-9397-08002B2CF9AE}" pid="11" name="bjClsUserRVM">
    <vt:lpwstr>[]</vt:lpwstr>
  </property>
  <property fmtid="{D5CDD505-2E9C-101B-9397-08002B2CF9AE}" pid="12" name="bjLabelHistoryID">
    <vt:lpwstr>{7D5247C5-FEB8-4B7C-B968-743474DD8D2F}</vt:lpwstr>
  </property>
</Properties>
</file>