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T:\Internal\01_Regulatory Services\01_Recurring Filings\01_Annual\PPA\2025\00_As Filed\"/>
    </mc:Choice>
  </mc:AlternateContent>
  <xr:revisionPtr revIDLastSave="0" documentId="13_ncr:1_{00CA63DE-730B-413F-94D3-8020565BA576}" xr6:coauthVersionLast="47" xr6:coauthVersionMax="47" xr10:uidLastSave="{00000000-0000-0000-0000-000000000000}"/>
  <bookViews>
    <workbookView xWindow="-120" yWindow="-120" windowWidth="29040" windowHeight="15720" tabRatio="813" xr2:uid="{00000000-000D-0000-FFFF-FFFF00000000}"/>
  </bookViews>
  <sheets>
    <sheet name="PPA Form 1.0" sheetId="1" r:id="rId1"/>
    <sheet name="PPA Form 2.0" sheetId="22" r:id="rId2"/>
    <sheet name="PPA Form 3.0" sheetId="21" r:id="rId3"/>
    <sheet name="PPA Form 3.0a" sheetId="19" r:id="rId4"/>
    <sheet name="PPA Form 4.0" sheetId="5" r:id="rId5"/>
    <sheet name="PPA Form 5.0" sheetId="6" r:id="rId6"/>
    <sheet name="Input Sheet" sheetId="10" r:id="rId7"/>
    <sheet name="GRCF" sheetId="11" r:id="rId8"/>
    <sheet name="Retail vs TO" sheetId="7" r:id="rId9"/>
    <sheet name="Rev Req Variance" sheetId="23" r:id="rId10"/>
  </sheets>
  <externalReferences>
    <externalReference r:id="rId11"/>
  </externalReferences>
  <definedNames>
    <definedName name="Katy">#REF!</definedName>
    <definedName name="Marshall_Rate">'[1]Property Tax'!$B$2</definedName>
    <definedName name="PC_Percent">'[1]Property Tax'!$B$6</definedName>
    <definedName name="_xlnm.Print_Area" localSheetId="7">GRCF!$A$1:$S$4</definedName>
    <definedName name="_xlnm.Print_Area" localSheetId="6">'Input Sheet'!#REF!</definedName>
    <definedName name="_xlnm.Print_Area" localSheetId="0">'PPA Form 1.0'!$A$1:$F$31</definedName>
    <definedName name="_xlnm.Print_Area" localSheetId="1">'PPA Form 2.0'!$B$1:$N$28</definedName>
    <definedName name="_xlnm.Print_Area" localSheetId="2">'PPA Form 3.0'!$A$1:$G$38</definedName>
    <definedName name="_xlnm.Print_Area" localSheetId="3">'PPA Form 3.0a'!$A$1:$P$60</definedName>
    <definedName name="_xlnm.Print_Area" localSheetId="4">'PPA Form 4.0'!#REF!</definedName>
    <definedName name="_xlnm.Print_Area" localSheetId="5">'PPA Form 5.0'!$A$3:$F$31</definedName>
    <definedName name="_xlnm.Print_Area" localSheetId="8">'Retail vs TO'!$A$1:$G$37</definedName>
    <definedName name="tim" localSheetId="7">#REF!</definedName>
    <definedName name="tim">#REF!</definedName>
    <definedName name="WV_List">'[1]Property Tax'!$B$4</definedName>
    <definedName name="Z_0BD4BC22_E7A2_4140_8384_5A5B3339DEED_.wvu.PrintArea" localSheetId="7" hidden="1">GRCF!$A$1:$S$4</definedName>
    <definedName name="Z_0BD4BC22_E7A2_4140_8384_5A5B3339DEED_.wvu.PrintArea" localSheetId="6" hidden="1">'Input Sheet'!#REF!</definedName>
    <definedName name="Z_0BD4BC22_E7A2_4140_8384_5A5B3339DEED_.wvu.PrintArea" localSheetId="0" hidden="1">'PPA Form 1.0'!$A$1:$F$31</definedName>
    <definedName name="Z_0BD4BC22_E7A2_4140_8384_5A5B3339DEED_.wvu.PrintArea" localSheetId="1" hidden="1">'PPA Form 2.0'!$B$1:$N$26</definedName>
    <definedName name="Z_0BD4BC22_E7A2_4140_8384_5A5B3339DEED_.wvu.PrintArea" localSheetId="2" hidden="1">'PPA Form 3.0'!$A$1:$G$35</definedName>
    <definedName name="Z_0BD4BC22_E7A2_4140_8384_5A5B3339DEED_.wvu.PrintArea" localSheetId="3" hidden="1">'PPA Form 3.0a'!$A$1:$P$60</definedName>
    <definedName name="Z_0BD4BC22_E7A2_4140_8384_5A5B3339DEED_.wvu.PrintArea" localSheetId="4" hidden="1">'PPA Form 4.0'!#REF!</definedName>
    <definedName name="Z_0BD4BC22_E7A2_4140_8384_5A5B3339DEED_.wvu.PrintArea" localSheetId="5" hidden="1">'PPA Form 5.0'!$A$3:$F$31</definedName>
    <definedName name="Z_0BD4BC22_E7A2_4140_8384_5A5B3339DEED_.wvu.PrintArea" localSheetId="8" hidden="1">'Retail vs TO'!$A$1:$E$20</definedName>
    <definedName name="Z_0BD4BC22_E7A2_4140_8384_5A5B3339DEED_.wvu.Rows" localSheetId="7" hidden="1">GRCF!#REF!</definedName>
    <definedName name="Z_4EF176FC_448F_4BD8_8859_C810312E84E7_.wvu.PrintArea" localSheetId="7" hidden="1">GRCF!$A$1:$S$4</definedName>
    <definedName name="Z_4EF176FC_448F_4BD8_8859_C810312E84E7_.wvu.PrintArea" localSheetId="6" hidden="1">'Input Sheet'!#REF!</definedName>
    <definedName name="Z_4EF176FC_448F_4BD8_8859_C810312E84E7_.wvu.PrintArea" localSheetId="0" hidden="1">'PPA Form 1.0'!$A$1:$F$31</definedName>
    <definedName name="Z_4EF176FC_448F_4BD8_8859_C810312E84E7_.wvu.PrintArea" localSheetId="1" hidden="1">'PPA Form 2.0'!$B$1:$N$26</definedName>
    <definedName name="Z_4EF176FC_448F_4BD8_8859_C810312E84E7_.wvu.PrintArea" localSheetId="2" hidden="1">'PPA Form 3.0'!$A$1:$G$35</definedName>
    <definedName name="Z_4EF176FC_448F_4BD8_8859_C810312E84E7_.wvu.PrintArea" localSheetId="3" hidden="1">'PPA Form 3.0a'!$A$1:$P$60</definedName>
    <definedName name="Z_4EF176FC_448F_4BD8_8859_C810312E84E7_.wvu.PrintArea" localSheetId="4" hidden="1">'PPA Form 4.0'!#REF!</definedName>
    <definedName name="Z_4EF176FC_448F_4BD8_8859_C810312E84E7_.wvu.PrintArea" localSheetId="5" hidden="1">'PPA Form 5.0'!$A$3:$F$31</definedName>
    <definedName name="Z_4EF176FC_448F_4BD8_8859_C810312E84E7_.wvu.PrintArea" localSheetId="8" hidden="1">'Retail vs TO'!$A$1:$E$20</definedName>
    <definedName name="Z_4EF176FC_448F_4BD8_8859_C810312E84E7_.wvu.Rows" localSheetId="7" hidden="1">GRCF!#REF!</definedName>
    <definedName name="Z_567BA860_460A_4CE0_A629_0EA7372574F1_.wvu.PrintArea" localSheetId="7" hidden="1">GRCF!$A$1:$S$4</definedName>
    <definedName name="Z_567BA860_460A_4CE0_A629_0EA7372574F1_.wvu.PrintArea" localSheetId="6" hidden="1">'Input Sheet'!#REF!</definedName>
    <definedName name="Z_567BA860_460A_4CE0_A629_0EA7372574F1_.wvu.PrintArea" localSheetId="0" hidden="1">'PPA Form 1.0'!$A$1:$F$31</definedName>
    <definedName name="Z_567BA860_460A_4CE0_A629_0EA7372574F1_.wvu.PrintArea" localSheetId="1" hidden="1">'PPA Form 2.0'!$B$1:$N$26</definedName>
    <definedName name="Z_567BA860_460A_4CE0_A629_0EA7372574F1_.wvu.PrintArea" localSheetId="2" hidden="1">'PPA Form 3.0'!$A$1:$G$35</definedName>
    <definedName name="Z_567BA860_460A_4CE0_A629_0EA7372574F1_.wvu.PrintArea" localSheetId="3" hidden="1">'PPA Form 3.0a'!$A$1:$P$60</definedName>
    <definedName name="Z_567BA860_460A_4CE0_A629_0EA7372574F1_.wvu.PrintArea" localSheetId="4" hidden="1">'PPA Form 4.0'!#REF!</definedName>
    <definedName name="Z_567BA860_460A_4CE0_A629_0EA7372574F1_.wvu.PrintArea" localSheetId="5" hidden="1">'PPA Form 5.0'!$A$3:$F$31</definedName>
    <definedName name="Z_567BA860_460A_4CE0_A629_0EA7372574F1_.wvu.PrintArea" localSheetId="8" hidden="1">'Retail vs TO'!$A$1:$E$20</definedName>
    <definedName name="Z_567BA860_460A_4CE0_A629_0EA7372574F1_.wvu.Rows" localSheetId="7" hidden="1">GRCF!#REF!</definedName>
  </definedNames>
  <calcPr calcId="191029"/>
  <customWorkbookViews>
    <customWorkbookView name="s203707 - Personal View" guid="{0BD4BC22-E7A2-4140-8384-5A5B3339DEED}" mergeInterval="0" personalView="1" maximized="1" xWindow="2869" yWindow="-11" windowWidth="2902" windowHeight="1582" tabRatio="813" activeSheetId="8"/>
    <customWorkbookView name="s207409 - Personal View" guid="{567BA860-460A-4CE0-A629-0EA7372574F1}" mergeInterval="0" personalView="1" maximized="1" windowWidth="1600" windowHeight="675" tabRatio="813" activeSheetId="1"/>
    <customWorkbookView name="s290792 - Personal View" guid="{4EF176FC-448F-4BD8-8859-C810312E84E7}" mergeInterval="0" personalView="1" maximized="1" xWindow="-8" yWindow="-8" windowWidth="1936" windowHeight="1056" tabRatio="813" activeSheetId="6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4" i="19" l="1"/>
  <c r="N44" i="19"/>
  <c r="M44" i="19"/>
  <c r="L44" i="19"/>
  <c r="K44" i="19"/>
  <c r="J44" i="19"/>
  <c r="I44" i="19"/>
  <c r="H44" i="19"/>
  <c r="G44" i="19"/>
  <c r="F44" i="19"/>
  <c r="E44" i="19"/>
  <c r="D44" i="19"/>
  <c r="E21" i="23"/>
  <c r="D21" i="23"/>
  <c r="C21" i="23"/>
  <c r="E25" i="23"/>
  <c r="D25" i="23"/>
  <c r="C25" i="23"/>
  <c r="E14" i="23"/>
  <c r="E15" i="23" s="1"/>
  <c r="D14" i="23"/>
  <c r="D15" i="23" s="1"/>
  <c r="C14" i="23"/>
  <c r="C15" i="23" s="1"/>
  <c r="F6" i="23"/>
  <c r="G22" i="1"/>
  <c r="C26" i="23" l="1"/>
  <c r="D26" i="23"/>
  <c r="E26" i="23"/>
  <c r="C28" i="23"/>
  <c r="C29" i="23" s="1"/>
  <c r="P40" i="19"/>
  <c r="E28" i="23" l="1"/>
  <c r="E29" i="23" s="1"/>
  <c r="D28" i="23"/>
  <c r="D29" i="23" s="1"/>
  <c r="F29" i="23" s="1"/>
  <c r="G16" i="1" s="1"/>
  <c r="G10" i="10"/>
  <c r="G8" i="10"/>
  <c r="I8" i="10"/>
  <c r="D101" i="6" l="1"/>
  <c r="D91" i="6"/>
  <c r="D93" i="6" s="1"/>
  <c r="A82" i="6"/>
  <c r="A83" i="6" s="1"/>
  <c r="A84" i="6" s="1"/>
  <c r="A85" i="6" s="1"/>
  <c r="A86" i="6" s="1"/>
  <c r="A87" i="6" s="1"/>
  <c r="A88" i="6" s="1"/>
  <c r="A89" i="6" s="1"/>
  <c r="A90" i="6" s="1"/>
  <c r="A91" i="6" s="1"/>
  <c r="A95" i="6" s="1"/>
  <c r="A97" i="6" s="1"/>
  <c r="A99" i="6" s="1"/>
  <c r="D104" i="6" l="1"/>
  <c r="D106" i="6" s="1"/>
  <c r="I6" i="10"/>
  <c r="C19" i="22" l="1"/>
  <c r="C20" i="22"/>
  <c r="C21" i="22"/>
  <c r="C22" i="22"/>
  <c r="C23" i="22"/>
  <c r="C24" i="22"/>
  <c r="C25" i="22"/>
  <c r="C18" i="22"/>
  <c r="I7" i="10" l="1"/>
  <c r="D20" i="22"/>
  <c r="I9" i="10"/>
  <c r="I10" i="10"/>
  <c r="I11" i="10"/>
  <c r="I12" i="10"/>
  <c r="I13" i="10"/>
  <c r="F14" i="10"/>
  <c r="D22" i="22" l="1"/>
  <c r="G14" i="10"/>
  <c r="I25" i="22" l="1"/>
  <c r="F25" i="22"/>
  <c r="I24" i="22"/>
  <c r="F24" i="22"/>
  <c r="I23" i="22"/>
  <c r="F23" i="22"/>
  <c r="F22" i="22"/>
  <c r="I21" i="22"/>
  <c r="E21" i="22"/>
  <c r="F20" i="22"/>
  <c r="I19" i="22"/>
  <c r="F19" i="22"/>
  <c r="I18" i="22"/>
  <c r="F18" i="22"/>
  <c r="C129" i="7"/>
  <c r="C122" i="7"/>
  <c r="C125" i="7" s="1"/>
  <c r="F21" i="22" l="1"/>
  <c r="F26" i="22" s="1"/>
  <c r="C26" i="22"/>
  <c r="D26" i="22"/>
  <c r="C131" i="7"/>
  <c r="C133" i="7" s="1"/>
  <c r="C135" i="7" s="1"/>
  <c r="O49" i="19" l="1"/>
  <c r="N49" i="19"/>
  <c r="M49" i="19"/>
  <c r="L49" i="19"/>
  <c r="K49" i="19"/>
  <c r="K51" i="19" s="1"/>
  <c r="J49" i="19"/>
  <c r="J51" i="19" s="1"/>
  <c r="I49" i="19"/>
  <c r="I51" i="19" s="1"/>
  <c r="H49" i="19"/>
  <c r="H51" i="19" s="1"/>
  <c r="G49" i="19"/>
  <c r="G51" i="19" s="1"/>
  <c r="F49" i="19"/>
  <c r="F51" i="19" s="1"/>
  <c r="E49" i="19"/>
  <c r="E51" i="19" s="1"/>
  <c r="D49" i="19"/>
  <c r="D51" i="19" s="1"/>
  <c r="P42" i="19"/>
  <c r="C25" i="21" s="1"/>
  <c r="P30" i="19"/>
  <c r="C28" i="21" s="1"/>
  <c r="O25" i="19"/>
  <c r="O27" i="19" s="1"/>
  <c r="O28" i="19" s="1"/>
  <c r="N25" i="19"/>
  <c r="N27" i="19" s="1"/>
  <c r="N28" i="19" s="1"/>
  <c r="M25" i="19"/>
  <c r="M27" i="19" s="1"/>
  <c r="M28" i="19" s="1"/>
  <c r="L25" i="19"/>
  <c r="L27" i="19" s="1"/>
  <c r="L28" i="19" s="1"/>
  <c r="K25" i="19"/>
  <c r="K27" i="19" s="1"/>
  <c r="K28" i="19" s="1"/>
  <c r="J25" i="19"/>
  <c r="J27" i="19" s="1"/>
  <c r="J28" i="19" s="1"/>
  <c r="I25" i="19"/>
  <c r="I27" i="19" s="1"/>
  <c r="I28" i="19" s="1"/>
  <c r="H25" i="19"/>
  <c r="H27" i="19" s="1"/>
  <c r="H28" i="19" s="1"/>
  <c r="G25" i="19"/>
  <c r="G27" i="19" s="1"/>
  <c r="G28" i="19" s="1"/>
  <c r="F25" i="19"/>
  <c r="F27" i="19" s="1"/>
  <c r="F28" i="19" s="1"/>
  <c r="E25" i="19"/>
  <c r="E27" i="19" s="1"/>
  <c r="E28" i="19" s="1"/>
  <c r="D25" i="19"/>
  <c r="D27" i="19" s="1"/>
  <c r="D28" i="19" s="1"/>
  <c r="P24" i="19"/>
  <c r="C15" i="21" s="1"/>
  <c r="P23" i="19"/>
  <c r="C14" i="21" s="1"/>
  <c r="P22" i="19"/>
  <c r="C13" i="21" s="1"/>
  <c r="P21" i="19"/>
  <c r="C12" i="21" s="1"/>
  <c r="P20" i="19"/>
  <c r="C11" i="21" s="1"/>
  <c r="P19" i="19"/>
  <c r="C10" i="21" s="1"/>
  <c r="P18" i="19"/>
  <c r="P17" i="19"/>
  <c r="C9" i="21" s="1"/>
  <c r="P16" i="19"/>
  <c r="C8" i="21" s="1"/>
  <c r="P15" i="19"/>
  <c r="C17" i="21" s="1"/>
  <c r="P14" i="19"/>
  <c r="C16" i="21" s="1"/>
  <c r="P11" i="19"/>
  <c r="G20" i="21" s="1"/>
  <c r="O9" i="19"/>
  <c r="N9" i="19"/>
  <c r="M9" i="19"/>
  <c r="L9" i="19"/>
  <c r="K9" i="19"/>
  <c r="J9" i="19"/>
  <c r="I9" i="19"/>
  <c r="H9" i="19"/>
  <c r="G9" i="19"/>
  <c r="F9" i="19"/>
  <c r="E9" i="19"/>
  <c r="D9" i="19"/>
  <c r="P8" i="19"/>
  <c r="P7" i="19"/>
  <c r="F16" i="5"/>
  <c r="A8" i="5"/>
  <c r="A9" i="5" s="1"/>
  <c r="A10" i="5" s="1"/>
  <c r="A11" i="5" s="1"/>
  <c r="A12" i="5" s="1"/>
  <c r="A13" i="5" s="1"/>
  <c r="A14" i="5" s="1"/>
  <c r="A16" i="5" s="1"/>
  <c r="H53" i="19" l="1"/>
  <c r="H55" i="19" s="1"/>
  <c r="I53" i="19"/>
  <c r="I55" i="19" s="1"/>
  <c r="D53" i="19"/>
  <c r="F53" i="19"/>
  <c r="F55" i="19" s="1"/>
  <c r="L51" i="19"/>
  <c r="J53" i="19"/>
  <c r="J55" i="19" s="1"/>
  <c r="K53" i="19"/>
  <c r="K55" i="19" s="1"/>
  <c r="P9" i="19"/>
  <c r="E53" i="19"/>
  <c r="E55" i="19" s="1"/>
  <c r="G53" i="19"/>
  <c r="G55" i="19" s="1"/>
  <c r="P27" i="19"/>
  <c r="G21" i="21" s="1"/>
  <c r="P25" i="19"/>
  <c r="O51" i="19"/>
  <c r="P49" i="19"/>
  <c r="C26" i="21" s="1"/>
  <c r="F18" i="5" l="1"/>
  <c r="F20" i="5" s="1"/>
  <c r="G20" i="1" s="1"/>
  <c r="P44" i="19"/>
  <c r="C27" i="21" s="1"/>
  <c r="N51" i="19"/>
  <c r="M51" i="19"/>
  <c r="P28" i="19"/>
  <c r="D55" i="19" l="1"/>
  <c r="D58" i="19" s="1"/>
  <c r="E58" i="19" s="1"/>
  <c r="F58" i="19" s="1"/>
  <c r="G58" i="19" s="1"/>
  <c r="H58" i="19" s="1"/>
  <c r="I58" i="19" s="1"/>
  <c r="J58" i="19" s="1"/>
  <c r="K58" i="19" s="1"/>
  <c r="P51" i="19"/>
  <c r="O28" i="11" l="1"/>
  <c r="O38" i="11" s="1"/>
  <c r="S26" i="11"/>
  <c r="S24" i="11"/>
  <c r="S22" i="11"/>
  <c r="F14" i="11"/>
  <c r="B10" i="11"/>
  <c r="B11" i="11" s="1"/>
  <c r="B12" i="11" s="1"/>
  <c r="B14" i="11" s="1"/>
  <c r="H12" i="11" l="1"/>
  <c r="M12" i="11" s="1"/>
  <c r="H9" i="11"/>
  <c r="H11" i="11"/>
  <c r="M11" i="11" s="1"/>
  <c r="H10" i="11"/>
  <c r="M10" i="11" s="1"/>
  <c r="O11" i="11"/>
  <c r="O10" i="11"/>
  <c r="O9" i="11"/>
  <c r="S28" i="11"/>
  <c r="S30" i="11" s="1"/>
  <c r="S11" i="11" l="1"/>
  <c r="S10" i="11"/>
  <c r="S32" i="11"/>
  <c r="S34" i="11" s="1"/>
  <c r="S36" i="11" s="1"/>
  <c r="S38" i="11" s="1"/>
  <c r="H14" i="11"/>
  <c r="M9" i="11"/>
  <c r="O12" i="11" l="1"/>
  <c r="S12" i="11" s="1"/>
  <c r="M14" i="11"/>
  <c r="S9" i="11"/>
  <c r="D14" i="10"/>
  <c r="C14" i="10"/>
  <c r="L53" i="19" l="1"/>
  <c r="M53" i="19"/>
  <c r="M55" i="19" s="1"/>
  <c r="N53" i="19"/>
  <c r="N55" i="19" s="1"/>
  <c r="O53" i="19"/>
  <c r="O55" i="19" s="1"/>
  <c r="S14" i="11"/>
  <c r="P36" i="19" l="1"/>
  <c r="L55" i="19"/>
  <c r="P53" i="19"/>
  <c r="P55" i="19" l="1"/>
  <c r="L58" i="19"/>
  <c r="M58" i="19" s="1"/>
  <c r="N58" i="19" s="1"/>
  <c r="O58" i="19" s="1"/>
  <c r="C110" i="7" l="1"/>
  <c r="C103" i="7"/>
  <c r="C106" i="7" s="1"/>
  <c r="C112" i="7" l="1"/>
  <c r="C114" i="7" s="1"/>
  <c r="C116" i="7" s="1"/>
  <c r="G25" i="21" l="1"/>
  <c r="E34" i="21" l="1"/>
  <c r="B34" i="21"/>
  <c r="C90" i="7" l="1"/>
  <c r="C83" i="7"/>
  <c r="C86" i="7" s="1"/>
  <c r="C92" i="7" l="1"/>
  <c r="C94" i="7" s="1"/>
  <c r="C96" i="7" s="1"/>
  <c r="C70" i="7" l="1"/>
  <c r="C63" i="7"/>
  <c r="C66" i="7" s="1"/>
  <c r="D63" i="6"/>
  <c r="D56" i="6"/>
  <c r="D66" i="6" s="1"/>
  <c r="D68" i="6" s="1"/>
  <c r="D58" i="6" l="1"/>
  <c r="C72" i="7"/>
  <c r="C74" i="7" s="1"/>
  <c r="C76" i="7" s="1"/>
  <c r="A47" i="6" l="1"/>
  <c r="A48" i="6" s="1"/>
  <c r="A49" i="6" s="1"/>
  <c r="A50" i="6" s="1"/>
  <c r="A51" i="6" s="1"/>
  <c r="A52" i="6" s="1"/>
  <c r="A53" i="6" s="1"/>
  <c r="A54" i="6" l="1"/>
  <c r="A55" i="6" s="1"/>
  <c r="A56" i="6" s="1"/>
  <c r="A60" i="6" s="1"/>
  <c r="A62" i="6" s="1"/>
  <c r="G27" i="21" l="1"/>
  <c r="G10" i="1" s="1"/>
  <c r="G28" i="21" l="1"/>
  <c r="C50" i="7" l="1"/>
  <c r="C43" i="7"/>
  <c r="C46" i="7" s="1"/>
  <c r="C52" i="7" l="1"/>
  <c r="C54" i="7" s="1"/>
  <c r="C56" i="7" s="1"/>
  <c r="D24" i="6" l="1"/>
  <c r="D17" i="6" l="1"/>
  <c r="D19" i="6" l="1"/>
  <c r="D27" i="6" l="1"/>
  <c r="D29" i="6" s="1"/>
  <c r="C31" i="7" l="1"/>
  <c r="C24" i="7"/>
  <c r="C27" i="7" s="1"/>
  <c r="C33" i="7" l="1"/>
  <c r="C35" i="7" s="1"/>
  <c r="C37" i="7" s="1"/>
  <c r="G15" i="21" l="1"/>
  <c r="G8" i="21"/>
  <c r="G9" i="21"/>
  <c r="G10" i="21"/>
  <c r="G11" i="21"/>
  <c r="G12" i="21"/>
  <c r="G13" i="21"/>
  <c r="G14" i="21"/>
  <c r="G16" i="21"/>
  <c r="G17" i="21" l="1"/>
  <c r="G19" i="21" s="1"/>
  <c r="G26" i="21" l="1"/>
  <c r="E35" i="21" s="1"/>
  <c r="G8" i="1" l="1"/>
  <c r="B35" i="21"/>
  <c r="G12" i="1" l="1"/>
  <c r="G14" i="1" l="1"/>
  <c r="G18" i="1" s="1"/>
  <c r="G29" i="21"/>
  <c r="A10" i="6" l="1"/>
  <c r="A11" i="6" s="1"/>
  <c r="A12" i="6" s="1"/>
  <c r="A13" i="6" s="1"/>
  <c r="A14" i="6" s="1"/>
  <c r="A15" i="6" s="1"/>
  <c r="A16" i="6" s="1"/>
  <c r="A17" i="6" s="1"/>
  <c r="A21" i="6" s="1"/>
  <c r="E36" i="21" l="1"/>
  <c r="C13" i="7"/>
  <c r="C6" i="7"/>
  <c r="C9" i="7" s="1"/>
  <c r="C35" i="21" l="1"/>
  <c r="C34" i="21"/>
  <c r="C15" i="7"/>
  <c r="C17" i="7" s="1"/>
  <c r="C19" i="7" s="1"/>
  <c r="A10" i="1" l="1"/>
  <c r="A12" i="1" s="1"/>
  <c r="A14" i="1" s="1"/>
  <c r="A16" i="1" l="1"/>
  <c r="A18" i="1" s="1"/>
  <c r="A20" i="1" s="1"/>
  <c r="A22" i="1" s="1"/>
  <c r="A24" i="1" s="1"/>
  <c r="A23" i="6" l="1"/>
  <c r="G24" i="1" l="1"/>
  <c r="G27" i="1" l="1"/>
  <c r="G8" i="22" s="1"/>
  <c r="G28" i="1"/>
  <c r="G29" i="1" l="1"/>
  <c r="H8" i="22"/>
  <c r="I8" i="22" s="1"/>
  <c r="G21" i="22"/>
  <c r="G24" i="22"/>
  <c r="G25" i="22"/>
  <c r="G20" i="22"/>
  <c r="G23" i="22"/>
  <c r="G22" i="22"/>
  <c r="G19" i="22"/>
  <c r="G18" i="22"/>
  <c r="I22" i="22" l="1"/>
  <c r="I20" i="22"/>
  <c r="G26" i="22"/>
  <c r="H20" i="22"/>
  <c r="K20" i="22" s="1"/>
  <c r="H18" i="22"/>
  <c r="H24" i="22"/>
  <c r="K24" i="22" s="1"/>
  <c r="M24" i="22" s="1"/>
  <c r="N24" i="22" s="1"/>
  <c r="H23" i="22"/>
  <c r="K23" i="22" s="1"/>
  <c r="M23" i="22" s="1"/>
  <c r="N23" i="22" s="1"/>
  <c r="H22" i="22"/>
  <c r="K22" i="22" s="1"/>
  <c r="H21" i="22"/>
  <c r="K21" i="22" s="1"/>
  <c r="M21" i="22" s="1"/>
  <c r="N21" i="22" s="1"/>
  <c r="H25" i="22"/>
  <c r="K25" i="22" s="1"/>
  <c r="M25" i="22" s="1"/>
  <c r="N25" i="22" s="1"/>
  <c r="H19" i="22"/>
  <c r="K19" i="22" s="1"/>
  <c r="M19" i="22" s="1"/>
  <c r="N19" i="22" s="1"/>
  <c r="M20" i="22" l="1"/>
  <c r="N20" i="22" s="1"/>
  <c r="M22" i="22"/>
  <c r="N22" i="22" s="1"/>
  <c r="K18" i="22"/>
  <c r="H26" i="22"/>
  <c r="M18" i="22" l="1"/>
  <c r="N18" i="22" s="1"/>
  <c r="N26" i="22" s="1"/>
  <c r="M26" i="22" l="1"/>
</calcChain>
</file>

<file path=xl/sharedStrings.xml><?xml version="1.0" encoding="utf-8"?>
<sst xmlns="http://schemas.openxmlformats.org/spreadsheetml/2006/main" count="670" uniqueCount="279">
  <si>
    <t>Kentucky Power Company</t>
  </si>
  <si>
    <t>Tariff Class</t>
  </si>
  <si>
    <t>Description</t>
  </si>
  <si>
    <t>Demand</t>
  </si>
  <si>
    <t>Total Revenue Collected</t>
  </si>
  <si>
    <t>Energy</t>
  </si>
  <si>
    <t>Total</t>
  </si>
  <si>
    <t>Revenue Requirement</t>
  </si>
  <si>
    <t>a.)</t>
  </si>
  <si>
    <t>b.)</t>
  </si>
  <si>
    <t>KY Retail Jurisdiction</t>
  </si>
  <si>
    <t>CP</t>
  </si>
  <si>
    <t>Allocated</t>
  </si>
  <si>
    <t>Test Year</t>
  </si>
  <si>
    <t>Billing</t>
  </si>
  <si>
    <t>CP / kWh</t>
  </si>
  <si>
    <t>Allocation</t>
  </si>
  <si>
    <t>Related</t>
  </si>
  <si>
    <t>$ / kW</t>
  </si>
  <si>
    <t>$ / kWh</t>
  </si>
  <si>
    <t>Revenue</t>
  </si>
  <si>
    <t>Class</t>
  </si>
  <si>
    <t>Ratio</t>
  </si>
  <si>
    <t>Factor</t>
  </si>
  <si>
    <t>Costs</t>
  </si>
  <si>
    <t>Rate</t>
  </si>
  <si>
    <t>Verification</t>
  </si>
  <si>
    <t>Difference</t>
  </si>
  <si>
    <t>(5) = (2) x (4)</t>
  </si>
  <si>
    <t>(8) = (6) / (3)</t>
  </si>
  <si>
    <t>(9) = (7) / (2)</t>
  </si>
  <si>
    <t>(11) =</t>
  </si>
  <si>
    <t>on (5)</t>
  </si>
  <si>
    <t>on (2)</t>
  </si>
  <si>
    <t>(10) - (6) - (7)</t>
  </si>
  <si>
    <t>RES</t>
  </si>
  <si>
    <t>LGS</t>
  </si>
  <si>
    <t>LGS  LMTOD</t>
  </si>
  <si>
    <t>MW</t>
  </si>
  <si>
    <t>OL</t>
  </si>
  <si>
    <t>SL</t>
  </si>
  <si>
    <t>Class Billing Determinants</t>
  </si>
  <si>
    <t>LGS LMTOD</t>
  </si>
  <si>
    <t>Total for Over/Under</t>
  </si>
  <si>
    <t xml:space="preserve"> </t>
  </si>
  <si>
    <t>LINE NO.</t>
  </si>
  <si>
    <t>Component</t>
  </si>
  <si>
    <t>Balances</t>
  </si>
  <si>
    <t>Cap.                                Structure</t>
  </si>
  <si>
    <t>Cost                                                Rates</t>
  </si>
  <si>
    <t>WACC                                              (Net of Tax)</t>
  </si>
  <si>
    <t>GRCF</t>
  </si>
  <si>
    <t>WACC       (PRE-TAX)</t>
  </si>
  <si>
    <t>L/T DEBT</t>
  </si>
  <si>
    <t>S/T DEBT</t>
  </si>
  <si>
    <t>ACCTS REC FINANCING</t>
  </si>
  <si>
    <t>C EQUITY</t>
  </si>
  <si>
    <t>TOTAL</t>
  </si>
  <si>
    <t>Debt</t>
  </si>
  <si>
    <t>Equity</t>
  </si>
  <si>
    <t>Operating Revenues</t>
  </si>
  <si>
    <t>Less Uncollectible Accounts Expense</t>
  </si>
  <si>
    <t>KPSC Maintenance Assessment Fee</t>
  </si>
  <si>
    <t>Income Before Income Taxes</t>
  </si>
  <si>
    <t>Operating  Income Percentage</t>
  </si>
  <si>
    <t>Gross Up Factor  (100.00/Ln 9)</t>
  </si>
  <si>
    <t xml:space="preserve">KENTUCKY POWER COMPANY </t>
  </si>
  <si>
    <t>PPA Rider Base Rate Amounts</t>
  </si>
  <si>
    <t>KPCo KY Retail Jurisdiction</t>
  </si>
  <si>
    <t>PJM LSE OATT Base Amount</t>
  </si>
  <si>
    <t>Total PPA Base Amount</t>
  </si>
  <si>
    <t>PJM Affiliated Trans NITS Cost</t>
  </si>
  <si>
    <t>PJM Affiliated Trans TO Cost</t>
  </si>
  <si>
    <t>Affil PJM Trans Enhancmnt Cost</t>
  </si>
  <si>
    <t>PJM Trans Enhancement Charge</t>
  </si>
  <si>
    <t>PJM NITS Expense - Affiliated</t>
  </si>
  <si>
    <t>Affil PJM Trans Enhncement Exp</t>
  </si>
  <si>
    <t>Account</t>
  </si>
  <si>
    <t>Adjusted Test Year Total</t>
  </si>
  <si>
    <t>CS IRP Credits Base Amount - Acct 44X</t>
  </si>
  <si>
    <t>Classification</t>
  </si>
  <si>
    <t>Actual Period Total</t>
  </si>
  <si>
    <t>Total Demand</t>
  </si>
  <si>
    <t>Total Energy</t>
  </si>
  <si>
    <t>$</t>
  </si>
  <si>
    <t>%</t>
  </si>
  <si>
    <t>GS (SGS/MGS)</t>
  </si>
  <si>
    <t xml:space="preserve">IGS </t>
  </si>
  <si>
    <t>12 Months Ended February 28, 2017</t>
  </si>
  <si>
    <t>Retail Total</t>
  </si>
  <si>
    <t xml:space="preserve">PJM LSE OATT </t>
  </si>
  <si>
    <t>Line</t>
  </si>
  <si>
    <t>PPA - Form 5.0</t>
  </si>
  <si>
    <t xml:space="preserve">Gross Revenue Conversion </t>
  </si>
  <si>
    <t>GS (Includes SGS-TOD and MGS-TOD)</t>
  </si>
  <si>
    <t>4561035-LSE</t>
  </si>
  <si>
    <t>4561036-LSE</t>
  </si>
  <si>
    <t>4561060-LSE</t>
  </si>
  <si>
    <t xml:space="preserve">Prior Period PPA Revenue Target - Previous PPA Update Filing </t>
  </si>
  <si>
    <t>FERC vs KY Retail ROE Delta Return Calculation</t>
  </si>
  <si>
    <t>Source</t>
  </si>
  <si>
    <t>a</t>
  </si>
  <si>
    <t>TO Transmission Rate Base</t>
  </si>
  <si>
    <t>b</t>
  </si>
  <si>
    <t>KY Juris Retail Demand Factor</t>
  </si>
  <si>
    <t>2017-00179  Section V, Allocation Factors</t>
  </si>
  <si>
    <t>c = a*b</t>
  </si>
  <si>
    <t>KY Retail TO Trans Rate Base</t>
  </si>
  <si>
    <t>calculation</t>
  </si>
  <si>
    <t>d</t>
  </si>
  <si>
    <t>Base Rate KY Retail Trans Rate Base</t>
  </si>
  <si>
    <t>2017-00179 Class Cost of Service</t>
  </si>
  <si>
    <t>e = c-d</t>
  </si>
  <si>
    <t xml:space="preserve">Difference </t>
  </si>
  <si>
    <t>f</t>
  </si>
  <si>
    <t>g</t>
  </si>
  <si>
    <t>h = f-g</t>
  </si>
  <si>
    <t>j = e*h</t>
  </si>
  <si>
    <t>TO Return Delta</t>
  </si>
  <si>
    <t>k</t>
  </si>
  <si>
    <t>2018 Tariff PPA Revenue Credit</t>
  </si>
  <si>
    <t>l= j*k</t>
  </si>
  <si>
    <t>m</t>
  </si>
  <si>
    <t>Monthly Amount to be used for Periods less than 12 months (Line 11/12)</t>
  </si>
  <si>
    <t>PJM Point to Point Trans Svc</t>
  </si>
  <si>
    <t>RTO Formation Cost Recovery</t>
  </si>
  <si>
    <t>Non-Rockport PPA Base Rate Amount - Form 5.0 (Based on No. of Months)</t>
  </si>
  <si>
    <t>Rockport Fixed Cost Savings</t>
  </si>
  <si>
    <t>*</t>
  </si>
  <si>
    <t>TO WACC @ 9.70 ROE</t>
  </si>
  <si>
    <t>TO WACC @ 10.35 ROE</t>
  </si>
  <si>
    <t>Forced Outage Purchase Power Limitation Base Amount - Acct 555</t>
  </si>
  <si>
    <t>PJM LSE OATT Monthly Base Amount</t>
  </si>
  <si>
    <t>Non-PJM LSE OATT Monthly Base Amount</t>
  </si>
  <si>
    <t>KPCo</t>
  </si>
  <si>
    <t>PPA Rider Over Under Recovery</t>
  </si>
  <si>
    <t>Per Books</t>
  </si>
  <si>
    <t>January</t>
  </si>
  <si>
    <t>February</t>
  </si>
  <si>
    <t>March</t>
  </si>
  <si>
    <t>April</t>
  </si>
  <si>
    <t>May</t>
  </si>
  <si>
    <t>June</t>
  </si>
  <si>
    <t>Revenue:</t>
  </si>
  <si>
    <t>Adjustments</t>
  </si>
  <si>
    <t>Base Rates:</t>
  </si>
  <si>
    <t>Monthly Approved PPA Base Amount included in Base Rates</t>
  </si>
  <si>
    <t>Expense:</t>
  </si>
  <si>
    <t xml:space="preserve">Account No. </t>
  </si>
  <si>
    <t>Account Description</t>
  </si>
  <si>
    <t>PJM NITS Expense - Non-Affiliated</t>
  </si>
  <si>
    <t>PJM TO Serv Expense - Affiliated</t>
  </si>
  <si>
    <t>Firm and Non-Firm Point to Point Transmision Revenues</t>
  </si>
  <si>
    <t>RTO Formation Costs</t>
  </si>
  <si>
    <t>Network Integrated Transmission Service</t>
  </si>
  <si>
    <t>Schedule 1a Charges</t>
  </si>
  <si>
    <t>Transmission Enhancement Charges</t>
  </si>
  <si>
    <t>PJM NITS Expense - Affilated</t>
  </si>
  <si>
    <t xml:space="preserve">(Over) Under Recovery of PJM OATT LSE Charges </t>
  </si>
  <si>
    <t>Non-OATT LSE amount in base rates</t>
  </si>
  <si>
    <t>Total Non-OATT LSE at 100%</t>
  </si>
  <si>
    <t>Total Non-OATT LSE at 100% less amount in Base Rates</t>
  </si>
  <si>
    <t>(Over) Under Recovery of Base Rates (Step 1)</t>
  </si>
  <si>
    <t>Current month (Over) Under Recovery of Base Rates</t>
  </si>
  <si>
    <t>Cummulative Balance in Regulatory Asset/(Liability)</t>
  </si>
  <si>
    <t>Review Period Total</t>
  </si>
  <si>
    <t>Allocated Monthly</t>
  </si>
  <si>
    <t>Actual Forced Outage Related Purchase Power and CS IRP Credits Paid</t>
  </si>
  <si>
    <t>Forced Outage Related Purchase Power and CS IRP Credits in Base Rates</t>
  </si>
  <si>
    <t xml:space="preserve">FERC Return in excess of Kentucky Retail Return </t>
  </si>
  <si>
    <t>(9a)*</t>
  </si>
  <si>
    <t>(11a)*</t>
  </si>
  <si>
    <t>(12)*</t>
  </si>
  <si>
    <t>*Separated the monthly base amount to properly account for the 80% incremental recovery of PJM LSE OATT Costs</t>
  </si>
  <si>
    <t>December</t>
  </si>
  <si>
    <t>November</t>
  </si>
  <si>
    <t>October</t>
  </si>
  <si>
    <t>September</t>
  </si>
  <si>
    <t>August</t>
  </si>
  <si>
    <t>July</t>
  </si>
  <si>
    <t>2019 OATT TCOS</t>
  </si>
  <si>
    <t xml:space="preserve">2019 OATT TCOS </t>
  </si>
  <si>
    <t>2018 OATT TCOS</t>
  </si>
  <si>
    <t>ESTIMATE - Day 3 - 100% of Interruptible Service Credits &amp; Forced Outage Related Purchase Power Expense</t>
  </si>
  <si>
    <t>Reversal of Day 3 estimates</t>
  </si>
  <si>
    <t>ACTUALS - Post Close - True up of Prior Month 100% of Interruptible Service Credits &amp; FO Expense</t>
  </si>
  <si>
    <t>Subtotal - Billed Revenue</t>
  </si>
  <si>
    <t>Estimated, Unbilled &amp; Gross-up</t>
  </si>
  <si>
    <t>Billed &amp; Accrued Revenue</t>
  </si>
  <si>
    <t>2019 Tariff PPA Revenue Credit</t>
  </si>
  <si>
    <t>2020 OATT TCOS</t>
  </si>
  <si>
    <t xml:space="preserve">2020 OATT TCOS </t>
  </si>
  <si>
    <t>2020 Tariff PPA Revenue Credit</t>
  </si>
  <si>
    <t>12 Months Ended March 31, 2020</t>
  </si>
  <si>
    <t>(11a)</t>
  </si>
  <si>
    <t>(13a)</t>
  </si>
  <si>
    <t>2021 OATT TCOS</t>
  </si>
  <si>
    <t>2020-00174  Section V, Allocation Factors</t>
  </si>
  <si>
    <t>2020-00174 Class Cost of Service</t>
  </si>
  <si>
    <t>TO WACC @ 9.30 ROE</t>
  </si>
  <si>
    <t xml:space="preserve">2021 OATT TCOS </t>
  </si>
  <si>
    <t>Previously 80%, now 100% above or below recovery in base rates allowable for recovery</t>
  </si>
  <si>
    <t>Taxable Income for Federal Income Taxes</t>
  </si>
  <si>
    <t>Less Federal Income Taxes (Ln 11*21%)</t>
  </si>
  <si>
    <t>2021 Tariff PPA Revenue Credit</t>
  </si>
  <si>
    <t>Purchase Power VCS Credit</t>
  </si>
  <si>
    <t>Billing Energy</t>
  </si>
  <si>
    <t>Non-Rockport Current Period Revenue Requirement - Form 3.0</t>
  </si>
  <si>
    <r>
      <t>Monthly PPA Base Amount to be used for Periods less than 12 months (Line</t>
    </r>
    <r>
      <rPr>
        <sz val="10"/>
        <rFont val="Times New Roman"/>
        <family val="1"/>
      </rPr>
      <t xml:space="preserve"> 12</t>
    </r>
    <r>
      <rPr>
        <sz val="10"/>
        <color theme="1"/>
        <rFont val="Times New Roman"/>
        <family val="1"/>
      </rPr>
      <t>/12)</t>
    </r>
  </si>
  <si>
    <r>
      <t xml:space="preserve">2018 OATT TCOS - </t>
    </r>
    <r>
      <rPr>
        <sz val="10"/>
        <color rgb="FFFF0000"/>
        <rFont val="Times New Roman"/>
        <family val="1"/>
      </rPr>
      <t>Updated for settlement in docket EL17-13</t>
    </r>
  </si>
  <si>
    <r>
      <t xml:space="preserve">2018 OATT TCOS - </t>
    </r>
    <r>
      <rPr>
        <sz val="10"/>
        <color rgb="FFFF0000"/>
        <rFont val="Times New Roman"/>
        <family val="1"/>
      </rPr>
      <t>Updated for PSC Order</t>
    </r>
  </si>
  <si>
    <r>
      <t>2018 OATT TCOS -</t>
    </r>
    <r>
      <rPr>
        <sz val="10"/>
        <color rgb="FFFF0000"/>
        <rFont val="Times New Roman"/>
        <family val="1"/>
      </rPr>
      <t xml:space="preserve"> Updated for 21% FIT Rate</t>
    </r>
  </si>
  <si>
    <t>Billing Demand</t>
  </si>
  <si>
    <t>N/A</t>
  </si>
  <si>
    <t>2022 OATT TCOS</t>
  </si>
  <si>
    <t xml:space="preserve">2022 OATT TCOS </t>
  </si>
  <si>
    <t>Actual Non-Rockport PPA Costs - Form 3.0</t>
  </si>
  <si>
    <t>Line is no longer applicable.</t>
  </si>
  <si>
    <t>Actual PPA Revenue Collected - Form 4.0</t>
  </si>
  <si>
    <t>Capacity Charges in 5550004/5550023</t>
  </si>
  <si>
    <t>Capacity Charges</t>
  </si>
  <si>
    <t xml:space="preserve">                   3/31/2023</t>
  </si>
  <si>
    <t>Less State Income Taxes (Ln 4 x 5.0065)</t>
  </si>
  <si>
    <t>2024 OATT TCOS</t>
  </si>
  <si>
    <t>2020-00174</t>
  </si>
  <si>
    <t xml:space="preserve">2024 OATT TCOS </t>
  </si>
  <si>
    <t>Recovery of Estimated Rockport Offset, Rockport True-up Beginning March 2024</t>
  </si>
  <si>
    <t>Actual</t>
  </si>
  <si>
    <t>Forecast</t>
  </si>
  <si>
    <t>As determined by the Public Service Commission in Order dated January 19, 2023 in Case No. 2023-00159.</t>
  </si>
  <si>
    <t>12 Months Ended March 31, 2023</t>
  </si>
  <si>
    <t>(14a)</t>
  </si>
  <si>
    <t>Line is no longer applicable*</t>
  </si>
  <si>
    <t>*No longer considered for inclusion in PPA, lines previously included:</t>
  </si>
  <si>
    <t>Incremental PJM LSE OATT to be included in PPA</t>
  </si>
  <si>
    <t xml:space="preserve">Form 1.0 - Purchase Power Adjustment </t>
  </si>
  <si>
    <t>Form 2.0 - Purchase Power Adjustment Rate Design</t>
  </si>
  <si>
    <t>Form 3.0 - PPA Costs</t>
  </si>
  <si>
    <t>Form 4.0 - PPA Revenue Collected</t>
  </si>
  <si>
    <t>Based on 12 -Month Period ended June 30, 2025</t>
  </si>
  <si>
    <t>12 -Month Period ended June 30, 2025</t>
  </si>
  <si>
    <t>Lines no longer used, previously included: Rockport Deferral (Dec 2022-Dec 2027), Recovery of Declining Deferral of Rockport Costs (through Dec 2022), Recovery of Amortization of Interest Expense Deferral (October 2021-September 2022), and Refund of Rockport Fixed Cost Savings.</t>
  </si>
  <si>
    <t>12 -Month Period Ended June 30, 2025</t>
  </si>
  <si>
    <t>PPA Revenue Requirement before Prior Period Over/Under</t>
  </si>
  <si>
    <t>Calculated Going Level PPA Revenue Requirement</t>
  </si>
  <si>
    <t>12-Month Period Ended June 2025</t>
  </si>
  <si>
    <t>Forecasted - 12 Month Period Ended September 2026</t>
  </si>
  <si>
    <t>Forecast Compared to Actual</t>
  </si>
  <si>
    <t>For October 2025 through September 2026 Billing</t>
  </si>
  <si>
    <t>Actual Operating Expenses for the 12 Month period ended June 30, 2025</t>
  </si>
  <si>
    <t>Form no longer used</t>
  </si>
  <si>
    <t>2023-00318</t>
  </si>
  <si>
    <t>2023-00159</t>
  </si>
  <si>
    <t>2024-00016</t>
  </si>
  <si>
    <t>October Billing -</t>
  </si>
  <si>
    <t>New Base Rates</t>
  </si>
  <si>
    <t>January 16, 2024 -</t>
  </si>
  <si>
    <t>March 2, 2024 -</t>
  </si>
  <si>
    <t>Tariff Capacity Charge - Final Over/Under</t>
  </si>
  <si>
    <t>Rockport Fixed Cost Savings (for "stub" period)</t>
  </si>
  <si>
    <t>Subtotal (Line 3 + Line 4 + Line 5)</t>
  </si>
  <si>
    <t>Gross-Up (Line 6 * Applicable Rate)</t>
  </si>
  <si>
    <t>Rockport Deferral  Amount to be Recovered through the PPA (Dec 9, 2022 - Dec 8, 2027)</t>
  </si>
  <si>
    <t>Estimated Rockport Offset Amount (2023)</t>
  </si>
  <si>
    <t>Rockport Offset True-Up (2024)</t>
  </si>
  <si>
    <t>Revenue Requirement Using Proposed Methodology</t>
  </si>
  <si>
    <t>Variance</t>
  </si>
  <si>
    <t>Days in Effect</t>
  </si>
  <si>
    <t>Approved revenue requirement</t>
  </si>
  <si>
    <t>Prior-Year Revenue Requirement Deficiency</t>
  </si>
  <si>
    <t>Gross-Up (.005523)</t>
  </si>
  <si>
    <t>Tariff CC Amortization (Oct 24 through Sept 25)</t>
  </si>
  <si>
    <t>Revenue requirement, implemented subject to change</t>
  </si>
  <si>
    <t>Tariff P.P.A. Revenue Requirement Calculation Comparison</t>
  </si>
  <si>
    <t>Proposed Over/Under</t>
  </si>
  <si>
    <t>Set to zero as this proposed to use the cumulative regulatory asset or liability balance (Form 3.0a, row 58) that would be securitized.</t>
  </si>
  <si>
    <t>Traditional/Approved Revenue Requirement</t>
  </si>
  <si>
    <t>Actual Revenues vs. Target</t>
  </si>
  <si>
    <t>The Commission's March 4, 2025 and April 10, 2025 Orders in Case No. 2023-00318 denied the Company's modification to the over/under. This denial resulted in an approximate $1 million deficiency between the revenue requirement implemented subject to change vs. the revenue requirement approved. See tab "Rev Req Variance" for more detail.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</si>
</sst>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_(* #,##0_);_(* \(#,##0\);_(* &quot;-&quot;??_);_(@_)"/>
    <numFmt numFmtId="166" formatCode="0_);\(0\)"/>
    <numFmt numFmtId="167" formatCode="0.0000000%"/>
    <numFmt numFmtId="168" formatCode="&quot;$&quot;#,##0.00000"/>
    <numFmt numFmtId="169" formatCode="&quot;$&quot;#,##0"/>
    <numFmt numFmtId="170" formatCode="0.000000_);\(0.000000\)"/>
    <numFmt numFmtId="171" formatCode="_(&quot;$&quot;* #,##0_);_(&quot;$&quot;* \(#,##0\);_(&quot;$&quot;* &quot;-&quot;??_);_(@_)"/>
    <numFmt numFmtId="172" formatCode="0.000%"/>
    <numFmt numFmtId="173" formatCode="0.0000%"/>
    <numFmt numFmtId="174" formatCode="0.000000"/>
    <numFmt numFmtId="175" formatCode="_(* #,##0.0000_);_(* \(#,##0.0000\);_(* &quot;-&quot;??_);_(@_)"/>
    <numFmt numFmtId="176" formatCode="0.0000"/>
    <numFmt numFmtId="177" formatCode="0.000"/>
    <numFmt numFmtId="178" formatCode="0.00000%"/>
    <numFmt numFmtId="179" formatCode="&quot;$&quot;#,##0.00"/>
    <numFmt numFmtId="180" formatCode="_(&quot;$&quot;* #,##0.0_);_(&quot;$&quot;* \(#,##0.0\);_(&quot;$&quot;* &quot;-&quot;??_);_(@_)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color indexed="64"/>
      <name val="Arial"/>
      <family val="2"/>
    </font>
    <font>
      <sz val="10"/>
      <color indexed="64"/>
      <name val="Arial"/>
      <family val="2"/>
    </font>
    <font>
      <sz val="10"/>
      <color theme="1"/>
      <name val="Calibri"/>
      <family val="2"/>
      <scheme val="minor"/>
    </font>
    <font>
      <sz val="10"/>
      <name val="Arial Unicode MS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0"/>
      <color rgb="FFFF0000"/>
      <name val="Times New Roman"/>
      <family val="1"/>
    </font>
    <font>
      <b/>
      <i/>
      <u/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strike/>
      <sz val="10"/>
      <color theme="1"/>
      <name val="Times New Roman"/>
      <family val="1"/>
    </font>
    <font>
      <sz val="10"/>
      <color rgb="FFFF0000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Times New Roman"/>
      <family val="1"/>
    </font>
    <font>
      <vertAlign val="superscript"/>
      <sz val="10"/>
      <name val="Times New Roman"/>
      <family val="1"/>
    </font>
    <font>
      <b/>
      <sz val="10"/>
      <color indexed="12"/>
      <name val="Times New Roman"/>
      <family val="1"/>
    </font>
    <font>
      <sz val="10"/>
      <color indexed="8"/>
      <name val="Times New Roman"/>
      <family val="1"/>
    </font>
    <font>
      <sz val="10"/>
      <color indexed="10"/>
      <name val="Times New Roman"/>
      <family val="1"/>
    </font>
    <font>
      <b/>
      <sz val="10"/>
      <color indexed="8"/>
      <name val="Times New Roman"/>
      <family val="1"/>
    </font>
    <font>
      <i/>
      <sz val="10"/>
      <color theme="1"/>
      <name val="Times New Roman"/>
      <family val="1"/>
    </font>
    <font>
      <u/>
      <sz val="10"/>
      <name val="Times New Roman"/>
      <family val="1"/>
    </font>
    <font>
      <u/>
      <sz val="10"/>
      <color theme="1"/>
      <name val="Times New Roman"/>
      <family val="1"/>
    </font>
    <font>
      <sz val="11"/>
      <color rgb="FF000000"/>
      <name val="Times New Roman"/>
      <family val="1"/>
    </font>
    <font>
      <i/>
      <sz val="11"/>
      <color rgb="FFFF0000"/>
      <name val="Times New Roman"/>
      <family val="1"/>
    </font>
    <font>
      <b/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b/>
      <i/>
      <sz val="10"/>
      <color rgb="FFFF0000"/>
      <name val="Times New Roman"/>
      <family val="1"/>
    </font>
    <font>
      <i/>
      <sz val="10"/>
      <color rgb="FFFF0000"/>
      <name val="Times New Roman"/>
      <family val="1"/>
    </font>
    <font>
      <b/>
      <sz val="12"/>
      <color theme="1"/>
      <name val="Times New Roman"/>
      <family val="1"/>
    </font>
    <font>
      <i/>
      <sz val="11"/>
      <name val="Times New Roman"/>
      <family val="1"/>
    </font>
  </fonts>
  <fills count="30">
    <fill>
      <patternFill patternType="none"/>
    </fill>
    <fill>
      <patternFill patternType="gray125"/>
    </fill>
    <fill>
      <patternFill patternType="medium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D0CECE"/>
        <bgColor rgb="FF000000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789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 applyNumberFormat="0" applyFont="0" applyFill="0" applyBorder="0" applyAlignment="0" applyProtection="0">
      <alignment horizontal="left"/>
    </xf>
    <xf numFmtId="1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0" fontId="5" fillId="0" borderId="9">
      <alignment horizontal="center"/>
    </xf>
    <xf numFmtId="3" fontId="4" fillId="0" borderId="0" applyFont="0" applyFill="0" applyBorder="0" applyAlignment="0" applyProtection="0"/>
    <xf numFmtId="0" fontId="4" fillId="2" borderId="0" applyNumberFormat="0" applyFont="0" applyBorder="0" applyAlignment="0" applyProtection="0"/>
    <xf numFmtId="0" fontId="3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8" fillId="4" borderId="0" applyNumberFormat="0" applyBorder="0" applyAlignment="0" applyProtection="0"/>
    <xf numFmtId="0" fontId="9" fillId="21" borderId="11" applyNumberFormat="0" applyAlignment="0" applyProtection="0"/>
    <xf numFmtId="0" fontId="10" fillId="22" borderId="12" applyNumberFormat="0" applyAlignment="0" applyProtection="0"/>
    <xf numFmtId="0" fontId="11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5" fillId="0" borderId="15" applyNumberFormat="0" applyFill="0" applyAlignment="0" applyProtection="0"/>
    <xf numFmtId="0" fontId="15" fillId="0" borderId="0" applyNumberFormat="0" applyFill="0" applyBorder="0" applyAlignment="0" applyProtection="0"/>
    <xf numFmtId="0" fontId="16" fillId="8" borderId="11" applyNumberFormat="0" applyAlignment="0" applyProtection="0"/>
    <xf numFmtId="0" fontId="17" fillId="0" borderId="16" applyNumberFormat="0" applyFill="0" applyAlignment="0" applyProtection="0"/>
    <xf numFmtId="0" fontId="18" fillId="23" borderId="0" applyNumberFormat="0" applyBorder="0" applyAlignment="0" applyProtection="0"/>
    <xf numFmtId="0" fontId="3" fillId="24" borderId="17" applyNumberFormat="0" applyFont="0" applyAlignment="0" applyProtection="0"/>
    <xf numFmtId="0" fontId="19" fillId="21" borderId="18" applyNumberFormat="0" applyAlignment="0" applyProtection="0"/>
    <xf numFmtId="0" fontId="20" fillId="0" borderId="0" applyNumberFormat="0" applyFill="0" applyBorder="0" applyAlignment="0" applyProtection="0"/>
    <xf numFmtId="0" fontId="21" fillId="0" borderId="19" applyNumberFormat="0" applyFill="0" applyAlignment="0" applyProtection="0"/>
    <xf numFmtId="0" fontId="2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4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4" fillId="0" borderId="0"/>
    <xf numFmtId="0" fontId="24" fillId="0" borderId="0"/>
    <xf numFmtId="0" fontId="4" fillId="0" borderId="0"/>
    <xf numFmtId="0" fontId="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1" fillId="0" borderId="0"/>
    <xf numFmtId="0" fontId="1" fillId="0" borderId="0"/>
    <xf numFmtId="0" fontId="4" fillId="0" borderId="0"/>
    <xf numFmtId="0" fontId="25" fillId="0" borderId="0"/>
    <xf numFmtId="0" fontId="1" fillId="0" borderId="0"/>
    <xf numFmtId="0" fontId="25" fillId="0" borderId="0"/>
    <xf numFmtId="0" fontId="2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 applyNumberFormat="0" applyFont="0" applyFill="0" applyBorder="0" applyAlignment="0" applyProtection="0">
      <alignment horizontal="left"/>
    </xf>
    <xf numFmtId="0" fontId="4" fillId="0" borderId="0" applyNumberFormat="0" applyFont="0" applyFill="0" applyBorder="0" applyAlignment="0" applyProtection="0">
      <alignment horizontal="left"/>
    </xf>
    <xf numFmtId="0" fontId="4" fillId="0" borderId="0" applyNumberFormat="0" applyFont="0" applyFill="0" applyBorder="0" applyAlignment="0" applyProtection="0">
      <alignment horizontal="left"/>
    </xf>
    <xf numFmtId="0" fontId="4" fillId="0" borderId="0" applyNumberFormat="0" applyFont="0" applyFill="0" applyBorder="0" applyAlignment="0" applyProtection="0">
      <alignment horizontal="left"/>
    </xf>
    <xf numFmtId="0" fontId="4" fillId="0" borderId="0" applyNumberFormat="0" applyFont="0" applyFill="0" applyBorder="0" applyAlignment="0" applyProtection="0">
      <alignment horizontal="left"/>
    </xf>
    <xf numFmtId="0" fontId="4" fillId="0" borderId="0" applyNumberFormat="0" applyFont="0" applyFill="0" applyBorder="0" applyAlignment="0" applyProtection="0">
      <alignment horizontal="left"/>
    </xf>
    <xf numFmtId="0" fontId="4" fillId="0" borderId="0" applyNumberFormat="0" applyFont="0" applyFill="0" applyBorder="0" applyAlignment="0" applyProtection="0">
      <alignment horizontal="left"/>
    </xf>
    <xf numFmtId="0" fontId="4" fillId="0" borderId="0" applyNumberFormat="0" applyFont="0" applyFill="0" applyBorder="0" applyAlignment="0" applyProtection="0">
      <alignment horizontal="left"/>
    </xf>
    <xf numFmtId="0" fontId="4" fillId="0" borderId="0" applyNumberFormat="0" applyFont="0" applyFill="0" applyBorder="0" applyAlignment="0" applyProtection="0">
      <alignment horizontal="left"/>
    </xf>
    <xf numFmtId="0" fontId="4" fillId="0" borderId="0" applyNumberFormat="0" applyFont="0" applyFill="0" applyBorder="0" applyAlignment="0" applyProtection="0">
      <alignment horizontal="left"/>
    </xf>
    <xf numFmtId="0" fontId="4" fillId="0" borderId="0" applyNumberFormat="0" applyFont="0" applyFill="0" applyBorder="0" applyAlignment="0" applyProtection="0">
      <alignment horizontal="left"/>
    </xf>
    <xf numFmtId="0" fontId="4" fillId="0" borderId="0" applyNumberFormat="0" applyFont="0" applyFill="0" applyBorder="0" applyAlignment="0" applyProtection="0">
      <alignment horizontal="left"/>
    </xf>
    <xf numFmtId="0" fontId="4" fillId="0" borderId="0" applyNumberFormat="0" applyFont="0" applyFill="0" applyBorder="0" applyAlignment="0" applyProtection="0">
      <alignment horizontal="left"/>
    </xf>
    <xf numFmtId="0" fontId="4" fillId="0" borderId="0" applyNumberFormat="0" applyFont="0" applyFill="0" applyBorder="0" applyAlignment="0" applyProtection="0">
      <alignment horizontal="left"/>
    </xf>
    <xf numFmtId="0" fontId="4" fillId="0" borderId="0" applyNumberFormat="0" applyFont="0" applyFill="0" applyBorder="0" applyAlignment="0" applyProtection="0">
      <alignment horizontal="left"/>
    </xf>
    <xf numFmtId="0" fontId="4" fillId="0" borderId="0" applyNumberFormat="0" applyFont="0" applyFill="0" applyBorder="0" applyAlignment="0" applyProtection="0">
      <alignment horizontal="left"/>
    </xf>
    <xf numFmtId="15" fontId="4" fillId="0" borderId="0" applyFont="0" applyFill="0" applyBorder="0" applyAlignment="0" applyProtection="0"/>
    <xf numFmtId="15" fontId="4" fillId="0" borderId="0" applyFont="0" applyFill="0" applyBorder="0" applyAlignment="0" applyProtection="0"/>
    <xf numFmtId="15" fontId="4" fillId="0" borderId="0" applyFont="0" applyFill="0" applyBorder="0" applyAlignment="0" applyProtection="0"/>
    <xf numFmtId="15" fontId="4" fillId="0" borderId="0" applyFont="0" applyFill="0" applyBorder="0" applyAlignment="0" applyProtection="0"/>
    <xf numFmtId="15" fontId="4" fillId="0" borderId="0" applyFont="0" applyFill="0" applyBorder="0" applyAlignment="0" applyProtection="0"/>
    <xf numFmtId="15" fontId="4" fillId="0" borderId="0" applyFont="0" applyFill="0" applyBorder="0" applyAlignment="0" applyProtection="0"/>
    <xf numFmtId="15" fontId="4" fillId="0" borderId="0" applyFont="0" applyFill="0" applyBorder="0" applyAlignment="0" applyProtection="0"/>
    <xf numFmtId="15" fontId="4" fillId="0" borderId="0" applyFont="0" applyFill="0" applyBorder="0" applyAlignment="0" applyProtection="0"/>
    <xf numFmtId="15" fontId="4" fillId="0" borderId="0" applyFont="0" applyFill="0" applyBorder="0" applyAlignment="0" applyProtection="0"/>
    <xf numFmtId="15" fontId="4" fillId="0" borderId="0" applyFont="0" applyFill="0" applyBorder="0" applyAlignment="0" applyProtection="0"/>
    <xf numFmtId="15" fontId="4" fillId="0" borderId="0" applyFont="0" applyFill="0" applyBorder="0" applyAlignment="0" applyProtection="0"/>
    <xf numFmtId="15" fontId="4" fillId="0" borderId="0" applyFont="0" applyFill="0" applyBorder="0" applyAlignment="0" applyProtection="0"/>
    <xf numFmtId="15" fontId="4" fillId="0" borderId="0" applyFont="0" applyFill="0" applyBorder="0" applyAlignment="0" applyProtection="0"/>
    <xf numFmtId="15" fontId="4" fillId="0" borderId="0" applyFont="0" applyFill="0" applyBorder="0" applyAlignment="0" applyProtection="0"/>
    <xf numFmtId="1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0" fontId="5" fillId="0" borderId="9">
      <alignment horizontal="center"/>
    </xf>
    <xf numFmtId="0" fontId="5" fillId="0" borderId="9">
      <alignment horizontal="center"/>
    </xf>
    <xf numFmtId="0" fontId="5" fillId="0" borderId="9">
      <alignment horizontal="center"/>
    </xf>
    <xf numFmtId="0" fontId="5" fillId="0" borderId="9">
      <alignment horizontal="center"/>
    </xf>
    <xf numFmtId="0" fontId="5" fillId="0" borderId="9">
      <alignment horizontal="center"/>
    </xf>
    <xf numFmtId="0" fontId="5" fillId="0" borderId="9">
      <alignment horizontal="center"/>
    </xf>
    <xf numFmtId="0" fontId="5" fillId="0" borderId="9">
      <alignment horizontal="center"/>
    </xf>
    <xf numFmtId="0" fontId="5" fillId="0" borderId="9">
      <alignment horizontal="center"/>
    </xf>
    <xf numFmtId="0" fontId="5" fillId="0" borderId="9">
      <alignment horizontal="center"/>
    </xf>
    <xf numFmtId="0" fontId="5" fillId="0" borderId="9">
      <alignment horizontal="center"/>
    </xf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0" fontId="4" fillId="2" borderId="0" applyNumberFormat="0" applyFont="0" applyBorder="0" applyAlignment="0" applyProtection="0"/>
    <xf numFmtId="0" fontId="4" fillId="2" borderId="0" applyNumberFormat="0" applyFont="0" applyBorder="0" applyAlignment="0" applyProtection="0"/>
    <xf numFmtId="0" fontId="4" fillId="2" borderId="0" applyNumberFormat="0" applyFont="0" applyBorder="0" applyAlignment="0" applyProtection="0"/>
    <xf numFmtId="0" fontId="4" fillId="2" borderId="0" applyNumberFormat="0" applyFont="0" applyBorder="0" applyAlignment="0" applyProtection="0"/>
    <xf numFmtId="0" fontId="4" fillId="2" borderId="0" applyNumberFormat="0" applyFont="0" applyBorder="0" applyAlignment="0" applyProtection="0"/>
    <xf numFmtId="0" fontId="4" fillId="2" borderId="0" applyNumberFormat="0" applyFont="0" applyBorder="0" applyAlignment="0" applyProtection="0"/>
    <xf numFmtId="0" fontId="4" fillId="2" borderId="0" applyNumberFormat="0" applyFont="0" applyBorder="0" applyAlignment="0" applyProtection="0"/>
    <xf numFmtId="0" fontId="4" fillId="2" borderId="0" applyNumberFormat="0" applyFont="0" applyBorder="0" applyAlignment="0" applyProtection="0"/>
    <xf numFmtId="0" fontId="4" fillId="2" borderId="0" applyNumberFormat="0" applyFont="0" applyBorder="0" applyAlignment="0" applyProtection="0"/>
    <xf numFmtId="0" fontId="4" fillId="2" borderId="0" applyNumberFormat="0" applyFont="0" applyBorder="0" applyAlignment="0" applyProtection="0"/>
    <xf numFmtId="0" fontId="4" fillId="2" borderId="0" applyNumberFormat="0" applyFont="0" applyBorder="0" applyAlignment="0" applyProtection="0"/>
    <xf numFmtId="0" fontId="4" fillId="2" borderId="0" applyNumberFormat="0" applyFont="0" applyBorder="0" applyAlignment="0" applyProtection="0"/>
    <xf numFmtId="0" fontId="4" fillId="2" borderId="0" applyNumberFormat="0" applyFont="0" applyBorder="0" applyAlignment="0" applyProtection="0"/>
    <xf numFmtId="0" fontId="4" fillId="2" borderId="0" applyNumberFormat="0" applyFont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26" fillId="0" borderId="0"/>
  </cellStyleXfs>
  <cellXfs count="295">
    <xf numFmtId="0" fontId="0" fillId="0" borderId="0" xfId="0"/>
    <xf numFmtId="0" fontId="27" fillId="25" borderId="0" xfId="0" applyFont="1" applyFill="1" applyAlignment="1">
      <alignment horizontal="center"/>
    </xf>
    <xf numFmtId="0" fontId="27" fillId="25" borderId="0" xfId="0" applyFont="1" applyFill="1"/>
    <xf numFmtId="165" fontId="27" fillId="25" borderId="0" xfId="1" applyNumberFormat="1" applyFont="1" applyFill="1" applyAlignment="1">
      <alignment horizontal="right"/>
    </xf>
    <xf numFmtId="166" fontId="28" fillId="25" borderId="0" xfId="0" applyNumberFormat="1" applyFont="1" applyFill="1" applyAlignment="1">
      <alignment horizontal="center"/>
    </xf>
    <xf numFmtId="0" fontId="27" fillId="25" borderId="0" xfId="0" applyFont="1" applyFill="1" applyAlignment="1">
      <alignment horizontal="left"/>
    </xf>
    <xf numFmtId="0" fontId="32" fillId="0" borderId="0" xfId="11" applyFont="1" applyFill="1" applyAlignment="1">
      <alignment horizontal="center"/>
    </xf>
    <xf numFmtId="0" fontId="28" fillId="25" borderId="0" xfId="0" applyFont="1" applyFill="1"/>
    <xf numFmtId="171" fontId="27" fillId="25" borderId="0" xfId="54" applyNumberFormat="1" applyFont="1" applyFill="1"/>
    <xf numFmtId="0" fontId="28" fillId="25" borderId="1" xfId="0" applyFont="1" applyFill="1" applyBorder="1" applyAlignment="1">
      <alignment horizontal="center"/>
    </xf>
    <xf numFmtId="0" fontId="34" fillId="25" borderId="0" xfId="0" applyFont="1" applyFill="1" applyAlignment="1">
      <alignment horizontal="center"/>
    </xf>
    <xf numFmtId="0" fontId="27" fillId="25" borderId="1" xfId="0" applyFont="1" applyFill="1" applyBorder="1"/>
    <xf numFmtId="171" fontId="27" fillId="25" borderId="0" xfId="0" applyNumberFormat="1" applyFont="1" applyFill="1"/>
    <xf numFmtId="0" fontId="35" fillId="25" borderId="0" xfId="0" applyFont="1" applyFill="1" applyBorder="1"/>
    <xf numFmtId="0" fontId="27" fillId="0" borderId="0" xfId="0" applyFont="1" applyFill="1" applyAlignment="1">
      <alignment horizontal="right"/>
    </xf>
    <xf numFmtId="0" fontId="27" fillId="0" borderId="0" xfId="0" applyFont="1" applyFill="1"/>
    <xf numFmtId="0" fontId="27" fillId="0" borderId="0" xfId="0" applyFont="1" applyFill="1" applyAlignment="1">
      <alignment horizontal="center"/>
    </xf>
    <xf numFmtId="165" fontId="27" fillId="0" borderId="0" xfId="1" applyNumberFormat="1" applyFont="1" applyFill="1" applyAlignment="1">
      <alignment horizontal="right"/>
    </xf>
    <xf numFmtId="165" fontId="27" fillId="0" borderId="0" xfId="1" applyNumberFormat="1" applyFont="1" applyFill="1"/>
    <xf numFmtId="0" fontId="29" fillId="0" borderId="0" xfId="0" applyFont="1" applyFill="1" applyAlignment="1">
      <alignment horizontal="center"/>
    </xf>
    <xf numFmtId="166" fontId="28" fillId="0" borderId="0" xfId="0" applyNumberFormat="1" applyFont="1" applyFill="1" applyAlignment="1">
      <alignment horizontal="center"/>
    </xf>
    <xf numFmtId="164" fontId="27" fillId="0" borderId="0" xfId="0" applyNumberFormat="1" applyFont="1" applyFill="1"/>
    <xf numFmtId="165" fontId="27" fillId="0" borderId="0" xfId="0" applyNumberFormat="1" applyFont="1" applyFill="1"/>
    <xf numFmtId="0" fontId="28" fillId="0" borderId="0" xfId="0" applyFont="1" applyFill="1"/>
    <xf numFmtId="164" fontId="28" fillId="0" borderId="0" xfId="0" applyNumberFormat="1" applyFont="1" applyFill="1"/>
    <xf numFmtId="0" fontId="28" fillId="25" borderId="1" xfId="0" applyFont="1" applyFill="1" applyBorder="1"/>
    <xf numFmtId="6" fontId="27" fillId="25" borderId="0" xfId="0" applyNumberFormat="1" applyFont="1" applyFill="1"/>
    <xf numFmtId="6" fontId="27" fillId="25" borderId="1" xfId="0" applyNumberFormat="1" applyFont="1" applyFill="1" applyBorder="1"/>
    <xf numFmtId="8" fontId="27" fillId="25" borderId="0" xfId="0" applyNumberFormat="1" applyFont="1" applyFill="1"/>
    <xf numFmtId="6" fontId="28" fillId="25" borderId="0" xfId="0" applyNumberFormat="1" applyFont="1" applyFill="1"/>
    <xf numFmtId="0" fontId="36" fillId="25" borderId="0" xfId="0" applyFont="1" applyFill="1"/>
    <xf numFmtId="171" fontId="28" fillId="25" borderId="0" xfId="54" applyNumberFormat="1" applyFont="1" applyFill="1"/>
    <xf numFmtId="171" fontId="28" fillId="25" borderId="27" xfId="0" applyNumberFormat="1" applyFont="1" applyFill="1" applyBorder="1"/>
    <xf numFmtId="6" fontId="28" fillId="25" borderId="28" xfId="0" applyNumberFormat="1" applyFont="1" applyFill="1" applyBorder="1"/>
    <xf numFmtId="0" fontId="31" fillId="25" borderId="0" xfId="0" applyFont="1" applyFill="1" applyAlignment="1">
      <alignment horizontal="left"/>
    </xf>
    <xf numFmtId="0" fontId="27" fillId="26" borderId="0" xfId="0" applyFont="1" applyFill="1" applyAlignment="1">
      <alignment horizontal="center"/>
    </xf>
    <xf numFmtId="0" fontId="27" fillId="26" borderId="0" xfId="0" applyFont="1" applyFill="1"/>
    <xf numFmtId="6" fontId="27" fillId="25" borderId="0" xfId="0" applyNumberFormat="1" applyFont="1" applyFill="1" applyBorder="1"/>
    <xf numFmtId="6" fontId="27" fillId="0" borderId="0" xfId="0" applyNumberFormat="1" applyFont="1" applyFill="1"/>
    <xf numFmtId="0" fontId="37" fillId="25" borderId="0" xfId="0" applyFont="1" applyFill="1"/>
    <xf numFmtId="172" fontId="27" fillId="25" borderId="0" xfId="785" applyNumberFormat="1" applyFont="1" applyFill="1"/>
    <xf numFmtId="0" fontId="37" fillId="25" borderId="1" xfId="0" applyFont="1" applyFill="1" applyBorder="1"/>
    <xf numFmtId="172" fontId="27" fillId="25" borderId="1" xfId="785" applyNumberFormat="1" applyFont="1" applyFill="1" applyBorder="1"/>
    <xf numFmtId="173" fontId="27" fillId="25" borderId="0" xfId="0" applyNumberFormat="1" applyFont="1" applyFill="1"/>
    <xf numFmtId="176" fontId="27" fillId="25" borderId="1" xfId="0" applyNumberFormat="1" applyFont="1" applyFill="1" applyBorder="1"/>
    <xf numFmtId="0" fontId="27" fillId="25" borderId="0" xfId="0" quotePrefix="1" applyFont="1" applyFill="1"/>
    <xf numFmtId="171" fontId="35" fillId="25" borderId="0" xfId="0" applyNumberFormat="1" applyFont="1" applyFill="1"/>
    <xf numFmtId="166" fontId="27" fillId="25" borderId="0" xfId="0" applyNumberFormat="1" applyFont="1" applyFill="1" applyAlignment="1">
      <alignment horizontal="left"/>
    </xf>
    <xf numFmtId="6" fontId="27" fillId="26" borderId="0" xfId="0" applyNumberFormat="1" applyFont="1" applyFill="1"/>
    <xf numFmtId="0" fontId="27" fillId="0" borderId="0" xfId="0" applyFont="1" applyFill="1" applyAlignment="1"/>
    <xf numFmtId="0" fontId="27" fillId="0" borderId="0" xfId="0" applyFont="1" applyFill="1" applyAlignment="1">
      <alignment horizontal="center" wrapText="1"/>
    </xf>
    <xf numFmtId="165" fontId="27" fillId="0" borderId="0" xfId="0" applyNumberFormat="1" applyFont="1" applyFill="1" applyAlignment="1"/>
    <xf numFmtId="0" fontId="27" fillId="0" borderId="0" xfId="0" applyFont="1" applyFill="1" applyAlignment="1">
      <alignment horizontal="left"/>
    </xf>
    <xf numFmtId="43" fontId="27" fillId="0" borderId="0" xfId="0" applyNumberFormat="1" applyFont="1" applyFill="1" applyAlignment="1"/>
    <xf numFmtId="5" fontId="27" fillId="0" borderId="0" xfId="0" applyNumberFormat="1" applyFont="1" applyFill="1" applyBorder="1"/>
    <xf numFmtId="0" fontId="27" fillId="0" borderId="0" xfId="0" applyFont="1" applyFill="1" applyBorder="1"/>
    <xf numFmtId="5" fontId="27" fillId="0" borderId="0" xfId="0" applyNumberFormat="1" applyFont="1" applyFill="1"/>
    <xf numFmtId="0" fontId="31" fillId="0" borderId="0" xfId="11" applyFont="1" applyFill="1"/>
    <xf numFmtId="165" fontId="30" fillId="0" borderId="0" xfId="4" applyNumberFormat="1" applyFont="1" applyFill="1"/>
    <xf numFmtId="3" fontId="27" fillId="0" borderId="0" xfId="0" applyNumberFormat="1" applyFont="1" applyFill="1"/>
    <xf numFmtId="165" fontId="31" fillId="0" borderId="0" xfId="11" applyNumberFormat="1" applyFont="1" applyFill="1"/>
    <xf numFmtId="0" fontId="30" fillId="0" borderId="0" xfId="0" applyFont="1" applyFill="1"/>
    <xf numFmtId="172" fontId="30" fillId="0" borderId="0" xfId="785" applyNumberFormat="1" applyFont="1" applyFill="1"/>
    <xf numFmtId="0" fontId="40" fillId="0" borderId="0" xfId="0" applyFont="1" applyFill="1"/>
    <xf numFmtId="38" fontId="30" fillId="0" borderId="0" xfId="0" applyNumberFormat="1" applyFont="1" applyFill="1"/>
    <xf numFmtId="166" fontId="40" fillId="0" borderId="0" xfId="0" applyNumberFormat="1" applyFont="1" applyFill="1"/>
    <xf numFmtId="6" fontId="30" fillId="0" borderId="0" xfId="0" applyNumberFormat="1" applyFont="1" applyFill="1"/>
    <xf numFmtId="171" fontId="27" fillId="0" borderId="0" xfId="54" applyNumberFormat="1" applyFont="1" applyFill="1"/>
    <xf numFmtId="171" fontId="27" fillId="0" borderId="0" xfId="0" applyNumberFormat="1" applyFont="1" applyFill="1"/>
    <xf numFmtId="0" fontId="37" fillId="0" borderId="0" xfId="0" applyFont="1" applyFill="1" applyAlignment="1"/>
    <xf numFmtId="0" fontId="28" fillId="0" borderId="1" xfId="0" applyFont="1" applyFill="1" applyBorder="1"/>
    <xf numFmtId="0" fontId="30" fillId="25" borderId="0" xfId="55" applyFont="1" applyFill="1"/>
    <xf numFmtId="0" fontId="30" fillId="25" borderId="0" xfId="55" applyFont="1" applyFill="1" applyAlignment="1">
      <alignment horizontal="center"/>
    </xf>
    <xf numFmtId="0" fontId="30" fillId="25" borderId="0" xfId="55" applyFont="1" applyFill="1" applyBorder="1" applyAlignment="1">
      <alignment horizontal="center"/>
    </xf>
    <xf numFmtId="0" fontId="30" fillId="25" borderId="0" xfId="55" applyFont="1" applyFill="1" applyBorder="1"/>
    <xf numFmtId="49" fontId="30" fillId="25" borderId="22" xfId="56" applyNumberFormat="1" applyFont="1" applyFill="1" applyBorder="1" applyAlignment="1">
      <alignment horizontal="center" wrapText="1"/>
    </xf>
    <xf numFmtId="49" fontId="30" fillId="25" borderId="4" xfId="56" applyNumberFormat="1" applyFont="1" applyFill="1" applyBorder="1" applyAlignment="1">
      <alignment wrapText="1"/>
    </xf>
    <xf numFmtId="49" fontId="30" fillId="25" borderId="20" xfId="56" applyNumberFormat="1" applyFont="1" applyFill="1" applyBorder="1" applyAlignment="1">
      <alignment horizontal="center" wrapText="1"/>
    </xf>
    <xf numFmtId="49" fontId="30" fillId="25" borderId="23" xfId="56" applyNumberFormat="1" applyFont="1" applyFill="1" applyBorder="1" applyAlignment="1">
      <alignment wrapText="1"/>
    </xf>
    <xf numFmtId="49" fontId="30" fillId="25" borderId="23" xfId="56" applyNumberFormat="1" applyFont="1" applyFill="1" applyBorder="1" applyAlignment="1">
      <alignment horizontal="center" wrapText="1"/>
    </xf>
    <xf numFmtId="49" fontId="30" fillId="25" borderId="22" xfId="56" applyNumberFormat="1" applyFont="1" applyFill="1" applyBorder="1" applyAlignment="1">
      <alignment wrapText="1"/>
    </xf>
    <xf numFmtId="0" fontId="30" fillId="25" borderId="23" xfId="56" applyFont="1" applyFill="1" applyBorder="1"/>
    <xf numFmtId="0" fontId="30" fillId="25" borderId="23" xfId="56" applyFont="1" applyFill="1" applyBorder="1" applyAlignment="1">
      <alignment horizontal="center"/>
    </xf>
    <xf numFmtId="49" fontId="30" fillId="25" borderId="21" xfId="56" applyNumberFormat="1" applyFont="1" applyFill="1" applyBorder="1" applyAlignment="1">
      <alignment horizontal="center" wrapText="1"/>
    </xf>
    <xf numFmtId="49" fontId="30" fillId="25" borderId="6" xfId="56" applyNumberFormat="1" applyFont="1" applyFill="1" applyBorder="1" applyAlignment="1">
      <alignment horizontal="center" wrapText="1"/>
    </xf>
    <xf numFmtId="49" fontId="30" fillId="25" borderId="0" xfId="56" applyNumberFormat="1" applyFont="1" applyFill="1" applyBorder="1" applyAlignment="1">
      <alignment wrapText="1"/>
    </xf>
    <xf numFmtId="49" fontId="30" fillId="25" borderId="0" xfId="56" applyNumberFormat="1" applyFont="1" applyFill="1" applyBorder="1" applyAlignment="1">
      <alignment horizontal="center" wrapText="1"/>
    </xf>
    <xf numFmtId="49" fontId="41" fillId="25" borderId="0" xfId="56" applyNumberFormat="1" applyFont="1" applyFill="1" applyBorder="1" applyAlignment="1">
      <alignment horizontal="center" wrapText="1"/>
    </xf>
    <xf numFmtId="49" fontId="30" fillId="25" borderId="24" xfId="56" applyNumberFormat="1" applyFont="1" applyFill="1" applyBorder="1" applyAlignment="1">
      <alignment wrapText="1"/>
    </xf>
    <xf numFmtId="0" fontId="30" fillId="25" borderId="0" xfId="56" applyFont="1" applyFill="1" applyBorder="1"/>
    <xf numFmtId="0" fontId="30" fillId="25" borderId="0" xfId="56" applyFont="1" applyFill="1" applyBorder="1" applyAlignment="1">
      <alignment horizontal="center"/>
    </xf>
    <xf numFmtId="49" fontId="30" fillId="25" borderId="7" xfId="56" applyNumberFormat="1" applyFont="1" applyFill="1" applyBorder="1" applyAlignment="1">
      <alignment horizontal="center" wrapText="1"/>
    </xf>
    <xf numFmtId="0" fontId="30" fillId="25" borderId="25" xfId="56" applyFont="1" applyFill="1" applyBorder="1" applyAlignment="1">
      <alignment horizontal="center"/>
    </xf>
    <xf numFmtId="0" fontId="30" fillId="25" borderId="4" xfId="56" applyFont="1" applyFill="1" applyBorder="1"/>
    <xf numFmtId="0" fontId="30" fillId="25" borderId="25" xfId="56" applyFont="1" applyFill="1" applyBorder="1"/>
    <xf numFmtId="0" fontId="30" fillId="25" borderId="5" xfId="56" applyFont="1" applyFill="1" applyBorder="1"/>
    <xf numFmtId="0" fontId="39" fillId="25" borderId="24" xfId="56" applyFont="1" applyFill="1" applyBorder="1" applyAlignment="1">
      <alignment horizontal="center"/>
    </xf>
    <xf numFmtId="5" fontId="42" fillId="25" borderId="0" xfId="56" applyNumberFormat="1" applyFont="1" applyFill="1" applyBorder="1"/>
    <xf numFmtId="10" fontId="30" fillId="25" borderId="0" xfId="56" applyNumberFormat="1" applyFont="1" applyFill="1" applyBorder="1"/>
    <xf numFmtId="10" fontId="42" fillId="25" borderId="0" xfId="56" applyNumberFormat="1" applyFont="1" applyFill="1" applyBorder="1"/>
    <xf numFmtId="0" fontId="30" fillId="25" borderId="24" xfId="56" applyFont="1" applyFill="1" applyBorder="1"/>
    <xf numFmtId="0" fontId="39" fillId="25" borderId="0" xfId="56" applyFont="1" applyFill="1" applyBorder="1"/>
    <xf numFmtId="10" fontId="30" fillId="25" borderId="7" xfId="56" applyNumberFormat="1" applyFont="1" applyFill="1" applyBorder="1"/>
    <xf numFmtId="10" fontId="41" fillId="25" borderId="0" xfId="56" applyNumberFormat="1" applyFont="1" applyFill="1" applyBorder="1"/>
    <xf numFmtId="0" fontId="30" fillId="25" borderId="24" xfId="56" applyFont="1" applyFill="1" applyBorder="1" applyAlignment="1">
      <alignment horizontal="center"/>
    </xf>
    <xf numFmtId="0" fontId="39" fillId="25" borderId="0" xfId="56" applyFont="1" applyFill="1" applyBorder="1" applyAlignment="1">
      <alignment horizontal="center"/>
    </xf>
    <xf numFmtId="172" fontId="30" fillId="25" borderId="0" xfId="56" applyNumberFormat="1" applyFont="1" applyFill="1" applyBorder="1"/>
    <xf numFmtId="172" fontId="43" fillId="25" borderId="0" xfId="56" applyNumberFormat="1" applyFont="1" applyFill="1" applyBorder="1"/>
    <xf numFmtId="5" fontId="44" fillId="25" borderId="0" xfId="56" applyNumberFormat="1" applyFont="1" applyFill="1" applyBorder="1"/>
    <xf numFmtId="10" fontId="31" fillId="25" borderId="0" xfId="56" applyNumberFormat="1" applyFont="1" applyFill="1" applyBorder="1"/>
    <xf numFmtId="0" fontId="30" fillId="25" borderId="7" xfId="56" applyFont="1" applyFill="1" applyBorder="1"/>
    <xf numFmtId="0" fontId="39" fillId="25" borderId="26" xfId="56" applyFont="1" applyFill="1" applyBorder="1" applyAlignment="1">
      <alignment horizontal="center"/>
    </xf>
    <xf numFmtId="0" fontId="30" fillId="25" borderId="9" xfId="56" applyFont="1" applyFill="1" applyBorder="1"/>
    <xf numFmtId="0" fontId="30" fillId="25" borderId="26" xfId="56" applyFont="1" applyFill="1" applyBorder="1"/>
    <xf numFmtId="0" fontId="30" fillId="25" borderId="10" xfId="56" applyFont="1" applyFill="1" applyBorder="1"/>
    <xf numFmtId="0" fontId="32" fillId="25" borderId="0" xfId="55" applyFont="1" applyFill="1" applyBorder="1" applyAlignment="1">
      <alignment horizontal="center"/>
    </xf>
    <xf numFmtId="175" fontId="30" fillId="25" borderId="0" xfId="57" applyNumberFormat="1" applyFont="1" applyFill="1" applyBorder="1"/>
    <xf numFmtId="0" fontId="30" fillId="25" borderId="0" xfId="56" applyFont="1" applyFill="1"/>
    <xf numFmtId="0" fontId="39" fillId="25" borderId="0" xfId="56" applyFont="1" applyFill="1"/>
    <xf numFmtId="176" fontId="30" fillId="25" borderId="0" xfId="56" applyNumberFormat="1" applyFont="1" applyFill="1"/>
    <xf numFmtId="0" fontId="30" fillId="25" borderId="0" xfId="56" applyFont="1" applyFill="1" applyAlignment="1">
      <alignment horizontal="center"/>
    </xf>
    <xf numFmtId="174" fontId="30" fillId="25" borderId="0" xfId="56" applyNumberFormat="1" applyFont="1" applyFill="1"/>
    <xf numFmtId="10" fontId="31" fillId="25" borderId="7" xfId="56" quotePrefix="1" applyNumberFormat="1" applyFont="1" applyFill="1" applyBorder="1" applyAlignment="1">
      <alignment horizontal="right" wrapText="1"/>
    </xf>
    <xf numFmtId="175" fontId="30" fillId="25" borderId="0" xfId="57" applyNumberFormat="1" applyFont="1" applyFill="1"/>
    <xf numFmtId="175" fontId="30" fillId="25" borderId="0" xfId="57" applyNumberFormat="1" applyFont="1" applyFill="1" applyAlignment="1">
      <alignment vertical="center"/>
    </xf>
    <xf numFmtId="0" fontId="30" fillId="25" borderId="0" xfId="55" applyFont="1" applyFill="1" applyAlignment="1">
      <alignment horizontal="center" vertical="center"/>
    </xf>
    <xf numFmtId="0" fontId="29" fillId="0" borderId="0" xfId="0" applyFont="1" applyFill="1" applyAlignment="1">
      <alignment horizontal="center" wrapText="1"/>
    </xf>
    <xf numFmtId="176" fontId="30" fillId="25" borderId="0" xfId="56" applyNumberFormat="1" applyFont="1" applyFill="1" applyBorder="1" applyAlignment="1">
      <alignment horizontal="center"/>
    </xf>
    <xf numFmtId="176" fontId="41" fillId="25" borderId="0" xfId="56" applyNumberFormat="1" applyFont="1" applyFill="1" applyBorder="1" applyAlignment="1">
      <alignment horizontal="center"/>
    </xf>
    <xf numFmtId="0" fontId="38" fillId="0" borderId="0" xfId="0" applyFont="1" applyAlignment="1" applyProtection="1">
      <alignment vertical="center"/>
      <protection locked="0"/>
    </xf>
    <xf numFmtId="173" fontId="38" fillId="0" borderId="0" xfId="0" applyNumberFormat="1" applyFont="1" applyFill="1" applyAlignment="1" applyProtection="1">
      <alignment horizontal="right" vertical="center"/>
      <protection locked="0"/>
    </xf>
    <xf numFmtId="44" fontId="27" fillId="0" borderId="0" xfId="0" applyNumberFormat="1" applyFont="1" applyFill="1"/>
    <xf numFmtId="0" fontId="27" fillId="25" borderId="0" xfId="0" applyFont="1" applyFill="1" applyAlignment="1">
      <alignment horizontal="center"/>
    </xf>
    <xf numFmtId="0" fontId="31" fillId="0" borderId="0" xfId="11" applyFont="1" applyFill="1" applyAlignment="1">
      <alignment horizontal="center" wrapText="1"/>
    </xf>
    <xf numFmtId="0" fontId="28" fillId="0" borderId="1" xfId="0" applyFont="1" applyFill="1" applyBorder="1" applyAlignment="1">
      <alignment horizontal="center"/>
    </xf>
    <xf numFmtId="0" fontId="30" fillId="0" borderId="0" xfId="0" applyFont="1" applyFill="1" applyAlignment="1"/>
    <xf numFmtId="165" fontId="45" fillId="0" borderId="0" xfId="0" applyNumberFormat="1" applyFont="1" applyFill="1" applyAlignment="1"/>
    <xf numFmtId="165" fontId="27" fillId="0" borderId="0" xfId="1" applyNumberFormat="1" applyFont="1" applyFill="1" applyAlignment="1">
      <alignment horizontal="left"/>
    </xf>
    <xf numFmtId="0" fontId="37" fillId="0" borderId="0" xfId="0" applyFont="1" applyFill="1" applyAlignment="1">
      <alignment horizontal="left"/>
    </xf>
    <xf numFmtId="0" fontId="30" fillId="0" borderId="0" xfId="0" applyFont="1" applyFill="1" applyAlignment="1">
      <alignment horizontal="left"/>
    </xf>
    <xf numFmtId="0" fontId="37" fillId="0" borderId="0" xfId="0" applyFont="1" applyFill="1"/>
    <xf numFmtId="0" fontId="30" fillId="0" borderId="3" xfId="0" applyFont="1" applyFill="1" applyBorder="1" applyAlignment="1"/>
    <xf numFmtId="0" fontId="30" fillId="0" borderId="4" xfId="0" applyFont="1" applyFill="1" applyBorder="1"/>
    <xf numFmtId="0" fontId="46" fillId="0" borderId="4" xfId="0" applyFont="1" applyFill="1" applyBorder="1" applyAlignment="1">
      <alignment horizontal="center"/>
    </xf>
    <xf numFmtId="0" fontId="46" fillId="0" borderId="5" xfId="0" applyFont="1" applyFill="1" applyBorder="1" applyAlignment="1">
      <alignment horizontal="center"/>
    </xf>
    <xf numFmtId="0" fontId="30" fillId="0" borderId="6" xfId="0" applyFont="1" applyFill="1" applyBorder="1" applyAlignment="1"/>
    <xf numFmtId="0" fontId="30" fillId="0" borderId="0" xfId="0" applyFont="1" applyFill="1" applyBorder="1"/>
    <xf numFmtId="0" fontId="46" fillId="0" borderId="0" xfId="0" applyFont="1" applyFill="1" applyBorder="1" applyAlignment="1">
      <alignment horizontal="center"/>
    </xf>
    <xf numFmtId="0" fontId="46" fillId="0" borderId="7" xfId="0" applyFont="1" applyFill="1" applyBorder="1" applyAlignment="1">
      <alignment horizontal="center"/>
    </xf>
    <xf numFmtId="0" fontId="30" fillId="0" borderId="8" xfId="0" applyFont="1" applyFill="1" applyBorder="1" applyAlignment="1"/>
    <xf numFmtId="0" fontId="30" fillId="0" borderId="9" xfId="0" applyFont="1" applyFill="1" applyBorder="1"/>
    <xf numFmtId="5" fontId="30" fillId="0" borderId="10" xfId="0" applyNumberFormat="1" applyFont="1" applyFill="1" applyBorder="1" applyAlignment="1"/>
    <xf numFmtId="37" fontId="30" fillId="0" borderId="0" xfId="0" applyNumberFormat="1" applyFont="1" applyFill="1" applyAlignment="1"/>
    <xf numFmtId="0" fontId="30" fillId="0" borderId="0" xfId="0" applyFont="1" applyFill="1" applyAlignment="1">
      <alignment horizontal="center"/>
    </xf>
    <xf numFmtId="0" fontId="46" fillId="0" borderId="0" xfId="0" applyFont="1" applyFill="1" applyAlignment="1">
      <alignment horizontal="center"/>
    </xf>
    <xf numFmtId="166" fontId="30" fillId="0" borderId="0" xfId="0" applyNumberFormat="1" applyFont="1" applyFill="1" applyAlignment="1">
      <alignment horizontal="center"/>
    </xf>
    <xf numFmtId="166" fontId="30" fillId="0" borderId="0" xfId="0" quotePrefix="1" applyNumberFormat="1" applyFont="1" applyFill="1" applyAlignment="1">
      <alignment horizontal="center"/>
    </xf>
    <xf numFmtId="165" fontId="30" fillId="0" borderId="0" xfId="1" applyNumberFormat="1" applyFont="1" applyFill="1"/>
    <xf numFmtId="179" fontId="30" fillId="0" borderId="0" xfId="0" applyNumberFormat="1" applyFont="1" applyFill="1"/>
    <xf numFmtId="0" fontId="30" fillId="0" borderId="2" xfId="0" applyFont="1" applyFill="1" applyBorder="1"/>
    <xf numFmtId="165" fontId="30" fillId="0" borderId="0" xfId="58" applyNumberFormat="1" applyFont="1" applyFill="1"/>
    <xf numFmtId="37" fontId="30" fillId="0" borderId="0" xfId="0" applyNumberFormat="1" applyFont="1" applyFill="1"/>
    <xf numFmtId="171" fontId="30" fillId="0" borderId="0" xfId="382" applyNumberFormat="1" applyFont="1" applyFill="1" applyAlignment="1">
      <alignment horizontal="right"/>
    </xf>
    <xf numFmtId="38" fontId="27" fillId="0" borderId="0" xfId="0" applyNumberFormat="1" applyFont="1" applyFill="1"/>
    <xf numFmtId="0" fontId="28" fillId="0" borderId="0" xfId="0" applyFont="1" applyFill="1" applyAlignment="1">
      <alignment wrapText="1"/>
    </xf>
    <xf numFmtId="2" fontId="27" fillId="0" borderId="0" xfId="0" applyNumberFormat="1" applyFont="1" applyFill="1"/>
    <xf numFmtId="2" fontId="27" fillId="0" borderId="0" xfId="0" applyNumberFormat="1" applyFont="1" applyFill="1" applyBorder="1"/>
    <xf numFmtId="171" fontId="27" fillId="0" borderId="0" xfId="54" applyNumberFormat="1" applyFont="1" applyFill="1" applyBorder="1"/>
    <xf numFmtId="171" fontId="28" fillId="0" borderId="0" xfId="0" applyNumberFormat="1" applyFont="1" applyFill="1"/>
    <xf numFmtId="2" fontId="28" fillId="0" borderId="0" xfId="0" applyNumberFormat="1" applyFont="1" applyFill="1"/>
    <xf numFmtId="171" fontId="28" fillId="0" borderId="0" xfId="54" applyNumberFormat="1" applyFont="1" applyFill="1"/>
    <xf numFmtId="44" fontId="28" fillId="0" borderId="0" xfId="0" applyNumberFormat="1" applyFont="1" applyFill="1"/>
    <xf numFmtId="6" fontId="28" fillId="0" borderId="0" xfId="0" applyNumberFormat="1" applyFont="1" applyFill="1"/>
    <xf numFmtId="171" fontId="30" fillId="0" borderId="0" xfId="0" applyNumberFormat="1" applyFont="1" applyFill="1"/>
    <xf numFmtId="4" fontId="27" fillId="0" borderId="0" xfId="0" applyNumberFormat="1" applyFont="1" applyFill="1"/>
    <xf numFmtId="0" fontId="27" fillId="0" borderId="0" xfId="0" applyFont="1" applyFill="1" applyBorder="1" applyAlignment="1">
      <alignment horizontal="center"/>
    </xf>
    <xf numFmtId="6" fontId="27" fillId="0" borderId="0" xfId="0" applyNumberFormat="1" applyFont="1" applyFill="1" applyBorder="1"/>
    <xf numFmtId="177" fontId="27" fillId="0" borderId="0" xfId="0" applyNumberFormat="1" applyFont="1" applyFill="1" applyBorder="1" applyAlignment="1">
      <alignment horizontal="center"/>
    </xf>
    <xf numFmtId="0" fontId="27" fillId="0" borderId="1" xfId="0" applyFont="1" applyFill="1" applyBorder="1" applyAlignment="1">
      <alignment horizontal="center"/>
    </xf>
    <xf numFmtId="0" fontId="29" fillId="0" borderId="0" xfId="0" applyFont="1" applyFill="1"/>
    <xf numFmtId="0" fontId="31" fillId="0" borderId="0" xfId="0" applyFont="1" applyFill="1"/>
    <xf numFmtId="43" fontId="30" fillId="0" borderId="0" xfId="0" applyNumberFormat="1" applyFont="1" applyFill="1"/>
    <xf numFmtId="0" fontId="33" fillId="0" borderId="0" xfId="0" applyFont="1" applyFill="1" applyAlignment="1">
      <alignment horizontal="center"/>
    </xf>
    <xf numFmtId="0" fontId="32" fillId="0" borderId="0" xfId="0" applyFont="1" applyFill="1"/>
    <xf numFmtId="0" fontId="32" fillId="0" borderId="0" xfId="0" applyFont="1" applyFill="1" applyAlignment="1">
      <alignment horizontal="center"/>
    </xf>
    <xf numFmtId="38" fontId="30" fillId="0" borderId="1" xfId="0" applyNumberFormat="1" applyFont="1" applyFill="1" applyBorder="1"/>
    <xf numFmtId="0" fontId="31" fillId="0" borderId="0" xfId="787" applyFont="1" applyFill="1"/>
    <xf numFmtId="40" fontId="30" fillId="0" borderId="0" xfId="788" applyNumberFormat="1" applyFont="1" applyFill="1" applyBorder="1"/>
    <xf numFmtId="40" fontId="32" fillId="0" borderId="0" xfId="0" applyNumberFormat="1" applyFont="1" applyFill="1" applyAlignment="1">
      <alignment horizontal="center"/>
    </xf>
    <xf numFmtId="165" fontId="30" fillId="0" borderId="0" xfId="1" applyNumberFormat="1" applyFont="1" applyFill="1" applyBorder="1" applyAlignment="1">
      <alignment horizontal="right"/>
    </xf>
    <xf numFmtId="9" fontId="30" fillId="0" borderId="0" xfId="0" applyNumberFormat="1" applyFont="1" applyFill="1" applyAlignment="1">
      <alignment horizontal="left"/>
    </xf>
    <xf numFmtId="44" fontId="30" fillId="0" borderId="0" xfId="3" applyFont="1" applyFill="1" applyBorder="1"/>
    <xf numFmtId="171" fontId="30" fillId="0" borderId="0" xfId="0" applyNumberFormat="1" applyFont="1" applyFill="1" applyBorder="1"/>
    <xf numFmtId="0" fontId="31" fillId="0" borderId="0" xfId="787" applyFont="1" applyFill="1" applyAlignment="1">
      <alignment horizontal="right"/>
    </xf>
    <xf numFmtId="44" fontId="30" fillId="0" borderId="0" xfId="0" applyNumberFormat="1" applyFont="1" applyFill="1" applyBorder="1"/>
    <xf numFmtId="180" fontId="30" fillId="0" borderId="0" xfId="0" applyNumberFormat="1" applyFont="1" applyFill="1" applyBorder="1"/>
    <xf numFmtId="44" fontId="30" fillId="0" borderId="0" xfId="0" applyNumberFormat="1" applyFont="1" applyFill="1"/>
    <xf numFmtId="0" fontId="30" fillId="0" borderId="2" xfId="787" applyFont="1" applyFill="1" applyBorder="1"/>
    <xf numFmtId="171" fontId="30" fillId="0" borderId="0" xfId="1" applyNumberFormat="1" applyFont="1" applyFill="1"/>
    <xf numFmtId="0" fontId="30" fillId="0" borderId="0" xfId="787" applyFont="1" applyFill="1" applyBorder="1"/>
    <xf numFmtId="43" fontId="30" fillId="0" borderId="0" xfId="0" applyNumberFormat="1" applyFont="1" applyFill="1" applyBorder="1"/>
    <xf numFmtId="43" fontId="30" fillId="0" borderId="0" xfId="1" applyFont="1" applyFill="1"/>
    <xf numFmtId="43" fontId="37" fillId="0" borderId="0" xfId="1" applyFont="1" applyFill="1" applyAlignment="1">
      <alignment wrapText="1"/>
    </xf>
    <xf numFmtId="40" fontId="30" fillId="0" borderId="0" xfId="0" applyNumberFormat="1" applyFont="1" applyFill="1"/>
    <xf numFmtId="171" fontId="30" fillId="0" borderId="0" xfId="54" applyNumberFormat="1" applyFont="1" applyFill="1"/>
    <xf numFmtId="0" fontId="30" fillId="0" borderId="0" xfId="0" applyFont="1" applyFill="1" applyAlignment="1">
      <alignment horizontal="right"/>
    </xf>
    <xf numFmtId="178" fontId="30" fillId="0" borderId="0" xfId="785" applyNumberFormat="1" applyFont="1" applyFill="1"/>
    <xf numFmtId="0" fontId="29" fillId="0" borderId="1" xfId="0" applyFont="1" applyFill="1" applyBorder="1" applyAlignment="1">
      <alignment horizontal="center"/>
    </xf>
    <xf numFmtId="0" fontId="47" fillId="0" borderId="1" xfId="0" applyFont="1" applyFill="1" applyBorder="1"/>
    <xf numFmtId="0" fontId="27" fillId="0" borderId="1" xfId="0" applyFont="1" applyFill="1" applyBorder="1"/>
    <xf numFmtId="0" fontId="27" fillId="25" borderId="0" xfId="0" applyFont="1" applyFill="1" applyAlignment="1">
      <alignment horizontal="center"/>
    </xf>
    <xf numFmtId="43" fontId="31" fillId="0" borderId="2" xfId="0" applyNumberFormat="1" applyFont="1" applyFill="1" applyBorder="1"/>
    <xf numFmtId="0" fontId="48" fillId="0" borderId="0" xfId="0" applyFont="1"/>
    <xf numFmtId="0" fontId="50" fillId="0" borderId="0" xfId="0" applyFont="1"/>
    <xf numFmtId="0" fontId="48" fillId="0" borderId="0" xfId="0" applyFont="1" applyAlignment="1">
      <alignment wrapText="1"/>
    </xf>
    <xf numFmtId="0" fontId="48" fillId="0" borderId="0" xfId="0" applyFont="1" applyAlignment="1">
      <alignment horizontal="left"/>
    </xf>
    <xf numFmtId="0" fontId="48" fillId="28" borderId="0" xfId="0" applyFont="1" applyFill="1"/>
    <xf numFmtId="0" fontId="48" fillId="28" borderId="0" xfId="0" applyFont="1" applyFill="1" applyAlignment="1">
      <alignment horizontal="left"/>
    </xf>
    <xf numFmtId="0" fontId="50" fillId="0" borderId="0" xfId="0" applyFont="1" applyBorder="1" applyAlignment="1">
      <alignment horizontal="center"/>
    </xf>
    <xf numFmtId="0" fontId="50" fillId="0" borderId="0" xfId="0" applyFont="1" applyBorder="1" applyAlignment="1">
      <alignment horizontal="center" wrapText="1"/>
    </xf>
    <xf numFmtId="15" fontId="50" fillId="0" borderId="0" xfId="0" applyNumberFormat="1" applyFont="1" applyBorder="1" applyAlignment="1">
      <alignment horizontal="center" wrapText="1"/>
    </xf>
    <xf numFmtId="165" fontId="48" fillId="0" borderId="0" xfId="1" applyNumberFormat="1" applyFont="1" applyBorder="1"/>
    <xf numFmtId="165" fontId="48" fillId="28" borderId="0" xfId="1" applyNumberFormat="1" applyFont="1" applyFill="1" applyBorder="1"/>
    <xf numFmtId="0" fontId="39" fillId="0" borderId="0" xfId="0" applyFont="1"/>
    <xf numFmtId="0" fontId="49" fillId="0" borderId="0" xfId="0" applyFont="1"/>
    <xf numFmtId="0" fontId="50" fillId="0" borderId="0" xfId="0" applyFont="1" applyBorder="1" applyAlignment="1"/>
    <xf numFmtId="1" fontId="48" fillId="0" borderId="0" xfId="0" applyNumberFormat="1" applyFont="1" applyBorder="1" applyAlignment="1">
      <alignment horizontal="center" wrapText="1"/>
    </xf>
    <xf numFmtId="0" fontId="50" fillId="0" borderId="0" xfId="0" applyFont="1" applyBorder="1" applyAlignment="1">
      <alignment horizontal="right"/>
    </xf>
    <xf numFmtId="44" fontId="48" fillId="0" borderId="0" xfId="54" applyFont="1"/>
    <xf numFmtId="171" fontId="51" fillId="0" borderId="22" xfId="0" applyNumberFormat="1" applyFont="1" applyBorder="1" applyAlignment="1">
      <alignment horizontal="left"/>
    </xf>
    <xf numFmtId="0" fontId="48" fillId="0" borderId="0" xfId="0" applyFont="1" applyFill="1"/>
    <xf numFmtId="165" fontId="48" fillId="0" borderId="0" xfId="1" applyNumberFormat="1" applyFont="1" applyFill="1" applyBorder="1"/>
    <xf numFmtId="0" fontId="48" fillId="0" borderId="0" xfId="0" applyFont="1" applyFill="1" applyAlignment="1">
      <alignment horizontal="left"/>
    </xf>
    <xf numFmtId="0" fontId="52" fillId="25" borderId="0" xfId="0" applyFont="1" applyFill="1" applyAlignment="1">
      <alignment horizontal="left"/>
    </xf>
    <xf numFmtId="0" fontId="53" fillId="0" borderId="0" xfId="0" applyFont="1" applyFill="1" applyAlignment="1"/>
    <xf numFmtId="0" fontId="27" fillId="0" borderId="0" xfId="0" applyFont="1" applyFill="1" applyAlignment="1">
      <alignment horizontal="left" wrapText="1"/>
    </xf>
    <xf numFmtId="0" fontId="28" fillId="0" borderId="0" xfId="0" applyFont="1" applyFill="1" applyAlignment="1">
      <alignment horizontal="center"/>
    </xf>
    <xf numFmtId="0" fontId="31" fillId="0" borderId="0" xfId="0" applyFont="1" applyFill="1" applyAlignment="1">
      <alignment horizontal="center"/>
    </xf>
    <xf numFmtId="0" fontId="31" fillId="0" borderId="0" xfId="11" applyFont="1" applyFill="1" applyAlignment="1">
      <alignment horizontal="center"/>
    </xf>
    <xf numFmtId="14" fontId="39" fillId="0" borderId="0" xfId="0" applyNumberFormat="1" applyFont="1"/>
    <xf numFmtId="2" fontId="39" fillId="0" borderId="0" xfId="0" applyNumberFormat="1" applyFont="1"/>
    <xf numFmtId="0" fontId="50" fillId="0" borderId="1" xfId="0" applyFont="1" applyBorder="1" applyAlignment="1"/>
    <xf numFmtId="1" fontId="48" fillId="0" borderId="1" xfId="0" applyNumberFormat="1" applyFont="1" applyBorder="1" applyAlignment="1">
      <alignment horizontal="center" wrapText="1"/>
    </xf>
    <xf numFmtId="0" fontId="48" fillId="29" borderId="0" xfId="0" applyFont="1" applyFill="1" applyAlignment="1">
      <alignment horizontal="left"/>
    </xf>
    <xf numFmtId="165" fontId="48" fillId="29" borderId="0" xfId="1" applyNumberFormat="1" applyFont="1" applyFill="1" applyBorder="1"/>
    <xf numFmtId="0" fontId="48" fillId="27" borderId="20" xfId="0" applyFont="1" applyFill="1" applyBorder="1" applyAlignment="1">
      <alignment horizontal="left"/>
    </xf>
    <xf numFmtId="165" fontId="48" fillId="27" borderId="23" xfId="1" applyNumberFormat="1" applyFont="1" applyFill="1" applyBorder="1"/>
    <xf numFmtId="165" fontId="48" fillId="27" borderId="21" xfId="1" applyNumberFormat="1" applyFont="1" applyFill="1" applyBorder="1"/>
    <xf numFmtId="0" fontId="48" fillId="27" borderId="20" xfId="0" applyFont="1" applyFill="1" applyBorder="1"/>
    <xf numFmtId="0" fontId="48" fillId="29" borderId="0" xfId="0" applyFont="1" applyFill="1"/>
    <xf numFmtId="0" fontId="55" fillId="0" borderId="0" xfId="0" applyFont="1"/>
    <xf numFmtId="1" fontId="39" fillId="0" borderId="0" xfId="0" applyNumberFormat="1" applyFont="1" applyAlignment="1">
      <alignment horizontal="left"/>
    </xf>
    <xf numFmtId="165" fontId="27" fillId="0" borderId="0" xfId="1" applyNumberFormat="1" applyFont="1" applyFill="1" applyBorder="1" applyAlignment="1"/>
    <xf numFmtId="165" fontId="27" fillId="0" borderId="28" xfId="1" applyNumberFormat="1" applyFont="1" applyFill="1" applyBorder="1" applyAlignment="1"/>
    <xf numFmtId="165" fontId="27" fillId="0" borderId="0" xfId="0" applyNumberFormat="1" applyFont="1" applyFill="1" applyBorder="1"/>
    <xf numFmtId="165" fontId="27" fillId="0" borderId="1" xfId="0" applyNumberFormat="1" applyFont="1" applyFill="1" applyBorder="1"/>
    <xf numFmtId="5" fontId="30" fillId="0" borderId="9" xfId="0" applyNumberFormat="1" applyFont="1" applyFill="1" applyBorder="1"/>
    <xf numFmtId="167" fontId="30" fillId="0" borderId="0" xfId="0" applyNumberFormat="1" applyFont="1" applyFill="1"/>
    <xf numFmtId="6" fontId="30" fillId="0" borderId="0" xfId="382" applyNumberFormat="1" applyFont="1" applyFill="1"/>
    <xf numFmtId="44" fontId="30" fillId="0" borderId="0" xfId="382" applyNumberFormat="1" applyFont="1" applyFill="1"/>
    <xf numFmtId="168" fontId="30" fillId="0" borderId="0" xfId="382" applyNumberFormat="1" applyFont="1" applyFill="1"/>
    <xf numFmtId="169" fontId="30" fillId="0" borderId="0" xfId="382" applyNumberFormat="1" applyFont="1" applyFill="1"/>
    <xf numFmtId="38" fontId="30" fillId="0" borderId="0" xfId="382" applyNumberFormat="1" applyFont="1" applyFill="1"/>
    <xf numFmtId="170" fontId="30" fillId="0" borderId="0" xfId="0" applyNumberFormat="1" applyFont="1" applyFill="1"/>
    <xf numFmtId="38" fontId="30" fillId="0" borderId="2" xfId="0" applyNumberFormat="1" applyFont="1" applyFill="1" applyBorder="1"/>
    <xf numFmtId="3" fontId="30" fillId="0" borderId="2" xfId="0" applyNumberFormat="1" applyFont="1" applyFill="1" applyBorder="1"/>
    <xf numFmtId="6" fontId="30" fillId="0" borderId="2" xfId="0" applyNumberFormat="1" applyFont="1" applyFill="1" applyBorder="1"/>
    <xf numFmtId="171" fontId="27" fillId="0" borderId="0" xfId="54" applyNumberFormat="1" applyFont="1" applyFill="1" applyBorder="1" applyAlignment="1">
      <alignment horizontal="center"/>
    </xf>
    <xf numFmtId="171" fontId="28" fillId="0" borderId="27" xfId="0" applyNumberFormat="1" applyFont="1" applyFill="1" applyBorder="1"/>
    <xf numFmtId="171" fontId="27" fillId="0" borderId="27" xfId="0" applyNumberFormat="1" applyFont="1" applyFill="1" applyBorder="1"/>
    <xf numFmtId="10" fontId="27" fillId="0" borderId="0" xfId="785" applyNumberFormat="1" applyFont="1" applyFill="1" applyAlignment="1">
      <alignment horizontal="center"/>
    </xf>
    <xf numFmtId="165" fontId="30" fillId="0" borderId="2" xfId="0" applyNumberFormat="1" applyFont="1" applyFill="1" applyBorder="1"/>
    <xf numFmtId="38" fontId="30" fillId="0" borderId="0" xfId="0" applyNumberFormat="1" applyFont="1" applyFill="1" applyBorder="1"/>
    <xf numFmtId="165" fontId="30" fillId="0" borderId="0" xfId="3" applyNumberFormat="1" applyFont="1" applyFill="1" applyBorder="1"/>
    <xf numFmtId="165" fontId="30" fillId="0" borderId="2" xfId="54" applyNumberFormat="1" applyFont="1" applyFill="1" applyBorder="1"/>
    <xf numFmtId="171" fontId="30" fillId="0" borderId="0" xfId="54" applyNumberFormat="1" applyFont="1" applyFill="1" applyBorder="1"/>
    <xf numFmtId="171" fontId="30" fillId="0" borderId="0" xfId="3" applyNumberFormat="1" applyFont="1" applyFill="1" applyBorder="1"/>
    <xf numFmtId="171" fontId="30" fillId="0" borderId="1" xfId="3" applyNumberFormat="1" applyFont="1" applyFill="1" applyBorder="1"/>
    <xf numFmtId="40" fontId="30" fillId="0" borderId="27" xfId="0" applyNumberFormat="1" applyFont="1" applyFill="1" applyBorder="1"/>
    <xf numFmtId="165" fontId="28" fillId="0" borderId="0" xfId="0" applyNumberFormat="1" applyFont="1" applyFill="1"/>
    <xf numFmtId="165" fontId="30" fillId="0" borderId="0" xfId="4" applyNumberFormat="1" applyFont="1" applyFill="1" applyAlignment="1">
      <alignment horizontal="right"/>
    </xf>
    <xf numFmtId="0" fontId="27" fillId="0" borderId="0" xfId="0" applyFont="1" applyFill="1" applyAlignment="1">
      <alignment horizontal="left" wrapText="1"/>
    </xf>
    <xf numFmtId="0" fontId="28" fillId="0" borderId="0" xfId="0" applyFont="1" applyFill="1" applyAlignment="1">
      <alignment horizontal="center" wrapText="1"/>
    </xf>
    <xf numFmtId="0" fontId="28" fillId="0" borderId="0" xfId="0" applyFont="1" applyFill="1" applyAlignment="1">
      <alignment horizontal="center"/>
    </xf>
    <xf numFmtId="0" fontId="27" fillId="0" borderId="0" xfId="0" applyFont="1" applyFill="1" applyAlignment="1">
      <alignment horizontal="left" vertical="top" wrapText="1"/>
    </xf>
    <xf numFmtId="0" fontId="31" fillId="0" borderId="0" xfId="0" applyFont="1" applyFill="1" applyAlignment="1">
      <alignment horizontal="center"/>
    </xf>
    <xf numFmtId="0" fontId="30" fillId="0" borderId="0" xfId="0" applyFont="1" applyFill="1" applyAlignment="1">
      <alignment horizontal="left" vertical="top" wrapText="1"/>
    </xf>
    <xf numFmtId="0" fontId="31" fillId="0" borderId="0" xfId="11" applyFont="1" applyFill="1" applyAlignment="1">
      <alignment horizontal="center" wrapText="1"/>
    </xf>
    <xf numFmtId="0" fontId="31" fillId="0" borderId="0" xfId="11" applyFont="1" applyFill="1" applyAlignment="1">
      <alignment horizontal="center"/>
    </xf>
    <xf numFmtId="49" fontId="30" fillId="25" borderId="0" xfId="55" applyNumberFormat="1" applyFont="1" applyFill="1" applyAlignment="1">
      <alignment horizontal="center"/>
    </xf>
    <xf numFmtId="0" fontId="30" fillId="25" borderId="0" xfId="55" applyFont="1" applyFill="1" applyAlignment="1">
      <alignment horizontal="center" wrapText="1"/>
    </xf>
    <xf numFmtId="0" fontId="30" fillId="0" borderId="0" xfId="55" applyFont="1" applyFill="1" applyAlignment="1">
      <alignment horizontal="left" wrapText="1"/>
    </xf>
    <xf numFmtId="0" fontId="27" fillId="25" borderId="0" xfId="0" applyFont="1" applyFill="1" applyAlignment="1">
      <alignment horizontal="center"/>
    </xf>
    <xf numFmtId="0" fontId="49" fillId="0" borderId="0" xfId="0" applyFont="1" applyBorder="1" applyAlignment="1">
      <alignment horizontal="center"/>
    </xf>
    <xf numFmtId="0" fontId="54" fillId="0" borderId="0" xfId="0" applyFont="1" applyAlignment="1">
      <alignment horizontal="center"/>
    </xf>
  </cellXfs>
  <cellStyles count="789">
    <cellStyle name="20% - Accent1 2" xfId="12" xr:uid="{00000000-0005-0000-0000-000000000000}"/>
    <cellStyle name="20% - Accent2 2" xfId="13" xr:uid="{00000000-0005-0000-0000-000001000000}"/>
    <cellStyle name="20% - Accent3 2" xfId="14" xr:uid="{00000000-0005-0000-0000-000002000000}"/>
    <cellStyle name="20% - Accent4 2" xfId="15" xr:uid="{00000000-0005-0000-0000-000003000000}"/>
    <cellStyle name="20% - Accent5 2" xfId="16" xr:uid="{00000000-0005-0000-0000-000004000000}"/>
    <cellStyle name="20% - Accent6 2" xfId="17" xr:uid="{00000000-0005-0000-0000-000005000000}"/>
    <cellStyle name="40% - Accent1 2" xfId="18" xr:uid="{00000000-0005-0000-0000-000006000000}"/>
    <cellStyle name="40% - Accent2 2" xfId="19" xr:uid="{00000000-0005-0000-0000-000007000000}"/>
    <cellStyle name="40% - Accent3 2" xfId="20" xr:uid="{00000000-0005-0000-0000-000008000000}"/>
    <cellStyle name="40% - Accent4 2" xfId="21" xr:uid="{00000000-0005-0000-0000-000009000000}"/>
    <cellStyle name="40% - Accent5 2" xfId="22" xr:uid="{00000000-0005-0000-0000-00000A000000}"/>
    <cellStyle name="40% - Accent6 2" xfId="23" xr:uid="{00000000-0005-0000-0000-00000B000000}"/>
    <cellStyle name="60% - Accent1 2" xfId="24" xr:uid="{00000000-0005-0000-0000-00000C000000}"/>
    <cellStyle name="60% - Accent2 2" xfId="25" xr:uid="{00000000-0005-0000-0000-00000D000000}"/>
    <cellStyle name="60% - Accent3 2" xfId="26" xr:uid="{00000000-0005-0000-0000-00000E000000}"/>
    <cellStyle name="60% - Accent4 2" xfId="27" xr:uid="{00000000-0005-0000-0000-00000F000000}"/>
    <cellStyle name="60% - Accent5 2" xfId="28" xr:uid="{00000000-0005-0000-0000-000010000000}"/>
    <cellStyle name="60% - Accent6 2" xfId="29" xr:uid="{00000000-0005-0000-0000-000011000000}"/>
    <cellStyle name="Accent1 2" xfId="30" xr:uid="{00000000-0005-0000-0000-000012000000}"/>
    <cellStyle name="Accent2 2" xfId="31" xr:uid="{00000000-0005-0000-0000-000013000000}"/>
    <cellStyle name="Accent3 2" xfId="32" xr:uid="{00000000-0005-0000-0000-000014000000}"/>
    <cellStyle name="Accent4 2" xfId="33" xr:uid="{00000000-0005-0000-0000-000015000000}"/>
    <cellStyle name="Accent5 2" xfId="34" xr:uid="{00000000-0005-0000-0000-000016000000}"/>
    <cellStyle name="Accent6 2" xfId="35" xr:uid="{00000000-0005-0000-0000-000017000000}"/>
    <cellStyle name="Bad 2" xfId="36" xr:uid="{00000000-0005-0000-0000-000018000000}"/>
    <cellStyle name="Calculation 2" xfId="37" xr:uid="{00000000-0005-0000-0000-000019000000}"/>
    <cellStyle name="Check Cell 2" xfId="38" xr:uid="{00000000-0005-0000-0000-00001A000000}"/>
    <cellStyle name="Comma" xfId="1" builtinId="3"/>
    <cellStyle name="Comma 10" xfId="58" xr:uid="{00000000-0005-0000-0000-00001C000000}"/>
    <cellStyle name="Comma 10 2" xfId="59" xr:uid="{00000000-0005-0000-0000-00001D000000}"/>
    <cellStyle name="Comma 10 3" xfId="60" xr:uid="{00000000-0005-0000-0000-00001E000000}"/>
    <cellStyle name="Comma 10 3 2" xfId="61" xr:uid="{00000000-0005-0000-0000-00001F000000}"/>
    <cellStyle name="Comma 10 3 3" xfId="62" xr:uid="{00000000-0005-0000-0000-000020000000}"/>
    <cellStyle name="Comma 10 4" xfId="63" xr:uid="{00000000-0005-0000-0000-000021000000}"/>
    <cellStyle name="Comma 10 4 2" xfId="64" xr:uid="{00000000-0005-0000-0000-000022000000}"/>
    <cellStyle name="Comma 10 4 3" xfId="65" xr:uid="{00000000-0005-0000-0000-000023000000}"/>
    <cellStyle name="Comma 10 4 4" xfId="66" xr:uid="{00000000-0005-0000-0000-000024000000}"/>
    <cellStyle name="Comma 10 5" xfId="67" xr:uid="{00000000-0005-0000-0000-000025000000}"/>
    <cellStyle name="Comma 10 5 2" xfId="68" xr:uid="{00000000-0005-0000-0000-000026000000}"/>
    <cellStyle name="Comma 10 5 2 2" xfId="69" xr:uid="{00000000-0005-0000-0000-000027000000}"/>
    <cellStyle name="Comma 10 5 2 3" xfId="70" xr:uid="{00000000-0005-0000-0000-000028000000}"/>
    <cellStyle name="Comma 10 5 2 3 2" xfId="71" xr:uid="{00000000-0005-0000-0000-000029000000}"/>
    <cellStyle name="Comma 10 5 3" xfId="72" xr:uid="{00000000-0005-0000-0000-00002A000000}"/>
    <cellStyle name="Comma 10 6" xfId="73" xr:uid="{00000000-0005-0000-0000-00002B000000}"/>
    <cellStyle name="Comma 10 6 2" xfId="74" xr:uid="{00000000-0005-0000-0000-00002C000000}"/>
    <cellStyle name="Comma 10 6 3" xfId="75" xr:uid="{00000000-0005-0000-0000-00002D000000}"/>
    <cellStyle name="Comma 10 6 3 2" xfId="76" xr:uid="{00000000-0005-0000-0000-00002E000000}"/>
    <cellStyle name="Comma 10 7" xfId="77" xr:uid="{00000000-0005-0000-0000-00002F000000}"/>
    <cellStyle name="Comma 10 8" xfId="78" xr:uid="{00000000-0005-0000-0000-000030000000}"/>
    <cellStyle name="Comma 10 8 2" xfId="79" xr:uid="{00000000-0005-0000-0000-000031000000}"/>
    <cellStyle name="Comma 11" xfId="80" xr:uid="{00000000-0005-0000-0000-000032000000}"/>
    <cellStyle name="Comma 11 10" xfId="81" xr:uid="{00000000-0005-0000-0000-000033000000}"/>
    <cellStyle name="Comma 11 11" xfId="82" xr:uid="{00000000-0005-0000-0000-000034000000}"/>
    <cellStyle name="Comma 11 11 2" xfId="83" xr:uid="{00000000-0005-0000-0000-000035000000}"/>
    <cellStyle name="Comma 11 11 2 2" xfId="84" xr:uid="{00000000-0005-0000-0000-000036000000}"/>
    <cellStyle name="Comma 11 11 2 3" xfId="85" xr:uid="{00000000-0005-0000-0000-000037000000}"/>
    <cellStyle name="Comma 11 11 2 3 2" xfId="86" xr:uid="{00000000-0005-0000-0000-000038000000}"/>
    <cellStyle name="Comma 11 12" xfId="87" xr:uid="{00000000-0005-0000-0000-000039000000}"/>
    <cellStyle name="Comma 11 13" xfId="88" xr:uid="{00000000-0005-0000-0000-00003A000000}"/>
    <cellStyle name="Comma 11 13 2" xfId="89" xr:uid="{00000000-0005-0000-0000-00003B000000}"/>
    <cellStyle name="Comma 11 13 2 2" xfId="90" xr:uid="{00000000-0005-0000-0000-00003C000000}"/>
    <cellStyle name="Comma 11 13 2 3" xfId="91" xr:uid="{00000000-0005-0000-0000-00003D000000}"/>
    <cellStyle name="Comma 11 13 2 3 2" xfId="92" xr:uid="{00000000-0005-0000-0000-00003E000000}"/>
    <cellStyle name="Comma 11 2" xfId="93" xr:uid="{00000000-0005-0000-0000-00003F000000}"/>
    <cellStyle name="Comma 11 3" xfId="94" xr:uid="{00000000-0005-0000-0000-000040000000}"/>
    <cellStyle name="Comma 11 4" xfId="95" xr:uid="{00000000-0005-0000-0000-000041000000}"/>
    <cellStyle name="Comma 11 5" xfId="96" xr:uid="{00000000-0005-0000-0000-000042000000}"/>
    <cellStyle name="Comma 11 6" xfId="97" xr:uid="{00000000-0005-0000-0000-000043000000}"/>
    <cellStyle name="Comma 11 7" xfId="98" xr:uid="{00000000-0005-0000-0000-000044000000}"/>
    <cellStyle name="Comma 11 7 2" xfId="99" xr:uid="{00000000-0005-0000-0000-000045000000}"/>
    <cellStyle name="Comma 11 7 2 2" xfId="100" xr:uid="{00000000-0005-0000-0000-000046000000}"/>
    <cellStyle name="Comma 11 7 2 3" xfId="101" xr:uid="{00000000-0005-0000-0000-000047000000}"/>
    <cellStyle name="Comma 11 8" xfId="102" xr:uid="{00000000-0005-0000-0000-000048000000}"/>
    <cellStyle name="Comma 11 9" xfId="103" xr:uid="{00000000-0005-0000-0000-000049000000}"/>
    <cellStyle name="Comma 12" xfId="104" xr:uid="{00000000-0005-0000-0000-00004A000000}"/>
    <cellStyle name="Comma 12 10" xfId="105" xr:uid="{00000000-0005-0000-0000-00004B000000}"/>
    <cellStyle name="Comma 12 10 2" xfId="106" xr:uid="{00000000-0005-0000-0000-00004C000000}"/>
    <cellStyle name="Comma 12 10 2 2" xfId="107" xr:uid="{00000000-0005-0000-0000-00004D000000}"/>
    <cellStyle name="Comma 12 10 2 3" xfId="108" xr:uid="{00000000-0005-0000-0000-00004E000000}"/>
    <cellStyle name="Comma 12 10 2 3 2" xfId="109" xr:uid="{00000000-0005-0000-0000-00004F000000}"/>
    <cellStyle name="Comma 12 11" xfId="110" xr:uid="{00000000-0005-0000-0000-000050000000}"/>
    <cellStyle name="Comma 12 12" xfId="111" xr:uid="{00000000-0005-0000-0000-000051000000}"/>
    <cellStyle name="Comma 12 12 2" xfId="112" xr:uid="{00000000-0005-0000-0000-000052000000}"/>
    <cellStyle name="Comma 12 12 2 2" xfId="113" xr:uid="{00000000-0005-0000-0000-000053000000}"/>
    <cellStyle name="Comma 12 12 2 3" xfId="114" xr:uid="{00000000-0005-0000-0000-000054000000}"/>
    <cellStyle name="Comma 12 12 2 3 2" xfId="115" xr:uid="{00000000-0005-0000-0000-000055000000}"/>
    <cellStyle name="Comma 12 2" xfId="116" xr:uid="{00000000-0005-0000-0000-000056000000}"/>
    <cellStyle name="Comma 12 3" xfId="117" xr:uid="{00000000-0005-0000-0000-000057000000}"/>
    <cellStyle name="Comma 12 4" xfId="118" xr:uid="{00000000-0005-0000-0000-000058000000}"/>
    <cellStyle name="Comma 12 5" xfId="119" xr:uid="{00000000-0005-0000-0000-000059000000}"/>
    <cellStyle name="Comma 12 6" xfId="120" xr:uid="{00000000-0005-0000-0000-00005A000000}"/>
    <cellStyle name="Comma 12 6 2" xfId="121" xr:uid="{00000000-0005-0000-0000-00005B000000}"/>
    <cellStyle name="Comma 12 6 2 2" xfId="122" xr:uid="{00000000-0005-0000-0000-00005C000000}"/>
    <cellStyle name="Comma 12 6 2 3" xfId="123" xr:uid="{00000000-0005-0000-0000-00005D000000}"/>
    <cellStyle name="Comma 12 7" xfId="124" xr:uid="{00000000-0005-0000-0000-00005E000000}"/>
    <cellStyle name="Comma 12 8" xfId="125" xr:uid="{00000000-0005-0000-0000-00005F000000}"/>
    <cellStyle name="Comma 12 9" xfId="126" xr:uid="{00000000-0005-0000-0000-000060000000}"/>
    <cellStyle name="Comma 13" xfId="127" xr:uid="{00000000-0005-0000-0000-000061000000}"/>
    <cellStyle name="Comma 13 2" xfId="128" xr:uid="{00000000-0005-0000-0000-000062000000}"/>
    <cellStyle name="Comma 13 3" xfId="129" xr:uid="{00000000-0005-0000-0000-000063000000}"/>
    <cellStyle name="Comma 13 4" xfId="130" xr:uid="{00000000-0005-0000-0000-000064000000}"/>
    <cellStyle name="Comma 13 5" xfId="131" xr:uid="{00000000-0005-0000-0000-000065000000}"/>
    <cellStyle name="Comma 13 6" xfId="132" xr:uid="{00000000-0005-0000-0000-000066000000}"/>
    <cellStyle name="Comma 14" xfId="133" xr:uid="{00000000-0005-0000-0000-000067000000}"/>
    <cellStyle name="Comma 14 2" xfId="134" xr:uid="{00000000-0005-0000-0000-000068000000}"/>
    <cellStyle name="Comma 14 3" xfId="135" xr:uid="{00000000-0005-0000-0000-000069000000}"/>
    <cellStyle name="Comma 14 4" xfId="136" xr:uid="{00000000-0005-0000-0000-00006A000000}"/>
    <cellStyle name="Comma 14 5" xfId="137" xr:uid="{00000000-0005-0000-0000-00006B000000}"/>
    <cellStyle name="Comma 15" xfId="138" xr:uid="{00000000-0005-0000-0000-00006C000000}"/>
    <cellStyle name="Comma 15 2" xfId="139" xr:uid="{00000000-0005-0000-0000-00006D000000}"/>
    <cellStyle name="Comma 15 3" xfId="140" xr:uid="{00000000-0005-0000-0000-00006E000000}"/>
    <cellStyle name="Comma 15 4" xfId="141" xr:uid="{00000000-0005-0000-0000-00006F000000}"/>
    <cellStyle name="Comma 15 5" xfId="142" xr:uid="{00000000-0005-0000-0000-000070000000}"/>
    <cellStyle name="Comma 16" xfId="143" xr:uid="{00000000-0005-0000-0000-000071000000}"/>
    <cellStyle name="Comma 16 2" xfId="144" xr:uid="{00000000-0005-0000-0000-000072000000}"/>
    <cellStyle name="Comma 16 3" xfId="145" xr:uid="{00000000-0005-0000-0000-000073000000}"/>
    <cellStyle name="Comma 16 3 2" xfId="146" xr:uid="{00000000-0005-0000-0000-000074000000}"/>
    <cellStyle name="Comma 16 3 3" xfId="147" xr:uid="{00000000-0005-0000-0000-000075000000}"/>
    <cellStyle name="Comma 16 3 3 2" xfId="148" xr:uid="{00000000-0005-0000-0000-000076000000}"/>
    <cellStyle name="Comma 17" xfId="149" xr:uid="{00000000-0005-0000-0000-000077000000}"/>
    <cellStyle name="Comma 17 2" xfId="150" xr:uid="{00000000-0005-0000-0000-000078000000}"/>
    <cellStyle name="Comma 17 3" xfId="151" xr:uid="{00000000-0005-0000-0000-000079000000}"/>
    <cellStyle name="Comma 17 3 2" xfId="152" xr:uid="{00000000-0005-0000-0000-00007A000000}"/>
    <cellStyle name="Comma 17 4" xfId="786" xr:uid="{00000000-0005-0000-0000-00007B000000}"/>
    <cellStyle name="Comma 18" xfId="153" xr:uid="{00000000-0005-0000-0000-00007C000000}"/>
    <cellStyle name="Comma 18 2" xfId="154" xr:uid="{00000000-0005-0000-0000-00007D000000}"/>
    <cellStyle name="Comma 18 3" xfId="155" xr:uid="{00000000-0005-0000-0000-00007E000000}"/>
    <cellStyle name="Comma 18 3 2" xfId="156" xr:uid="{00000000-0005-0000-0000-00007F000000}"/>
    <cellStyle name="Comma 19" xfId="157" xr:uid="{00000000-0005-0000-0000-000080000000}"/>
    <cellStyle name="Comma 19 2" xfId="158" xr:uid="{00000000-0005-0000-0000-000081000000}"/>
    <cellStyle name="Comma 19 3" xfId="159" xr:uid="{00000000-0005-0000-0000-000082000000}"/>
    <cellStyle name="Comma 19 3 2" xfId="160" xr:uid="{00000000-0005-0000-0000-000083000000}"/>
    <cellStyle name="Comma 2" xfId="4" xr:uid="{00000000-0005-0000-0000-000084000000}"/>
    <cellStyle name="Comma 2 2" xfId="57" xr:uid="{00000000-0005-0000-0000-000085000000}"/>
    <cellStyle name="Comma 2 2 2" xfId="161" xr:uid="{00000000-0005-0000-0000-000086000000}"/>
    <cellStyle name="Comma 2 2 3" xfId="162" xr:uid="{00000000-0005-0000-0000-000087000000}"/>
    <cellStyle name="Comma 2 2 4" xfId="163" xr:uid="{00000000-0005-0000-0000-000088000000}"/>
    <cellStyle name="Comma 2 2 5" xfId="164" xr:uid="{00000000-0005-0000-0000-000089000000}"/>
    <cellStyle name="Comma 2 3" xfId="165" xr:uid="{00000000-0005-0000-0000-00008A000000}"/>
    <cellStyle name="Comma 2 3 2" xfId="166" xr:uid="{00000000-0005-0000-0000-00008B000000}"/>
    <cellStyle name="Comma 2 3 3" xfId="167" xr:uid="{00000000-0005-0000-0000-00008C000000}"/>
    <cellStyle name="Comma 2 3 4" xfId="168" xr:uid="{00000000-0005-0000-0000-00008D000000}"/>
    <cellStyle name="Comma 2 3 4 2" xfId="169" xr:uid="{00000000-0005-0000-0000-00008E000000}"/>
    <cellStyle name="Comma 2 3 4 2 2" xfId="170" xr:uid="{00000000-0005-0000-0000-00008F000000}"/>
    <cellStyle name="Comma 2 3 4 3" xfId="171" xr:uid="{00000000-0005-0000-0000-000090000000}"/>
    <cellStyle name="Comma 2 3 4 4" xfId="172" xr:uid="{00000000-0005-0000-0000-000091000000}"/>
    <cellStyle name="Comma 2 3 4 5" xfId="173" xr:uid="{00000000-0005-0000-0000-000092000000}"/>
    <cellStyle name="Comma 2 3 4 5 2" xfId="174" xr:uid="{00000000-0005-0000-0000-000093000000}"/>
    <cellStyle name="Comma 2 3 5" xfId="175" xr:uid="{00000000-0005-0000-0000-000094000000}"/>
    <cellStyle name="Comma 2 4" xfId="176" xr:uid="{00000000-0005-0000-0000-000095000000}"/>
    <cellStyle name="Comma 2 5" xfId="177" xr:uid="{00000000-0005-0000-0000-000096000000}"/>
    <cellStyle name="Comma 20" xfId="178" xr:uid="{00000000-0005-0000-0000-000097000000}"/>
    <cellStyle name="Comma 20 2" xfId="179" xr:uid="{00000000-0005-0000-0000-000098000000}"/>
    <cellStyle name="Comma 20 3" xfId="180" xr:uid="{00000000-0005-0000-0000-000099000000}"/>
    <cellStyle name="Comma 20 3 2" xfId="181" xr:uid="{00000000-0005-0000-0000-00009A000000}"/>
    <cellStyle name="Comma 21" xfId="182" xr:uid="{00000000-0005-0000-0000-00009B000000}"/>
    <cellStyle name="Comma 21 2" xfId="183" xr:uid="{00000000-0005-0000-0000-00009C000000}"/>
    <cellStyle name="Comma 21 3" xfId="184" xr:uid="{00000000-0005-0000-0000-00009D000000}"/>
    <cellStyle name="Comma 21 3 2" xfId="185" xr:uid="{00000000-0005-0000-0000-00009E000000}"/>
    <cellStyle name="Comma 22" xfId="186" xr:uid="{00000000-0005-0000-0000-00009F000000}"/>
    <cellStyle name="Comma 22 2" xfId="187" xr:uid="{00000000-0005-0000-0000-0000A0000000}"/>
    <cellStyle name="Comma 22 3" xfId="188" xr:uid="{00000000-0005-0000-0000-0000A1000000}"/>
    <cellStyle name="Comma 22 3 2" xfId="189" xr:uid="{00000000-0005-0000-0000-0000A2000000}"/>
    <cellStyle name="Comma 23" xfId="190" xr:uid="{00000000-0005-0000-0000-0000A3000000}"/>
    <cellStyle name="Comma 23 2" xfId="191" xr:uid="{00000000-0005-0000-0000-0000A4000000}"/>
    <cellStyle name="Comma 23 3" xfId="192" xr:uid="{00000000-0005-0000-0000-0000A5000000}"/>
    <cellStyle name="Comma 23 3 2" xfId="193" xr:uid="{00000000-0005-0000-0000-0000A6000000}"/>
    <cellStyle name="Comma 24" xfId="194" xr:uid="{00000000-0005-0000-0000-0000A7000000}"/>
    <cellStyle name="Comma 24 2" xfId="195" xr:uid="{00000000-0005-0000-0000-0000A8000000}"/>
    <cellStyle name="Comma 24 3" xfId="196" xr:uid="{00000000-0005-0000-0000-0000A9000000}"/>
    <cellStyle name="Comma 24 3 2" xfId="197" xr:uid="{00000000-0005-0000-0000-0000AA000000}"/>
    <cellStyle name="Comma 25" xfId="198" xr:uid="{00000000-0005-0000-0000-0000AB000000}"/>
    <cellStyle name="Comma 25 2" xfId="199" xr:uid="{00000000-0005-0000-0000-0000AC000000}"/>
    <cellStyle name="Comma 25 3" xfId="200" xr:uid="{00000000-0005-0000-0000-0000AD000000}"/>
    <cellStyle name="Comma 25 3 2" xfId="201" xr:uid="{00000000-0005-0000-0000-0000AE000000}"/>
    <cellStyle name="Comma 26" xfId="202" xr:uid="{00000000-0005-0000-0000-0000AF000000}"/>
    <cellStyle name="Comma 26 2" xfId="203" xr:uid="{00000000-0005-0000-0000-0000B0000000}"/>
    <cellStyle name="Comma 26 3" xfId="204" xr:uid="{00000000-0005-0000-0000-0000B1000000}"/>
    <cellStyle name="Comma 26 3 2" xfId="205" xr:uid="{00000000-0005-0000-0000-0000B2000000}"/>
    <cellStyle name="Comma 27" xfId="206" xr:uid="{00000000-0005-0000-0000-0000B3000000}"/>
    <cellStyle name="Comma 27 2" xfId="207" xr:uid="{00000000-0005-0000-0000-0000B4000000}"/>
    <cellStyle name="Comma 27 3" xfId="208" xr:uid="{00000000-0005-0000-0000-0000B5000000}"/>
    <cellStyle name="Comma 27 3 2" xfId="209" xr:uid="{00000000-0005-0000-0000-0000B6000000}"/>
    <cellStyle name="Comma 28" xfId="210" xr:uid="{00000000-0005-0000-0000-0000B7000000}"/>
    <cellStyle name="Comma 28 2" xfId="211" xr:uid="{00000000-0005-0000-0000-0000B8000000}"/>
    <cellStyle name="Comma 29" xfId="212" xr:uid="{00000000-0005-0000-0000-0000B9000000}"/>
    <cellStyle name="Comma 29 2" xfId="213" xr:uid="{00000000-0005-0000-0000-0000BA000000}"/>
    <cellStyle name="Comma 3" xfId="214" xr:uid="{00000000-0005-0000-0000-0000BB000000}"/>
    <cellStyle name="Comma 3 2" xfId="215" xr:uid="{00000000-0005-0000-0000-0000BC000000}"/>
    <cellStyle name="Comma 3 3" xfId="216" xr:uid="{00000000-0005-0000-0000-0000BD000000}"/>
    <cellStyle name="Comma 3 4" xfId="217" xr:uid="{00000000-0005-0000-0000-0000BE000000}"/>
    <cellStyle name="Comma 30" xfId="218" xr:uid="{00000000-0005-0000-0000-0000BF000000}"/>
    <cellStyle name="Comma 31" xfId="219" xr:uid="{00000000-0005-0000-0000-0000C0000000}"/>
    <cellStyle name="Comma 31 2" xfId="220" xr:uid="{00000000-0005-0000-0000-0000C1000000}"/>
    <cellStyle name="Comma 31 3" xfId="221" xr:uid="{00000000-0005-0000-0000-0000C2000000}"/>
    <cellStyle name="Comma 31 3 2" xfId="222" xr:uid="{00000000-0005-0000-0000-0000C3000000}"/>
    <cellStyle name="Comma 32" xfId="223" xr:uid="{00000000-0005-0000-0000-0000C4000000}"/>
    <cellStyle name="Comma 32 2" xfId="224" xr:uid="{00000000-0005-0000-0000-0000C5000000}"/>
    <cellStyle name="Comma 32 2 2" xfId="225" xr:uid="{00000000-0005-0000-0000-0000C6000000}"/>
    <cellStyle name="Comma 32 3" xfId="226" xr:uid="{00000000-0005-0000-0000-0000C7000000}"/>
    <cellStyle name="Comma 32 4" xfId="227" xr:uid="{00000000-0005-0000-0000-0000C8000000}"/>
    <cellStyle name="Comma 32 4 2" xfId="228" xr:uid="{00000000-0005-0000-0000-0000C9000000}"/>
    <cellStyle name="Comma 33" xfId="229" xr:uid="{00000000-0005-0000-0000-0000CA000000}"/>
    <cellStyle name="Comma 33 2" xfId="230" xr:uid="{00000000-0005-0000-0000-0000CB000000}"/>
    <cellStyle name="Comma 33 3" xfId="231" xr:uid="{00000000-0005-0000-0000-0000CC000000}"/>
    <cellStyle name="Comma 33 3 2" xfId="232" xr:uid="{00000000-0005-0000-0000-0000CD000000}"/>
    <cellStyle name="Comma 34" xfId="233" xr:uid="{00000000-0005-0000-0000-0000CE000000}"/>
    <cellStyle name="Comma 35" xfId="234" xr:uid="{00000000-0005-0000-0000-0000CF000000}"/>
    <cellStyle name="Comma 35 2" xfId="235" xr:uid="{00000000-0005-0000-0000-0000D0000000}"/>
    <cellStyle name="Comma 36" xfId="236" xr:uid="{00000000-0005-0000-0000-0000D1000000}"/>
    <cellStyle name="Comma 37" xfId="237" xr:uid="{00000000-0005-0000-0000-0000D2000000}"/>
    <cellStyle name="Comma 38" xfId="238" xr:uid="{00000000-0005-0000-0000-0000D3000000}"/>
    <cellStyle name="Comma 4" xfId="239" xr:uid="{00000000-0005-0000-0000-0000D4000000}"/>
    <cellStyle name="Comma 4 2" xfId="240" xr:uid="{00000000-0005-0000-0000-0000D5000000}"/>
    <cellStyle name="Comma 4 3" xfId="241" xr:uid="{00000000-0005-0000-0000-0000D6000000}"/>
    <cellStyle name="Comma 4 4" xfId="242" xr:uid="{00000000-0005-0000-0000-0000D7000000}"/>
    <cellStyle name="Comma 4 5" xfId="243" xr:uid="{00000000-0005-0000-0000-0000D8000000}"/>
    <cellStyle name="Comma 5" xfId="244" xr:uid="{00000000-0005-0000-0000-0000D9000000}"/>
    <cellStyle name="Comma 5 2" xfId="245" xr:uid="{00000000-0005-0000-0000-0000DA000000}"/>
    <cellStyle name="Comma 5 3" xfId="246" xr:uid="{00000000-0005-0000-0000-0000DB000000}"/>
    <cellStyle name="Comma 5 4" xfId="247" xr:uid="{00000000-0005-0000-0000-0000DC000000}"/>
    <cellStyle name="Comma 5 5" xfId="248" xr:uid="{00000000-0005-0000-0000-0000DD000000}"/>
    <cellStyle name="Comma 5 6" xfId="249" xr:uid="{00000000-0005-0000-0000-0000DE000000}"/>
    <cellStyle name="Comma 6" xfId="250" xr:uid="{00000000-0005-0000-0000-0000DF000000}"/>
    <cellStyle name="Comma 6 2" xfId="251" xr:uid="{00000000-0005-0000-0000-0000E0000000}"/>
    <cellStyle name="Comma 6 3" xfId="252" xr:uid="{00000000-0005-0000-0000-0000E1000000}"/>
    <cellStyle name="Comma 6 4" xfId="253" xr:uid="{00000000-0005-0000-0000-0000E2000000}"/>
    <cellStyle name="Comma 6 4 2" xfId="254" xr:uid="{00000000-0005-0000-0000-0000E3000000}"/>
    <cellStyle name="Comma 6 4 2 2" xfId="255" xr:uid="{00000000-0005-0000-0000-0000E4000000}"/>
    <cellStyle name="Comma 6 4 3" xfId="256" xr:uid="{00000000-0005-0000-0000-0000E5000000}"/>
    <cellStyle name="Comma 6 4 4" xfId="257" xr:uid="{00000000-0005-0000-0000-0000E6000000}"/>
    <cellStyle name="Comma 6 4 5" xfId="258" xr:uid="{00000000-0005-0000-0000-0000E7000000}"/>
    <cellStyle name="Comma 6 4 5 2" xfId="259" xr:uid="{00000000-0005-0000-0000-0000E8000000}"/>
    <cellStyle name="Comma 6 5" xfId="260" xr:uid="{00000000-0005-0000-0000-0000E9000000}"/>
    <cellStyle name="Comma 7" xfId="261" xr:uid="{00000000-0005-0000-0000-0000EA000000}"/>
    <cellStyle name="Comma 7 2" xfId="262" xr:uid="{00000000-0005-0000-0000-0000EB000000}"/>
    <cellStyle name="Comma 7 2 2" xfId="263" xr:uid="{00000000-0005-0000-0000-0000EC000000}"/>
    <cellStyle name="Comma 7 2 2 2" xfId="264" xr:uid="{00000000-0005-0000-0000-0000ED000000}"/>
    <cellStyle name="Comma 7 2 2 2 2" xfId="265" xr:uid="{00000000-0005-0000-0000-0000EE000000}"/>
    <cellStyle name="Comma 7 2 2 3" xfId="266" xr:uid="{00000000-0005-0000-0000-0000EF000000}"/>
    <cellStyle name="Comma 7 2 2 3 2" xfId="267" xr:uid="{00000000-0005-0000-0000-0000F0000000}"/>
    <cellStyle name="Comma 7 2 2 3 2 2" xfId="268" xr:uid="{00000000-0005-0000-0000-0000F1000000}"/>
    <cellStyle name="Comma 7 2 2 3 3" xfId="269" xr:uid="{00000000-0005-0000-0000-0000F2000000}"/>
    <cellStyle name="Comma 7 2 2 4" xfId="270" xr:uid="{00000000-0005-0000-0000-0000F3000000}"/>
    <cellStyle name="Comma 7 2 3" xfId="271" xr:uid="{00000000-0005-0000-0000-0000F4000000}"/>
    <cellStyle name="Comma 7 3" xfId="272" xr:uid="{00000000-0005-0000-0000-0000F5000000}"/>
    <cellStyle name="Comma 7 3 2" xfId="273" xr:uid="{00000000-0005-0000-0000-0000F6000000}"/>
    <cellStyle name="Comma 7 3 2 2" xfId="274" xr:uid="{00000000-0005-0000-0000-0000F7000000}"/>
    <cellStyle name="Comma 7 3 3" xfId="275" xr:uid="{00000000-0005-0000-0000-0000F8000000}"/>
    <cellStyle name="Comma 7 3 3 2" xfId="276" xr:uid="{00000000-0005-0000-0000-0000F9000000}"/>
    <cellStyle name="Comma 7 3 3 2 2" xfId="277" xr:uid="{00000000-0005-0000-0000-0000FA000000}"/>
    <cellStyle name="Comma 7 3 3 3" xfId="278" xr:uid="{00000000-0005-0000-0000-0000FB000000}"/>
    <cellStyle name="Comma 7 3 4" xfId="279" xr:uid="{00000000-0005-0000-0000-0000FC000000}"/>
    <cellStyle name="Comma 7 4" xfId="280" xr:uid="{00000000-0005-0000-0000-0000FD000000}"/>
    <cellStyle name="Comma 7 4 2" xfId="281" xr:uid="{00000000-0005-0000-0000-0000FE000000}"/>
    <cellStyle name="Comma 7 5" xfId="282" xr:uid="{00000000-0005-0000-0000-0000FF000000}"/>
    <cellStyle name="Comma 7 5 2" xfId="283" xr:uid="{00000000-0005-0000-0000-000000010000}"/>
    <cellStyle name="Comma 7 5 2 2" xfId="284" xr:uid="{00000000-0005-0000-0000-000001010000}"/>
    <cellStyle name="Comma 7 5 3" xfId="285" xr:uid="{00000000-0005-0000-0000-000002010000}"/>
    <cellStyle name="Comma 7 6" xfId="286" xr:uid="{00000000-0005-0000-0000-000003010000}"/>
    <cellStyle name="Comma 8" xfId="287" xr:uid="{00000000-0005-0000-0000-000004010000}"/>
    <cellStyle name="Comma 8 2" xfId="288" xr:uid="{00000000-0005-0000-0000-000005010000}"/>
    <cellStyle name="Comma 8 2 2" xfId="289" xr:uid="{00000000-0005-0000-0000-000006010000}"/>
    <cellStyle name="Comma 8 2 3" xfId="290" xr:uid="{00000000-0005-0000-0000-000007010000}"/>
    <cellStyle name="Comma 8 2 4" xfId="291" xr:uid="{00000000-0005-0000-0000-000008010000}"/>
    <cellStyle name="Comma 8 2 4 10" xfId="292" xr:uid="{00000000-0005-0000-0000-000009010000}"/>
    <cellStyle name="Comma 8 2 4 11" xfId="293" xr:uid="{00000000-0005-0000-0000-00000A010000}"/>
    <cellStyle name="Comma 8 2 4 11 2" xfId="294" xr:uid="{00000000-0005-0000-0000-00000B010000}"/>
    <cellStyle name="Comma 8 2 4 11 2 2" xfId="295" xr:uid="{00000000-0005-0000-0000-00000C010000}"/>
    <cellStyle name="Comma 8 2 4 11 2 3" xfId="296" xr:uid="{00000000-0005-0000-0000-00000D010000}"/>
    <cellStyle name="Comma 8 2 4 11 2 3 2" xfId="297" xr:uid="{00000000-0005-0000-0000-00000E010000}"/>
    <cellStyle name="Comma 8 2 4 2" xfId="298" xr:uid="{00000000-0005-0000-0000-00000F010000}"/>
    <cellStyle name="Comma 8 2 4 3" xfId="299" xr:uid="{00000000-0005-0000-0000-000010010000}"/>
    <cellStyle name="Comma 8 2 4 4" xfId="300" xr:uid="{00000000-0005-0000-0000-000011010000}"/>
    <cellStyle name="Comma 8 2 4 5" xfId="301" xr:uid="{00000000-0005-0000-0000-000012010000}"/>
    <cellStyle name="Comma 8 2 4 5 2" xfId="302" xr:uid="{00000000-0005-0000-0000-000013010000}"/>
    <cellStyle name="Comma 8 2 4 5 2 2" xfId="303" xr:uid="{00000000-0005-0000-0000-000014010000}"/>
    <cellStyle name="Comma 8 2 4 5 2 3" xfId="304" xr:uid="{00000000-0005-0000-0000-000015010000}"/>
    <cellStyle name="Comma 8 2 4 6" xfId="305" xr:uid="{00000000-0005-0000-0000-000016010000}"/>
    <cellStyle name="Comma 8 2 4 7" xfId="306" xr:uid="{00000000-0005-0000-0000-000017010000}"/>
    <cellStyle name="Comma 8 2 4 8" xfId="307" xr:uid="{00000000-0005-0000-0000-000018010000}"/>
    <cellStyle name="Comma 8 2 4 9" xfId="308" xr:uid="{00000000-0005-0000-0000-000019010000}"/>
    <cellStyle name="Comma 8 2 4 9 2" xfId="309" xr:uid="{00000000-0005-0000-0000-00001A010000}"/>
    <cellStyle name="Comma 8 2 4 9 2 2" xfId="310" xr:uid="{00000000-0005-0000-0000-00001B010000}"/>
    <cellStyle name="Comma 8 2 4 9 2 3" xfId="311" xr:uid="{00000000-0005-0000-0000-00001C010000}"/>
    <cellStyle name="Comma 8 2 4 9 2 3 2" xfId="312" xr:uid="{00000000-0005-0000-0000-00001D010000}"/>
    <cellStyle name="Comma 8 2 5" xfId="313" xr:uid="{00000000-0005-0000-0000-00001E010000}"/>
    <cellStyle name="Comma 8 2 5 2" xfId="314" xr:uid="{00000000-0005-0000-0000-00001F010000}"/>
    <cellStyle name="Comma 8 2 5 3" xfId="315" xr:uid="{00000000-0005-0000-0000-000020010000}"/>
    <cellStyle name="Comma 8 2 5 4" xfId="316" xr:uid="{00000000-0005-0000-0000-000021010000}"/>
    <cellStyle name="Comma 8 2 6" xfId="317" xr:uid="{00000000-0005-0000-0000-000022010000}"/>
    <cellStyle name="Comma 8 2 6 2" xfId="318" xr:uid="{00000000-0005-0000-0000-000023010000}"/>
    <cellStyle name="Comma 8 2 6 2 2" xfId="319" xr:uid="{00000000-0005-0000-0000-000024010000}"/>
    <cellStyle name="Comma 8 2 6 2 3" xfId="320" xr:uid="{00000000-0005-0000-0000-000025010000}"/>
    <cellStyle name="Comma 8 2 6 2 3 2" xfId="321" xr:uid="{00000000-0005-0000-0000-000026010000}"/>
    <cellStyle name="Comma 8 2 6 3" xfId="322" xr:uid="{00000000-0005-0000-0000-000027010000}"/>
    <cellStyle name="Comma 8 2 7" xfId="323" xr:uid="{00000000-0005-0000-0000-000028010000}"/>
    <cellStyle name="Comma 8 2 7 2" xfId="324" xr:uid="{00000000-0005-0000-0000-000029010000}"/>
    <cellStyle name="Comma 8 2 7 3" xfId="325" xr:uid="{00000000-0005-0000-0000-00002A010000}"/>
    <cellStyle name="Comma 8 2 7 3 2" xfId="326" xr:uid="{00000000-0005-0000-0000-00002B010000}"/>
    <cellStyle name="Comma 8 2 8" xfId="327" xr:uid="{00000000-0005-0000-0000-00002C010000}"/>
    <cellStyle name="Comma 8 2 9" xfId="328" xr:uid="{00000000-0005-0000-0000-00002D010000}"/>
    <cellStyle name="Comma 8 2 9 2" xfId="329" xr:uid="{00000000-0005-0000-0000-00002E010000}"/>
    <cellStyle name="Comma 8 3" xfId="330" xr:uid="{00000000-0005-0000-0000-00002F010000}"/>
    <cellStyle name="Comma 8 4" xfId="331" xr:uid="{00000000-0005-0000-0000-000030010000}"/>
    <cellStyle name="Comma 8 5" xfId="332" xr:uid="{00000000-0005-0000-0000-000031010000}"/>
    <cellStyle name="Comma 8 5 2" xfId="333" xr:uid="{00000000-0005-0000-0000-000032010000}"/>
    <cellStyle name="Comma 8 6" xfId="334" xr:uid="{00000000-0005-0000-0000-000033010000}"/>
    <cellStyle name="Comma 8 6 2" xfId="335" xr:uid="{00000000-0005-0000-0000-000034010000}"/>
    <cellStyle name="Comma 9" xfId="336" xr:uid="{00000000-0005-0000-0000-000035010000}"/>
    <cellStyle name="Comma 9 2" xfId="337" xr:uid="{00000000-0005-0000-0000-000036010000}"/>
    <cellStyle name="Comma 9 2 2" xfId="338" xr:uid="{00000000-0005-0000-0000-000037010000}"/>
    <cellStyle name="Comma 9 2 3" xfId="339" xr:uid="{00000000-0005-0000-0000-000038010000}"/>
    <cellStyle name="Comma 9 2 3 2" xfId="340" xr:uid="{00000000-0005-0000-0000-000039010000}"/>
    <cellStyle name="Comma 9 2 3 3" xfId="341" xr:uid="{00000000-0005-0000-0000-00003A010000}"/>
    <cellStyle name="Comma 9 2 3 4" xfId="342" xr:uid="{00000000-0005-0000-0000-00003B010000}"/>
    <cellStyle name="Comma 9 2 4" xfId="343" xr:uid="{00000000-0005-0000-0000-00003C010000}"/>
    <cellStyle name="Comma 9 2 4 2" xfId="344" xr:uid="{00000000-0005-0000-0000-00003D010000}"/>
    <cellStyle name="Comma 9 2 4 2 2" xfId="345" xr:uid="{00000000-0005-0000-0000-00003E010000}"/>
    <cellStyle name="Comma 9 2 4 2 3" xfId="346" xr:uid="{00000000-0005-0000-0000-00003F010000}"/>
    <cellStyle name="Comma 9 2 4 2 3 2" xfId="347" xr:uid="{00000000-0005-0000-0000-000040010000}"/>
    <cellStyle name="Comma 9 2 4 3" xfId="348" xr:uid="{00000000-0005-0000-0000-000041010000}"/>
    <cellStyle name="Comma 9 2 5" xfId="349" xr:uid="{00000000-0005-0000-0000-000042010000}"/>
    <cellStyle name="Comma 9 2 5 2" xfId="350" xr:uid="{00000000-0005-0000-0000-000043010000}"/>
    <cellStyle name="Comma 9 2 5 3" xfId="351" xr:uid="{00000000-0005-0000-0000-000044010000}"/>
    <cellStyle name="Comma 9 2 5 3 2" xfId="352" xr:uid="{00000000-0005-0000-0000-000045010000}"/>
    <cellStyle name="Comma 9 2 6" xfId="353" xr:uid="{00000000-0005-0000-0000-000046010000}"/>
    <cellStyle name="Comma 9 2 7" xfId="354" xr:uid="{00000000-0005-0000-0000-000047010000}"/>
    <cellStyle name="Comma 9 2 7 2" xfId="355" xr:uid="{00000000-0005-0000-0000-000048010000}"/>
    <cellStyle name="Comma 9 3" xfId="356" xr:uid="{00000000-0005-0000-0000-000049010000}"/>
    <cellStyle name="Comma 9 4" xfId="357" xr:uid="{00000000-0005-0000-0000-00004A010000}"/>
    <cellStyle name="Comma 9 5" xfId="358" xr:uid="{00000000-0005-0000-0000-00004B010000}"/>
    <cellStyle name="Comma 9 6" xfId="359" xr:uid="{00000000-0005-0000-0000-00004C010000}"/>
    <cellStyle name="Comma 9 6 10" xfId="360" xr:uid="{00000000-0005-0000-0000-00004D010000}"/>
    <cellStyle name="Comma 9 6 11" xfId="361" xr:uid="{00000000-0005-0000-0000-00004E010000}"/>
    <cellStyle name="Comma 9 6 11 2" xfId="362" xr:uid="{00000000-0005-0000-0000-00004F010000}"/>
    <cellStyle name="Comma 9 6 11 2 2" xfId="363" xr:uid="{00000000-0005-0000-0000-000050010000}"/>
    <cellStyle name="Comma 9 6 11 2 3" xfId="364" xr:uid="{00000000-0005-0000-0000-000051010000}"/>
    <cellStyle name="Comma 9 6 11 2 3 2" xfId="365" xr:uid="{00000000-0005-0000-0000-000052010000}"/>
    <cellStyle name="Comma 9 6 2" xfId="366" xr:uid="{00000000-0005-0000-0000-000053010000}"/>
    <cellStyle name="Comma 9 6 3" xfId="367" xr:uid="{00000000-0005-0000-0000-000054010000}"/>
    <cellStyle name="Comma 9 6 4" xfId="368" xr:uid="{00000000-0005-0000-0000-000055010000}"/>
    <cellStyle name="Comma 9 6 5" xfId="369" xr:uid="{00000000-0005-0000-0000-000056010000}"/>
    <cellStyle name="Comma 9 6 5 2" xfId="370" xr:uid="{00000000-0005-0000-0000-000057010000}"/>
    <cellStyle name="Comma 9 6 5 2 2" xfId="371" xr:uid="{00000000-0005-0000-0000-000058010000}"/>
    <cellStyle name="Comma 9 6 5 2 3" xfId="372" xr:uid="{00000000-0005-0000-0000-000059010000}"/>
    <cellStyle name="Comma 9 6 6" xfId="373" xr:uid="{00000000-0005-0000-0000-00005A010000}"/>
    <cellStyle name="Comma 9 6 7" xfId="374" xr:uid="{00000000-0005-0000-0000-00005B010000}"/>
    <cellStyle name="Comma 9 6 8" xfId="375" xr:uid="{00000000-0005-0000-0000-00005C010000}"/>
    <cellStyle name="Comma 9 6 9" xfId="376" xr:uid="{00000000-0005-0000-0000-00005D010000}"/>
    <cellStyle name="Comma 9 6 9 2" xfId="377" xr:uid="{00000000-0005-0000-0000-00005E010000}"/>
    <cellStyle name="Comma 9 6 9 2 2" xfId="378" xr:uid="{00000000-0005-0000-0000-00005F010000}"/>
    <cellStyle name="Comma 9 6 9 2 3" xfId="379" xr:uid="{00000000-0005-0000-0000-000060010000}"/>
    <cellStyle name="Comma 9 6 9 2 3 2" xfId="380" xr:uid="{00000000-0005-0000-0000-000061010000}"/>
    <cellStyle name="Currency" xfId="54" builtinId="4"/>
    <cellStyle name="Currency 2" xfId="3" xr:uid="{00000000-0005-0000-0000-000063010000}"/>
    <cellStyle name="Currency 3" xfId="381" xr:uid="{00000000-0005-0000-0000-000064010000}"/>
    <cellStyle name="Currency 4" xfId="382" xr:uid="{00000000-0005-0000-0000-000065010000}"/>
    <cellStyle name="Currency 4 2" xfId="383" xr:uid="{00000000-0005-0000-0000-000066010000}"/>
    <cellStyle name="Currency 4 3" xfId="384" xr:uid="{00000000-0005-0000-0000-000067010000}"/>
    <cellStyle name="Currency 4 3 2" xfId="385" xr:uid="{00000000-0005-0000-0000-000068010000}"/>
    <cellStyle name="Currency 5" xfId="386" xr:uid="{00000000-0005-0000-0000-000069010000}"/>
    <cellStyle name="Currency 5 2" xfId="387" xr:uid="{00000000-0005-0000-0000-00006A010000}"/>
    <cellStyle name="Currency 5 3" xfId="388" xr:uid="{00000000-0005-0000-0000-00006B010000}"/>
    <cellStyle name="Currency 5 3 2" xfId="389" xr:uid="{00000000-0005-0000-0000-00006C010000}"/>
    <cellStyle name="Currency 6" xfId="390" xr:uid="{00000000-0005-0000-0000-00006D010000}"/>
    <cellStyle name="Currency 7" xfId="391" xr:uid="{00000000-0005-0000-0000-00006E010000}"/>
    <cellStyle name="Currency 7 2" xfId="392" xr:uid="{00000000-0005-0000-0000-00006F010000}"/>
    <cellStyle name="Explanatory Text 2" xfId="39" xr:uid="{00000000-0005-0000-0000-000070010000}"/>
    <cellStyle name="Good 2" xfId="40" xr:uid="{00000000-0005-0000-0000-000071010000}"/>
    <cellStyle name="Heading 1 2" xfId="41" xr:uid="{00000000-0005-0000-0000-000072010000}"/>
    <cellStyle name="Heading 2 2" xfId="42" xr:uid="{00000000-0005-0000-0000-000073010000}"/>
    <cellStyle name="Heading 3 2" xfId="43" xr:uid="{00000000-0005-0000-0000-000074010000}"/>
    <cellStyle name="Heading 4 2" xfId="44" xr:uid="{00000000-0005-0000-0000-000075010000}"/>
    <cellStyle name="Input 2" xfId="45" xr:uid="{00000000-0005-0000-0000-000076010000}"/>
    <cellStyle name="Linked Cell 2" xfId="46" xr:uid="{00000000-0005-0000-0000-000077010000}"/>
    <cellStyle name="Neutral 2" xfId="47" xr:uid="{00000000-0005-0000-0000-000078010000}"/>
    <cellStyle name="Normal" xfId="0" builtinId="0"/>
    <cellStyle name="Normal 10" xfId="393" xr:uid="{00000000-0005-0000-0000-00007A010000}"/>
    <cellStyle name="Normal 11" xfId="394" xr:uid="{00000000-0005-0000-0000-00007B010000}"/>
    <cellStyle name="Normal 12" xfId="395" xr:uid="{00000000-0005-0000-0000-00007C010000}"/>
    <cellStyle name="Normal 13" xfId="396" xr:uid="{00000000-0005-0000-0000-00007D010000}"/>
    <cellStyle name="Normal 13 2" xfId="788" xr:uid="{00000000-0005-0000-0000-00007E010000}"/>
    <cellStyle name="Normal 14" xfId="397" xr:uid="{00000000-0005-0000-0000-00007F010000}"/>
    <cellStyle name="Normal 2" xfId="2" xr:uid="{00000000-0005-0000-0000-000080010000}"/>
    <cellStyle name="Normal 2 2" xfId="56" xr:uid="{00000000-0005-0000-0000-000081010000}"/>
    <cellStyle name="Normal 2 2 2" xfId="398" xr:uid="{00000000-0005-0000-0000-000082010000}"/>
    <cellStyle name="Normal 2 2 3" xfId="399" xr:uid="{00000000-0005-0000-0000-000083010000}"/>
    <cellStyle name="Normal 2 2 4" xfId="400" xr:uid="{00000000-0005-0000-0000-000084010000}"/>
    <cellStyle name="Normal 2 2 4 2" xfId="401" xr:uid="{00000000-0005-0000-0000-000085010000}"/>
    <cellStyle name="Normal 2 2 4 2 2" xfId="402" xr:uid="{00000000-0005-0000-0000-000086010000}"/>
    <cellStyle name="Normal 2 2 4 3" xfId="403" xr:uid="{00000000-0005-0000-0000-000087010000}"/>
    <cellStyle name="Normal 2 2 4 4" xfId="404" xr:uid="{00000000-0005-0000-0000-000088010000}"/>
    <cellStyle name="Normal 2 2 4 5" xfId="405" xr:uid="{00000000-0005-0000-0000-000089010000}"/>
    <cellStyle name="Normal 2 2 4 5 2" xfId="406" xr:uid="{00000000-0005-0000-0000-00008A010000}"/>
    <cellStyle name="Normal 2 2 5" xfId="407" xr:uid="{00000000-0005-0000-0000-00008B010000}"/>
    <cellStyle name="Normal 2 2 6" xfId="408" xr:uid="{00000000-0005-0000-0000-00008C010000}"/>
    <cellStyle name="Normal 2 3" xfId="409" xr:uid="{00000000-0005-0000-0000-00008D010000}"/>
    <cellStyle name="Normal 2 4" xfId="410" xr:uid="{00000000-0005-0000-0000-00008E010000}"/>
    <cellStyle name="Normal 3" xfId="11" xr:uid="{00000000-0005-0000-0000-00008F010000}"/>
    <cellStyle name="Normal 3 2" xfId="55" xr:uid="{00000000-0005-0000-0000-000090010000}"/>
    <cellStyle name="Normal 3 2 2" xfId="411" xr:uid="{00000000-0005-0000-0000-000091010000}"/>
    <cellStyle name="Normal 3 3" xfId="412" xr:uid="{00000000-0005-0000-0000-000092010000}"/>
    <cellStyle name="Normal 3 3 2" xfId="413" xr:uid="{00000000-0005-0000-0000-000093010000}"/>
    <cellStyle name="Normal 3 4" xfId="414" xr:uid="{00000000-0005-0000-0000-000094010000}"/>
    <cellStyle name="Normal 4" xfId="415" xr:uid="{00000000-0005-0000-0000-000095010000}"/>
    <cellStyle name="Normal 4 2" xfId="416" xr:uid="{00000000-0005-0000-0000-000096010000}"/>
    <cellStyle name="Normal 4 3" xfId="417" xr:uid="{00000000-0005-0000-0000-000097010000}"/>
    <cellStyle name="Normal 4 3 2" xfId="418" xr:uid="{00000000-0005-0000-0000-000098010000}"/>
    <cellStyle name="Normal 4 3 3" xfId="419" xr:uid="{00000000-0005-0000-0000-000099010000}"/>
    <cellStyle name="Normal 5" xfId="420" xr:uid="{00000000-0005-0000-0000-00009A010000}"/>
    <cellStyle name="Normal 5 2" xfId="421" xr:uid="{00000000-0005-0000-0000-00009B010000}"/>
    <cellStyle name="Normal 5 2 2" xfId="422" xr:uid="{00000000-0005-0000-0000-00009C010000}"/>
    <cellStyle name="Normal 5 2 3" xfId="423" xr:uid="{00000000-0005-0000-0000-00009D010000}"/>
    <cellStyle name="Normal 5 2 3 2" xfId="424" xr:uid="{00000000-0005-0000-0000-00009E010000}"/>
    <cellStyle name="Normal 5 3" xfId="425" xr:uid="{00000000-0005-0000-0000-00009F010000}"/>
    <cellStyle name="Normal 5 4" xfId="426" xr:uid="{00000000-0005-0000-0000-0000A0010000}"/>
    <cellStyle name="Normal 6" xfId="427" xr:uid="{00000000-0005-0000-0000-0000A1010000}"/>
    <cellStyle name="Normal 6 2" xfId="428" xr:uid="{00000000-0005-0000-0000-0000A2010000}"/>
    <cellStyle name="Normal 7" xfId="429" xr:uid="{00000000-0005-0000-0000-0000A3010000}"/>
    <cellStyle name="Normal 7 2" xfId="430" xr:uid="{00000000-0005-0000-0000-0000A4010000}"/>
    <cellStyle name="Normal 7 3" xfId="431" xr:uid="{00000000-0005-0000-0000-0000A5010000}"/>
    <cellStyle name="Normal 7 3 2" xfId="432" xr:uid="{00000000-0005-0000-0000-0000A6010000}"/>
    <cellStyle name="Normal 8" xfId="433" xr:uid="{00000000-0005-0000-0000-0000A7010000}"/>
    <cellStyle name="Normal 9" xfId="434" xr:uid="{00000000-0005-0000-0000-0000A8010000}"/>
    <cellStyle name="Normal 9 2" xfId="435" xr:uid="{00000000-0005-0000-0000-0000A9010000}"/>
    <cellStyle name="Normal_Summary" xfId="787" xr:uid="{00000000-0005-0000-0000-0000AA010000}"/>
    <cellStyle name="Note 2" xfId="48" xr:uid="{00000000-0005-0000-0000-0000AB010000}"/>
    <cellStyle name="Output 2" xfId="49" xr:uid="{00000000-0005-0000-0000-0000AC010000}"/>
    <cellStyle name="Percent" xfId="785" builtinId="5"/>
    <cellStyle name="Percent 10" xfId="436" xr:uid="{00000000-0005-0000-0000-0000AE010000}"/>
    <cellStyle name="Percent 10 2" xfId="437" xr:uid="{00000000-0005-0000-0000-0000AF010000}"/>
    <cellStyle name="Percent 10 3" xfId="438" xr:uid="{00000000-0005-0000-0000-0000B0010000}"/>
    <cellStyle name="Percent 10 3 2" xfId="439" xr:uid="{00000000-0005-0000-0000-0000B1010000}"/>
    <cellStyle name="Percent 10 3 3" xfId="440" xr:uid="{00000000-0005-0000-0000-0000B2010000}"/>
    <cellStyle name="Percent 10 3 3 2" xfId="441" xr:uid="{00000000-0005-0000-0000-0000B3010000}"/>
    <cellStyle name="Percent 11" xfId="442" xr:uid="{00000000-0005-0000-0000-0000B4010000}"/>
    <cellStyle name="Percent 11 2" xfId="443" xr:uid="{00000000-0005-0000-0000-0000B5010000}"/>
    <cellStyle name="Percent 11 3" xfId="444" xr:uid="{00000000-0005-0000-0000-0000B6010000}"/>
    <cellStyle name="Percent 11 3 2" xfId="445" xr:uid="{00000000-0005-0000-0000-0000B7010000}"/>
    <cellStyle name="Percent 12" xfId="446" xr:uid="{00000000-0005-0000-0000-0000B8010000}"/>
    <cellStyle name="Percent 12 2" xfId="447" xr:uid="{00000000-0005-0000-0000-0000B9010000}"/>
    <cellStyle name="Percent 12 3" xfId="448" xr:uid="{00000000-0005-0000-0000-0000BA010000}"/>
    <cellStyle name="Percent 12 3 2" xfId="449" xr:uid="{00000000-0005-0000-0000-0000BB010000}"/>
    <cellStyle name="Percent 13" xfId="450" xr:uid="{00000000-0005-0000-0000-0000BC010000}"/>
    <cellStyle name="Percent 13 2" xfId="451" xr:uid="{00000000-0005-0000-0000-0000BD010000}"/>
    <cellStyle name="Percent 13 3" xfId="452" xr:uid="{00000000-0005-0000-0000-0000BE010000}"/>
    <cellStyle name="Percent 13 3 2" xfId="453" xr:uid="{00000000-0005-0000-0000-0000BF010000}"/>
    <cellStyle name="Percent 14" xfId="454" xr:uid="{00000000-0005-0000-0000-0000C0010000}"/>
    <cellStyle name="Percent 14 2" xfId="455" xr:uid="{00000000-0005-0000-0000-0000C1010000}"/>
    <cellStyle name="Percent 14 3" xfId="456" xr:uid="{00000000-0005-0000-0000-0000C2010000}"/>
    <cellStyle name="Percent 14 3 2" xfId="457" xr:uid="{00000000-0005-0000-0000-0000C3010000}"/>
    <cellStyle name="Percent 15" xfId="458" xr:uid="{00000000-0005-0000-0000-0000C4010000}"/>
    <cellStyle name="Percent 15 2" xfId="459" xr:uid="{00000000-0005-0000-0000-0000C5010000}"/>
    <cellStyle name="Percent 15 3" xfId="460" xr:uid="{00000000-0005-0000-0000-0000C6010000}"/>
    <cellStyle name="Percent 15 3 2" xfId="461" xr:uid="{00000000-0005-0000-0000-0000C7010000}"/>
    <cellStyle name="Percent 16" xfId="462" xr:uid="{00000000-0005-0000-0000-0000C8010000}"/>
    <cellStyle name="Percent 16 2" xfId="463" xr:uid="{00000000-0005-0000-0000-0000C9010000}"/>
    <cellStyle name="Percent 16 3" xfId="464" xr:uid="{00000000-0005-0000-0000-0000CA010000}"/>
    <cellStyle name="Percent 16 3 2" xfId="465" xr:uid="{00000000-0005-0000-0000-0000CB010000}"/>
    <cellStyle name="Percent 17" xfId="466" xr:uid="{00000000-0005-0000-0000-0000CC010000}"/>
    <cellStyle name="Percent 17 2" xfId="467" xr:uid="{00000000-0005-0000-0000-0000CD010000}"/>
    <cellStyle name="Percent 17 3" xfId="468" xr:uid="{00000000-0005-0000-0000-0000CE010000}"/>
    <cellStyle name="Percent 17 3 2" xfId="469" xr:uid="{00000000-0005-0000-0000-0000CF010000}"/>
    <cellStyle name="Percent 18" xfId="470" xr:uid="{00000000-0005-0000-0000-0000D0010000}"/>
    <cellStyle name="Percent 18 2" xfId="471" xr:uid="{00000000-0005-0000-0000-0000D1010000}"/>
    <cellStyle name="Percent 18 3" xfId="472" xr:uid="{00000000-0005-0000-0000-0000D2010000}"/>
    <cellStyle name="Percent 18 3 2" xfId="473" xr:uid="{00000000-0005-0000-0000-0000D3010000}"/>
    <cellStyle name="Percent 19" xfId="474" xr:uid="{00000000-0005-0000-0000-0000D4010000}"/>
    <cellStyle name="Percent 19 2" xfId="475" xr:uid="{00000000-0005-0000-0000-0000D5010000}"/>
    <cellStyle name="Percent 19 3" xfId="476" xr:uid="{00000000-0005-0000-0000-0000D6010000}"/>
    <cellStyle name="Percent 19 3 2" xfId="477" xr:uid="{00000000-0005-0000-0000-0000D7010000}"/>
    <cellStyle name="Percent 2" xfId="53" xr:uid="{00000000-0005-0000-0000-0000D8010000}"/>
    <cellStyle name="Percent 2 2" xfId="478" xr:uid="{00000000-0005-0000-0000-0000D9010000}"/>
    <cellStyle name="Percent 2 2 2" xfId="479" xr:uid="{00000000-0005-0000-0000-0000DA010000}"/>
    <cellStyle name="Percent 2 2 2 2" xfId="480" xr:uid="{00000000-0005-0000-0000-0000DB010000}"/>
    <cellStyle name="Percent 2 2 2 3" xfId="481" xr:uid="{00000000-0005-0000-0000-0000DC010000}"/>
    <cellStyle name="Percent 2 2 2 3 2" xfId="482" xr:uid="{00000000-0005-0000-0000-0000DD010000}"/>
    <cellStyle name="Percent 2 2 2 3 3" xfId="483" xr:uid="{00000000-0005-0000-0000-0000DE010000}"/>
    <cellStyle name="Percent 2 2 2 3 3 2" xfId="484" xr:uid="{00000000-0005-0000-0000-0000DF010000}"/>
    <cellStyle name="Percent 2 2 2 3 3 3" xfId="485" xr:uid="{00000000-0005-0000-0000-0000E0010000}"/>
    <cellStyle name="Percent 2 2 2 3 3 4" xfId="486" xr:uid="{00000000-0005-0000-0000-0000E1010000}"/>
    <cellStyle name="Percent 2 2 2 3 4" xfId="487" xr:uid="{00000000-0005-0000-0000-0000E2010000}"/>
    <cellStyle name="Percent 2 2 2 3 4 2" xfId="488" xr:uid="{00000000-0005-0000-0000-0000E3010000}"/>
    <cellStyle name="Percent 2 2 2 3 4 2 2" xfId="489" xr:uid="{00000000-0005-0000-0000-0000E4010000}"/>
    <cellStyle name="Percent 2 2 2 3 4 2 3" xfId="490" xr:uid="{00000000-0005-0000-0000-0000E5010000}"/>
    <cellStyle name="Percent 2 2 2 3 4 2 3 2" xfId="491" xr:uid="{00000000-0005-0000-0000-0000E6010000}"/>
    <cellStyle name="Percent 2 2 2 3 4 3" xfId="492" xr:uid="{00000000-0005-0000-0000-0000E7010000}"/>
    <cellStyle name="Percent 2 2 2 3 5" xfId="493" xr:uid="{00000000-0005-0000-0000-0000E8010000}"/>
    <cellStyle name="Percent 2 2 2 3 5 2" xfId="494" xr:uid="{00000000-0005-0000-0000-0000E9010000}"/>
    <cellStyle name="Percent 2 2 2 3 5 3" xfId="495" xr:uid="{00000000-0005-0000-0000-0000EA010000}"/>
    <cellStyle name="Percent 2 2 2 3 5 3 2" xfId="496" xr:uid="{00000000-0005-0000-0000-0000EB010000}"/>
    <cellStyle name="Percent 2 2 2 3 6" xfId="497" xr:uid="{00000000-0005-0000-0000-0000EC010000}"/>
    <cellStyle name="Percent 2 2 2 3 7" xfId="498" xr:uid="{00000000-0005-0000-0000-0000ED010000}"/>
    <cellStyle name="Percent 2 2 2 3 7 2" xfId="499" xr:uid="{00000000-0005-0000-0000-0000EE010000}"/>
    <cellStyle name="Percent 2 2 2 4" xfId="500" xr:uid="{00000000-0005-0000-0000-0000EF010000}"/>
    <cellStyle name="Percent 2 2 2 4 2" xfId="501" xr:uid="{00000000-0005-0000-0000-0000F0010000}"/>
    <cellStyle name="Percent 2 2 2 4 2 2" xfId="502" xr:uid="{00000000-0005-0000-0000-0000F1010000}"/>
    <cellStyle name="Percent 2 2 2 4 2 3" xfId="503" xr:uid="{00000000-0005-0000-0000-0000F2010000}"/>
    <cellStyle name="Percent 2 2 2 4 2 3 2" xfId="504" xr:uid="{00000000-0005-0000-0000-0000F3010000}"/>
    <cellStyle name="Percent 2 2 2 4 3" xfId="505" xr:uid="{00000000-0005-0000-0000-0000F4010000}"/>
    <cellStyle name="Percent 2 2 2 5" xfId="506" xr:uid="{00000000-0005-0000-0000-0000F5010000}"/>
    <cellStyle name="Percent 2 2 2 5 2" xfId="507" xr:uid="{00000000-0005-0000-0000-0000F6010000}"/>
    <cellStyle name="Percent 2 2 2 5 3" xfId="508" xr:uid="{00000000-0005-0000-0000-0000F7010000}"/>
    <cellStyle name="Percent 2 2 2 5 3 2" xfId="509" xr:uid="{00000000-0005-0000-0000-0000F8010000}"/>
    <cellStyle name="Percent 2 2 2 6" xfId="510" xr:uid="{00000000-0005-0000-0000-0000F9010000}"/>
    <cellStyle name="Percent 2 2 2 6 2" xfId="511" xr:uid="{00000000-0005-0000-0000-0000FA010000}"/>
    <cellStyle name="Percent 2 2 3" xfId="512" xr:uid="{00000000-0005-0000-0000-0000FB010000}"/>
    <cellStyle name="Percent 2 2 3 2" xfId="513" xr:uid="{00000000-0005-0000-0000-0000FC010000}"/>
    <cellStyle name="Percent 2 2 3 3" xfId="514" xr:uid="{00000000-0005-0000-0000-0000FD010000}"/>
    <cellStyle name="Percent 2 2 3 4" xfId="515" xr:uid="{00000000-0005-0000-0000-0000FE010000}"/>
    <cellStyle name="Percent 2 3" xfId="516" xr:uid="{00000000-0005-0000-0000-0000FF010000}"/>
    <cellStyle name="Percent 2 4" xfId="517" xr:uid="{00000000-0005-0000-0000-000000020000}"/>
    <cellStyle name="Percent 2 4 10" xfId="518" xr:uid="{00000000-0005-0000-0000-000001020000}"/>
    <cellStyle name="Percent 2 4 11" xfId="519" xr:uid="{00000000-0005-0000-0000-000002020000}"/>
    <cellStyle name="Percent 2 4 11 2" xfId="520" xr:uid="{00000000-0005-0000-0000-000003020000}"/>
    <cellStyle name="Percent 2 4 11 2 2" xfId="521" xr:uid="{00000000-0005-0000-0000-000004020000}"/>
    <cellStyle name="Percent 2 4 11 2 3" xfId="522" xr:uid="{00000000-0005-0000-0000-000005020000}"/>
    <cellStyle name="Percent 2 4 11 2 3 2" xfId="523" xr:uid="{00000000-0005-0000-0000-000006020000}"/>
    <cellStyle name="Percent 2 4 2" xfId="524" xr:uid="{00000000-0005-0000-0000-000007020000}"/>
    <cellStyle name="Percent 2 4 3" xfId="525" xr:uid="{00000000-0005-0000-0000-000008020000}"/>
    <cellStyle name="Percent 2 4 4" xfId="526" xr:uid="{00000000-0005-0000-0000-000009020000}"/>
    <cellStyle name="Percent 2 4 5" xfId="527" xr:uid="{00000000-0005-0000-0000-00000A020000}"/>
    <cellStyle name="Percent 2 4 5 2" xfId="528" xr:uid="{00000000-0005-0000-0000-00000B020000}"/>
    <cellStyle name="Percent 2 4 5 2 2" xfId="529" xr:uid="{00000000-0005-0000-0000-00000C020000}"/>
    <cellStyle name="Percent 2 4 5 2 3" xfId="530" xr:uid="{00000000-0005-0000-0000-00000D020000}"/>
    <cellStyle name="Percent 2 4 6" xfId="531" xr:uid="{00000000-0005-0000-0000-00000E020000}"/>
    <cellStyle name="Percent 2 4 7" xfId="532" xr:uid="{00000000-0005-0000-0000-00000F020000}"/>
    <cellStyle name="Percent 2 4 8" xfId="533" xr:uid="{00000000-0005-0000-0000-000010020000}"/>
    <cellStyle name="Percent 2 4 9" xfId="534" xr:uid="{00000000-0005-0000-0000-000011020000}"/>
    <cellStyle name="Percent 2 4 9 2" xfId="535" xr:uid="{00000000-0005-0000-0000-000012020000}"/>
    <cellStyle name="Percent 2 4 9 2 2" xfId="536" xr:uid="{00000000-0005-0000-0000-000013020000}"/>
    <cellStyle name="Percent 2 4 9 2 3" xfId="537" xr:uid="{00000000-0005-0000-0000-000014020000}"/>
    <cellStyle name="Percent 2 4 9 2 3 2" xfId="538" xr:uid="{00000000-0005-0000-0000-000015020000}"/>
    <cellStyle name="Percent 2 5" xfId="539" xr:uid="{00000000-0005-0000-0000-000016020000}"/>
    <cellStyle name="Percent 20" xfId="540" xr:uid="{00000000-0005-0000-0000-000017020000}"/>
    <cellStyle name="Percent 20 2" xfId="541" xr:uid="{00000000-0005-0000-0000-000018020000}"/>
    <cellStyle name="Percent 20 3" xfId="542" xr:uid="{00000000-0005-0000-0000-000019020000}"/>
    <cellStyle name="Percent 20 3 2" xfId="543" xr:uid="{00000000-0005-0000-0000-00001A020000}"/>
    <cellStyle name="Percent 21" xfId="544" xr:uid="{00000000-0005-0000-0000-00001B020000}"/>
    <cellStyle name="Percent 21 2" xfId="545" xr:uid="{00000000-0005-0000-0000-00001C020000}"/>
    <cellStyle name="Percent 21 3" xfId="546" xr:uid="{00000000-0005-0000-0000-00001D020000}"/>
    <cellStyle name="Percent 21 3 2" xfId="547" xr:uid="{00000000-0005-0000-0000-00001E020000}"/>
    <cellStyle name="Percent 22" xfId="548" xr:uid="{00000000-0005-0000-0000-00001F020000}"/>
    <cellStyle name="Percent 22 2" xfId="549" xr:uid="{00000000-0005-0000-0000-000020020000}"/>
    <cellStyle name="Percent 23" xfId="550" xr:uid="{00000000-0005-0000-0000-000021020000}"/>
    <cellStyle name="Percent 23 2" xfId="551" xr:uid="{00000000-0005-0000-0000-000022020000}"/>
    <cellStyle name="Percent 24" xfId="552" xr:uid="{00000000-0005-0000-0000-000023020000}"/>
    <cellStyle name="Percent 25" xfId="553" xr:uid="{00000000-0005-0000-0000-000024020000}"/>
    <cellStyle name="Percent 25 2" xfId="554" xr:uid="{00000000-0005-0000-0000-000025020000}"/>
    <cellStyle name="Percent 25 3" xfId="555" xr:uid="{00000000-0005-0000-0000-000026020000}"/>
    <cellStyle name="Percent 25 3 2" xfId="556" xr:uid="{00000000-0005-0000-0000-000027020000}"/>
    <cellStyle name="Percent 26" xfId="557" xr:uid="{00000000-0005-0000-0000-000028020000}"/>
    <cellStyle name="Percent 27" xfId="558" xr:uid="{00000000-0005-0000-0000-000029020000}"/>
    <cellStyle name="Percent 27 2" xfId="559" xr:uid="{00000000-0005-0000-0000-00002A020000}"/>
    <cellStyle name="Percent 3" xfId="560" xr:uid="{00000000-0005-0000-0000-00002B020000}"/>
    <cellStyle name="Percent 3 2" xfId="561" xr:uid="{00000000-0005-0000-0000-00002C020000}"/>
    <cellStyle name="Percent 3 2 2" xfId="562" xr:uid="{00000000-0005-0000-0000-00002D020000}"/>
    <cellStyle name="Percent 3 2 3" xfId="563" xr:uid="{00000000-0005-0000-0000-00002E020000}"/>
    <cellStyle name="Percent 3 2 3 2" xfId="564" xr:uid="{00000000-0005-0000-0000-00002F020000}"/>
    <cellStyle name="Percent 3 2 3 3" xfId="565" xr:uid="{00000000-0005-0000-0000-000030020000}"/>
    <cellStyle name="Percent 3 2 3 4" xfId="566" xr:uid="{00000000-0005-0000-0000-000031020000}"/>
    <cellStyle name="Percent 3 2 4" xfId="567" xr:uid="{00000000-0005-0000-0000-000032020000}"/>
    <cellStyle name="Percent 3 2 4 2" xfId="568" xr:uid="{00000000-0005-0000-0000-000033020000}"/>
    <cellStyle name="Percent 3 2 4 2 2" xfId="569" xr:uid="{00000000-0005-0000-0000-000034020000}"/>
    <cellStyle name="Percent 3 2 4 2 3" xfId="570" xr:uid="{00000000-0005-0000-0000-000035020000}"/>
    <cellStyle name="Percent 3 2 4 2 3 2" xfId="571" xr:uid="{00000000-0005-0000-0000-000036020000}"/>
    <cellStyle name="Percent 3 2 4 3" xfId="572" xr:uid="{00000000-0005-0000-0000-000037020000}"/>
    <cellStyle name="Percent 3 2 5" xfId="573" xr:uid="{00000000-0005-0000-0000-000038020000}"/>
    <cellStyle name="Percent 3 2 5 2" xfId="574" xr:uid="{00000000-0005-0000-0000-000039020000}"/>
    <cellStyle name="Percent 3 2 5 3" xfId="575" xr:uid="{00000000-0005-0000-0000-00003A020000}"/>
    <cellStyle name="Percent 3 2 5 3 2" xfId="576" xr:uid="{00000000-0005-0000-0000-00003B020000}"/>
    <cellStyle name="Percent 3 2 6" xfId="577" xr:uid="{00000000-0005-0000-0000-00003C020000}"/>
    <cellStyle name="Percent 3 2 7" xfId="578" xr:uid="{00000000-0005-0000-0000-00003D020000}"/>
    <cellStyle name="Percent 3 2 7 2" xfId="579" xr:uid="{00000000-0005-0000-0000-00003E020000}"/>
    <cellStyle name="Percent 3 3" xfId="580" xr:uid="{00000000-0005-0000-0000-00003F020000}"/>
    <cellStyle name="Percent 3 4" xfId="581" xr:uid="{00000000-0005-0000-0000-000040020000}"/>
    <cellStyle name="Percent 3 5" xfId="582" xr:uid="{00000000-0005-0000-0000-000041020000}"/>
    <cellStyle name="Percent 3 5 2" xfId="583" xr:uid="{00000000-0005-0000-0000-000042020000}"/>
    <cellStyle name="Percent 3 5 3" xfId="584" xr:uid="{00000000-0005-0000-0000-000043020000}"/>
    <cellStyle name="Percent 3 5 4" xfId="585" xr:uid="{00000000-0005-0000-0000-000044020000}"/>
    <cellStyle name="Percent 4" xfId="586" xr:uid="{00000000-0005-0000-0000-000045020000}"/>
    <cellStyle name="Percent 4 2" xfId="587" xr:uid="{00000000-0005-0000-0000-000046020000}"/>
    <cellStyle name="Percent 4 3" xfId="588" xr:uid="{00000000-0005-0000-0000-000047020000}"/>
    <cellStyle name="Percent 4 3 2" xfId="589" xr:uid="{00000000-0005-0000-0000-000048020000}"/>
    <cellStyle name="Percent 4 3 3" xfId="590" xr:uid="{00000000-0005-0000-0000-000049020000}"/>
    <cellStyle name="Percent 4 3 4" xfId="591" xr:uid="{00000000-0005-0000-0000-00004A020000}"/>
    <cellStyle name="Percent 4 4" xfId="592" xr:uid="{00000000-0005-0000-0000-00004B020000}"/>
    <cellStyle name="Percent 4 4 2" xfId="593" xr:uid="{00000000-0005-0000-0000-00004C020000}"/>
    <cellStyle name="Percent 4 4 2 2" xfId="594" xr:uid="{00000000-0005-0000-0000-00004D020000}"/>
    <cellStyle name="Percent 4 4 2 3" xfId="595" xr:uid="{00000000-0005-0000-0000-00004E020000}"/>
    <cellStyle name="Percent 4 4 2 3 2" xfId="596" xr:uid="{00000000-0005-0000-0000-00004F020000}"/>
    <cellStyle name="Percent 4 4 3" xfId="597" xr:uid="{00000000-0005-0000-0000-000050020000}"/>
    <cellStyle name="Percent 4 5" xfId="598" xr:uid="{00000000-0005-0000-0000-000051020000}"/>
    <cellStyle name="Percent 4 5 2" xfId="599" xr:uid="{00000000-0005-0000-0000-000052020000}"/>
    <cellStyle name="Percent 4 5 3" xfId="600" xr:uid="{00000000-0005-0000-0000-000053020000}"/>
    <cellStyle name="Percent 4 5 3 2" xfId="601" xr:uid="{00000000-0005-0000-0000-000054020000}"/>
    <cellStyle name="Percent 4 6" xfId="602" xr:uid="{00000000-0005-0000-0000-000055020000}"/>
    <cellStyle name="Percent 4 7" xfId="603" xr:uid="{00000000-0005-0000-0000-000056020000}"/>
    <cellStyle name="Percent 4 7 2" xfId="604" xr:uid="{00000000-0005-0000-0000-000057020000}"/>
    <cellStyle name="Percent 5" xfId="605" xr:uid="{00000000-0005-0000-0000-000058020000}"/>
    <cellStyle name="Percent 5 2" xfId="606" xr:uid="{00000000-0005-0000-0000-000059020000}"/>
    <cellStyle name="Percent 5 3" xfId="607" xr:uid="{00000000-0005-0000-0000-00005A020000}"/>
    <cellStyle name="Percent 5 3 2" xfId="608" xr:uid="{00000000-0005-0000-0000-00005B020000}"/>
    <cellStyle name="Percent 5 3 3" xfId="609" xr:uid="{00000000-0005-0000-0000-00005C020000}"/>
    <cellStyle name="Percent 5 4" xfId="610" xr:uid="{00000000-0005-0000-0000-00005D020000}"/>
    <cellStyle name="Percent 5 4 2" xfId="611" xr:uid="{00000000-0005-0000-0000-00005E020000}"/>
    <cellStyle name="Percent 5 4 3" xfId="612" xr:uid="{00000000-0005-0000-0000-00005F020000}"/>
    <cellStyle name="Percent 5 4 4" xfId="613" xr:uid="{00000000-0005-0000-0000-000060020000}"/>
    <cellStyle name="Percent 5 5" xfId="614" xr:uid="{00000000-0005-0000-0000-000061020000}"/>
    <cellStyle name="Percent 5 5 2" xfId="615" xr:uid="{00000000-0005-0000-0000-000062020000}"/>
    <cellStyle name="Percent 5 5 2 2" xfId="616" xr:uid="{00000000-0005-0000-0000-000063020000}"/>
    <cellStyle name="Percent 5 5 2 3" xfId="617" xr:uid="{00000000-0005-0000-0000-000064020000}"/>
    <cellStyle name="Percent 5 5 2 3 2" xfId="618" xr:uid="{00000000-0005-0000-0000-000065020000}"/>
    <cellStyle name="Percent 5 5 3" xfId="619" xr:uid="{00000000-0005-0000-0000-000066020000}"/>
    <cellStyle name="Percent 5 6" xfId="620" xr:uid="{00000000-0005-0000-0000-000067020000}"/>
    <cellStyle name="Percent 5 6 2" xfId="621" xr:uid="{00000000-0005-0000-0000-000068020000}"/>
    <cellStyle name="Percent 5 6 3" xfId="622" xr:uid="{00000000-0005-0000-0000-000069020000}"/>
    <cellStyle name="Percent 5 6 3 2" xfId="623" xr:uid="{00000000-0005-0000-0000-00006A020000}"/>
    <cellStyle name="Percent 5 7" xfId="624" xr:uid="{00000000-0005-0000-0000-00006B020000}"/>
    <cellStyle name="Percent 5 8" xfId="625" xr:uid="{00000000-0005-0000-0000-00006C020000}"/>
    <cellStyle name="Percent 5 8 2" xfId="626" xr:uid="{00000000-0005-0000-0000-00006D020000}"/>
    <cellStyle name="Percent 5 9" xfId="627" xr:uid="{00000000-0005-0000-0000-00006E020000}"/>
    <cellStyle name="Percent 5 9 2" xfId="628" xr:uid="{00000000-0005-0000-0000-00006F020000}"/>
    <cellStyle name="Percent 5 9 3" xfId="629" xr:uid="{00000000-0005-0000-0000-000070020000}"/>
    <cellStyle name="Percent 5 9 3 2" xfId="630" xr:uid="{00000000-0005-0000-0000-000071020000}"/>
    <cellStyle name="Percent 6" xfId="631" xr:uid="{00000000-0005-0000-0000-000072020000}"/>
    <cellStyle name="Percent 6 10" xfId="632" xr:uid="{00000000-0005-0000-0000-000073020000}"/>
    <cellStyle name="Percent 6 11" xfId="633" xr:uid="{00000000-0005-0000-0000-000074020000}"/>
    <cellStyle name="Percent 6 11 2" xfId="634" xr:uid="{00000000-0005-0000-0000-000075020000}"/>
    <cellStyle name="Percent 6 11 2 2" xfId="635" xr:uid="{00000000-0005-0000-0000-000076020000}"/>
    <cellStyle name="Percent 6 11 2 3" xfId="636" xr:uid="{00000000-0005-0000-0000-000077020000}"/>
    <cellStyle name="Percent 6 11 2 3 2" xfId="637" xr:uid="{00000000-0005-0000-0000-000078020000}"/>
    <cellStyle name="Percent 6 12" xfId="638" xr:uid="{00000000-0005-0000-0000-000079020000}"/>
    <cellStyle name="Percent 6 13" xfId="639" xr:uid="{00000000-0005-0000-0000-00007A020000}"/>
    <cellStyle name="Percent 6 13 2" xfId="640" xr:uid="{00000000-0005-0000-0000-00007B020000}"/>
    <cellStyle name="Percent 6 13 2 2" xfId="641" xr:uid="{00000000-0005-0000-0000-00007C020000}"/>
    <cellStyle name="Percent 6 13 2 3" xfId="642" xr:uid="{00000000-0005-0000-0000-00007D020000}"/>
    <cellStyle name="Percent 6 13 2 3 2" xfId="643" xr:uid="{00000000-0005-0000-0000-00007E020000}"/>
    <cellStyle name="Percent 6 14" xfId="644" xr:uid="{00000000-0005-0000-0000-00007F020000}"/>
    <cellStyle name="Percent 6 14 2" xfId="645" xr:uid="{00000000-0005-0000-0000-000080020000}"/>
    <cellStyle name="Percent 6 15" xfId="646" xr:uid="{00000000-0005-0000-0000-000081020000}"/>
    <cellStyle name="Percent 6 16" xfId="647" xr:uid="{00000000-0005-0000-0000-000082020000}"/>
    <cellStyle name="Percent 6 16 2" xfId="648" xr:uid="{00000000-0005-0000-0000-000083020000}"/>
    <cellStyle name="Percent 6 2" xfId="649" xr:uid="{00000000-0005-0000-0000-000084020000}"/>
    <cellStyle name="Percent 6 3" xfId="650" xr:uid="{00000000-0005-0000-0000-000085020000}"/>
    <cellStyle name="Percent 6 4" xfId="651" xr:uid="{00000000-0005-0000-0000-000086020000}"/>
    <cellStyle name="Percent 6 5" xfId="652" xr:uid="{00000000-0005-0000-0000-000087020000}"/>
    <cellStyle name="Percent 6 6" xfId="653" xr:uid="{00000000-0005-0000-0000-000088020000}"/>
    <cellStyle name="Percent 6 7" xfId="654" xr:uid="{00000000-0005-0000-0000-000089020000}"/>
    <cellStyle name="Percent 6 7 2" xfId="655" xr:uid="{00000000-0005-0000-0000-00008A020000}"/>
    <cellStyle name="Percent 6 7 2 2" xfId="656" xr:uid="{00000000-0005-0000-0000-00008B020000}"/>
    <cellStyle name="Percent 6 7 2 3" xfId="657" xr:uid="{00000000-0005-0000-0000-00008C020000}"/>
    <cellStyle name="Percent 6 8" xfId="658" xr:uid="{00000000-0005-0000-0000-00008D020000}"/>
    <cellStyle name="Percent 6 9" xfId="659" xr:uid="{00000000-0005-0000-0000-00008E020000}"/>
    <cellStyle name="Percent 7" xfId="660" xr:uid="{00000000-0005-0000-0000-00008F020000}"/>
    <cellStyle name="Percent 7 10" xfId="661" xr:uid="{00000000-0005-0000-0000-000090020000}"/>
    <cellStyle name="Percent 7 11" xfId="662" xr:uid="{00000000-0005-0000-0000-000091020000}"/>
    <cellStyle name="Percent 7 11 2" xfId="663" xr:uid="{00000000-0005-0000-0000-000092020000}"/>
    <cellStyle name="Percent 7 11 2 2" xfId="664" xr:uid="{00000000-0005-0000-0000-000093020000}"/>
    <cellStyle name="Percent 7 11 2 3" xfId="665" xr:uid="{00000000-0005-0000-0000-000094020000}"/>
    <cellStyle name="Percent 7 11 2 3 2" xfId="666" xr:uid="{00000000-0005-0000-0000-000095020000}"/>
    <cellStyle name="Percent 7 12" xfId="667" xr:uid="{00000000-0005-0000-0000-000096020000}"/>
    <cellStyle name="Percent 7 12 2" xfId="668" xr:uid="{00000000-0005-0000-0000-000097020000}"/>
    <cellStyle name="Percent 7 13" xfId="669" xr:uid="{00000000-0005-0000-0000-000098020000}"/>
    <cellStyle name="Percent 7 14" xfId="670" xr:uid="{00000000-0005-0000-0000-000099020000}"/>
    <cellStyle name="Percent 7 14 2" xfId="671" xr:uid="{00000000-0005-0000-0000-00009A020000}"/>
    <cellStyle name="Percent 7 2" xfId="672" xr:uid="{00000000-0005-0000-0000-00009B020000}"/>
    <cellStyle name="Percent 7 3" xfId="673" xr:uid="{00000000-0005-0000-0000-00009C020000}"/>
    <cellStyle name="Percent 7 4" xfId="674" xr:uid="{00000000-0005-0000-0000-00009D020000}"/>
    <cellStyle name="Percent 7 5" xfId="675" xr:uid="{00000000-0005-0000-0000-00009E020000}"/>
    <cellStyle name="Percent 7 5 2" xfId="676" xr:uid="{00000000-0005-0000-0000-00009F020000}"/>
    <cellStyle name="Percent 7 5 2 2" xfId="677" xr:uid="{00000000-0005-0000-0000-0000A0020000}"/>
    <cellStyle name="Percent 7 5 2 3" xfId="678" xr:uid="{00000000-0005-0000-0000-0000A1020000}"/>
    <cellStyle name="Percent 7 5 2 4" xfId="679" xr:uid="{00000000-0005-0000-0000-0000A2020000}"/>
    <cellStyle name="Percent 7 6" xfId="680" xr:uid="{00000000-0005-0000-0000-0000A3020000}"/>
    <cellStyle name="Percent 7 7" xfId="681" xr:uid="{00000000-0005-0000-0000-0000A4020000}"/>
    <cellStyle name="Percent 7 8" xfId="682" xr:uid="{00000000-0005-0000-0000-0000A5020000}"/>
    <cellStyle name="Percent 7 9" xfId="683" xr:uid="{00000000-0005-0000-0000-0000A6020000}"/>
    <cellStyle name="Percent 7 9 2" xfId="684" xr:uid="{00000000-0005-0000-0000-0000A7020000}"/>
    <cellStyle name="Percent 7 9 2 2" xfId="685" xr:uid="{00000000-0005-0000-0000-0000A8020000}"/>
    <cellStyle name="Percent 7 9 2 3" xfId="686" xr:uid="{00000000-0005-0000-0000-0000A9020000}"/>
    <cellStyle name="Percent 7 9 2 3 2" xfId="687" xr:uid="{00000000-0005-0000-0000-0000AA020000}"/>
    <cellStyle name="Percent 8" xfId="688" xr:uid="{00000000-0005-0000-0000-0000AB020000}"/>
    <cellStyle name="Percent 8 2" xfId="689" xr:uid="{00000000-0005-0000-0000-0000AC020000}"/>
    <cellStyle name="Percent 8 3" xfId="690" xr:uid="{00000000-0005-0000-0000-0000AD020000}"/>
    <cellStyle name="Percent 8 4" xfId="691" xr:uid="{00000000-0005-0000-0000-0000AE020000}"/>
    <cellStyle name="Percent 8 5" xfId="692" xr:uid="{00000000-0005-0000-0000-0000AF020000}"/>
    <cellStyle name="Percent 9" xfId="693" xr:uid="{00000000-0005-0000-0000-0000B0020000}"/>
    <cellStyle name="Percent 9 2" xfId="694" xr:uid="{00000000-0005-0000-0000-0000B1020000}"/>
    <cellStyle name="Percent 9 3" xfId="695" xr:uid="{00000000-0005-0000-0000-0000B2020000}"/>
    <cellStyle name="Percent 9 4" xfId="696" xr:uid="{00000000-0005-0000-0000-0000B3020000}"/>
    <cellStyle name="Percent 9 5" xfId="697" xr:uid="{00000000-0005-0000-0000-0000B4020000}"/>
    <cellStyle name="PSChar" xfId="5" xr:uid="{00000000-0005-0000-0000-0000B5020000}"/>
    <cellStyle name="PSChar 2" xfId="698" xr:uid="{00000000-0005-0000-0000-0000B6020000}"/>
    <cellStyle name="PSChar 2 2" xfId="699" xr:uid="{00000000-0005-0000-0000-0000B7020000}"/>
    <cellStyle name="PSChar 2 2 2" xfId="700" xr:uid="{00000000-0005-0000-0000-0000B8020000}"/>
    <cellStyle name="PSChar 3" xfId="701" xr:uid="{00000000-0005-0000-0000-0000B9020000}"/>
    <cellStyle name="PSChar 3 2" xfId="702" xr:uid="{00000000-0005-0000-0000-0000BA020000}"/>
    <cellStyle name="PSChar 4" xfId="703" xr:uid="{00000000-0005-0000-0000-0000BB020000}"/>
    <cellStyle name="PSChar 4 2" xfId="704" xr:uid="{00000000-0005-0000-0000-0000BC020000}"/>
    <cellStyle name="PSChar 5" xfId="705" xr:uid="{00000000-0005-0000-0000-0000BD020000}"/>
    <cellStyle name="PSChar 5 2" xfId="706" xr:uid="{00000000-0005-0000-0000-0000BE020000}"/>
    <cellStyle name="PSChar 5 3" xfId="707" xr:uid="{00000000-0005-0000-0000-0000BF020000}"/>
    <cellStyle name="PSChar 5 3 2" xfId="708" xr:uid="{00000000-0005-0000-0000-0000C0020000}"/>
    <cellStyle name="PSChar 6" xfId="709" xr:uid="{00000000-0005-0000-0000-0000C1020000}"/>
    <cellStyle name="PSChar 6 2" xfId="710" xr:uid="{00000000-0005-0000-0000-0000C2020000}"/>
    <cellStyle name="PSChar 7" xfId="711" xr:uid="{00000000-0005-0000-0000-0000C3020000}"/>
    <cellStyle name="PSChar 8" xfId="712" xr:uid="{00000000-0005-0000-0000-0000C4020000}"/>
    <cellStyle name="PSChar 9" xfId="713" xr:uid="{00000000-0005-0000-0000-0000C5020000}"/>
    <cellStyle name="PSDate" xfId="6" xr:uid="{00000000-0005-0000-0000-0000C6020000}"/>
    <cellStyle name="PSDate 2" xfId="714" xr:uid="{00000000-0005-0000-0000-0000C7020000}"/>
    <cellStyle name="PSDate 2 2" xfId="715" xr:uid="{00000000-0005-0000-0000-0000C8020000}"/>
    <cellStyle name="PSDate 2 2 2" xfId="716" xr:uid="{00000000-0005-0000-0000-0000C9020000}"/>
    <cellStyle name="PSDate 3" xfId="717" xr:uid="{00000000-0005-0000-0000-0000CA020000}"/>
    <cellStyle name="PSDate 3 2" xfId="718" xr:uid="{00000000-0005-0000-0000-0000CB020000}"/>
    <cellStyle name="PSDate 4" xfId="719" xr:uid="{00000000-0005-0000-0000-0000CC020000}"/>
    <cellStyle name="PSDate 4 2" xfId="720" xr:uid="{00000000-0005-0000-0000-0000CD020000}"/>
    <cellStyle name="PSDate 5" xfId="721" xr:uid="{00000000-0005-0000-0000-0000CE020000}"/>
    <cellStyle name="PSDate 5 2" xfId="722" xr:uid="{00000000-0005-0000-0000-0000CF020000}"/>
    <cellStyle name="PSDate 5 3" xfId="723" xr:uid="{00000000-0005-0000-0000-0000D0020000}"/>
    <cellStyle name="PSDate 5 3 2" xfId="724" xr:uid="{00000000-0005-0000-0000-0000D1020000}"/>
    <cellStyle name="PSDate 6" xfId="725" xr:uid="{00000000-0005-0000-0000-0000D2020000}"/>
    <cellStyle name="PSDate 6 2" xfId="726" xr:uid="{00000000-0005-0000-0000-0000D3020000}"/>
    <cellStyle name="PSDate 7" xfId="727" xr:uid="{00000000-0005-0000-0000-0000D4020000}"/>
    <cellStyle name="PSDate 8" xfId="728" xr:uid="{00000000-0005-0000-0000-0000D5020000}"/>
    <cellStyle name="PSDec" xfId="7" xr:uid="{00000000-0005-0000-0000-0000D6020000}"/>
    <cellStyle name="PSDec 2" xfId="729" xr:uid="{00000000-0005-0000-0000-0000D7020000}"/>
    <cellStyle name="PSDec 2 2" xfId="730" xr:uid="{00000000-0005-0000-0000-0000D8020000}"/>
    <cellStyle name="PSDec 2 2 2" xfId="731" xr:uid="{00000000-0005-0000-0000-0000D9020000}"/>
    <cellStyle name="PSDec 3" xfId="732" xr:uid="{00000000-0005-0000-0000-0000DA020000}"/>
    <cellStyle name="PSDec 3 2" xfId="733" xr:uid="{00000000-0005-0000-0000-0000DB020000}"/>
    <cellStyle name="PSDec 4" xfId="734" xr:uid="{00000000-0005-0000-0000-0000DC020000}"/>
    <cellStyle name="PSDec 4 2" xfId="735" xr:uid="{00000000-0005-0000-0000-0000DD020000}"/>
    <cellStyle name="PSDec 5" xfId="736" xr:uid="{00000000-0005-0000-0000-0000DE020000}"/>
    <cellStyle name="PSDec 5 2" xfId="737" xr:uid="{00000000-0005-0000-0000-0000DF020000}"/>
    <cellStyle name="PSDec 5 3" xfId="738" xr:uid="{00000000-0005-0000-0000-0000E0020000}"/>
    <cellStyle name="PSDec 5 3 2" xfId="739" xr:uid="{00000000-0005-0000-0000-0000E1020000}"/>
    <cellStyle name="PSDec 6" xfId="740" xr:uid="{00000000-0005-0000-0000-0000E2020000}"/>
    <cellStyle name="PSDec 6 2" xfId="741" xr:uid="{00000000-0005-0000-0000-0000E3020000}"/>
    <cellStyle name="PSDec 7" xfId="742" xr:uid="{00000000-0005-0000-0000-0000E4020000}"/>
    <cellStyle name="PSDec 8" xfId="743" xr:uid="{00000000-0005-0000-0000-0000E5020000}"/>
    <cellStyle name="PSDec 9" xfId="744" xr:uid="{00000000-0005-0000-0000-0000E6020000}"/>
    <cellStyle name="PSHeading" xfId="8" xr:uid="{00000000-0005-0000-0000-0000E7020000}"/>
    <cellStyle name="PSHeading 2" xfId="745" xr:uid="{00000000-0005-0000-0000-0000E8020000}"/>
    <cellStyle name="PSHeading 2 2" xfId="746" xr:uid="{00000000-0005-0000-0000-0000E9020000}"/>
    <cellStyle name="PSHeading 2 2 2" xfId="747" xr:uid="{00000000-0005-0000-0000-0000EA020000}"/>
    <cellStyle name="PSHeading 2 2 3" xfId="748" xr:uid="{00000000-0005-0000-0000-0000EB020000}"/>
    <cellStyle name="PSHeading 3" xfId="749" xr:uid="{00000000-0005-0000-0000-0000EC020000}"/>
    <cellStyle name="PSHeading 3 2" xfId="750" xr:uid="{00000000-0005-0000-0000-0000ED020000}"/>
    <cellStyle name="PSHeading 3 3" xfId="751" xr:uid="{00000000-0005-0000-0000-0000EE020000}"/>
    <cellStyle name="PSHeading 3 3 2" xfId="752" xr:uid="{00000000-0005-0000-0000-0000EF020000}"/>
    <cellStyle name="PSHeading 4" xfId="753" xr:uid="{00000000-0005-0000-0000-0000F0020000}"/>
    <cellStyle name="PSHeading 5" xfId="754" xr:uid="{00000000-0005-0000-0000-0000F1020000}"/>
    <cellStyle name="PSInt" xfId="9" xr:uid="{00000000-0005-0000-0000-0000F2020000}"/>
    <cellStyle name="PSInt 2" xfId="755" xr:uid="{00000000-0005-0000-0000-0000F3020000}"/>
    <cellStyle name="PSInt 2 2" xfId="756" xr:uid="{00000000-0005-0000-0000-0000F4020000}"/>
    <cellStyle name="PSInt 2 2 2" xfId="757" xr:uid="{00000000-0005-0000-0000-0000F5020000}"/>
    <cellStyle name="PSInt 3" xfId="758" xr:uid="{00000000-0005-0000-0000-0000F6020000}"/>
    <cellStyle name="PSInt 3 2" xfId="759" xr:uid="{00000000-0005-0000-0000-0000F7020000}"/>
    <cellStyle name="PSInt 4" xfId="760" xr:uid="{00000000-0005-0000-0000-0000F8020000}"/>
    <cellStyle name="PSInt 4 2" xfId="761" xr:uid="{00000000-0005-0000-0000-0000F9020000}"/>
    <cellStyle name="PSInt 5" xfId="762" xr:uid="{00000000-0005-0000-0000-0000FA020000}"/>
    <cellStyle name="PSInt 5 2" xfId="763" xr:uid="{00000000-0005-0000-0000-0000FB020000}"/>
    <cellStyle name="PSInt 5 3" xfId="764" xr:uid="{00000000-0005-0000-0000-0000FC020000}"/>
    <cellStyle name="PSInt 5 3 2" xfId="765" xr:uid="{00000000-0005-0000-0000-0000FD020000}"/>
    <cellStyle name="PSInt 6" xfId="766" xr:uid="{00000000-0005-0000-0000-0000FE020000}"/>
    <cellStyle name="PSInt 6 2" xfId="767" xr:uid="{00000000-0005-0000-0000-0000FF020000}"/>
    <cellStyle name="PSInt 7" xfId="768" xr:uid="{00000000-0005-0000-0000-000000030000}"/>
    <cellStyle name="PSInt 8" xfId="769" xr:uid="{00000000-0005-0000-0000-000001030000}"/>
    <cellStyle name="PSInt 9" xfId="770" xr:uid="{00000000-0005-0000-0000-000002030000}"/>
    <cellStyle name="PSSpacer" xfId="10" xr:uid="{00000000-0005-0000-0000-000003030000}"/>
    <cellStyle name="PSSpacer 2" xfId="771" xr:uid="{00000000-0005-0000-0000-000004030000}"/>
    <cellStyle name="PSSpacer 2 2" xfId="772" xr:uid="{00000000-0005-0000-0000-000005030000}"/>
    <cellStyle name="PSSpacer 3" xfId="773" xr:uid="{00000000-0005-0000-0000-000006030000}"/>
    <cellStyle name="PSSpacer 3 2" xfId="774" xr:uid="{00000000-0005-0000-0000-000007030000}"/>
    <cellStyle name="PSSpacer 4" xfId="775" xr:uid="{00000000-0005-0000-0000-000008030000}"/>
    <cellStyle name="PSSpacer 4 2" xfId="776" xr:uid="{00000000-0005-0000-0000-000009030000}"/>
    <cellStyle name="PSSpacer 5" xfId="777" xr:uid="{00000000-0005-0000-0000-00000A030000}"/>
    <cellStyle name="PSSpacer 5 2" xfId="778" xr:uid="{00000000-0005-0000-0000-00000B030000}"/>
    <cellStyle name="PSSpacer 5 3" xfId="779" xr:uid="{00000000-0005-0000-0000-00000C030000}"/>
    <cellStyle name="PSSpacer 5 3 2" xfId="780" xr:uid="{00000000-0005-0000-0000-00000D030000}"/>
    <cellStyle name="PSSpacer 6" xfId="781" xr:uid="{00000000-0005-0000-0000-00000E030000}"/>
    <cellStyle name="PSSpacer 6 2" xfId="782" xr:uid="{00000000-0005-0000-0000-00000F030000}"/>
    <cellStyle name="PSSpacer 7" xfId="783" xr:uid="{00000000-0005-0000-0000-000010030000}"/>
    <cellStyle name="PSSpacer 8" xfId="784" xr:uid="{00000000-0005-0000-0000-000011030000}"/>
    <cellStyle name="Title 2" xfId="50" xr:uid="{00000000-0005-0000-0000-000012030000}"/>
    <cellStyle name="Total 2" xfId="51" xr:uid="{00000000-0005-0000-0000-000013030000}"/>
    <cellStyle name="Warning Text 2" xfId="52" xr:uid="{00000000-0005-0000-0000-000014030000}"/>
  </cellStyles>
  <dxfs count="0"/>
  <tableStyles count="0" defaultTableStyle="TableStyleMedium2" defaultPivotStyle="PivotStyleLight16"/>
  <colors>
    <mruColors>
      <color rgb="FFFFCCFF"/>
      <color rgb="FFCCFFFF"/>
      <color rgb="FFCCFFCC"/>
      <color rgb="FFFFFFCC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ternal\Regulatory%20Services\2014%20Compliance%20Plan\Workpapers\Mitchell%20Environmental%20Expenses,%201-1-14%20--%209-30-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VY"/>
      <sheetName val="FGD"/>
      <sheetName val="Non-FGD"/>
      <sheetName val="Depreciation"/>
      <sheetName val="February"/>
      <sheetName val="March"/>
      <sheetName val="April"/>
      <sheetName val="May"/>
      <sheetName val="June"/>
      <sheetName val="July"/>
      <sheetName val="August"/>
      <sheetName val="September"/>
      <sheetName val="October"/>
      <sheetName val="ADFIT"/>
      <sheetName val="S2"/>
      <sheetName val="AN"/>
      <sheetName val="NOx"/>
      <sheetName val="Cash Working Capital"/>
      <sheetName val="Property Tax"/>
      <sheetName val="Summary"/>
      <sheetName val="Precipitator O &amp; 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2">
          <cell r="B2">
            <v>2.1464E-2</v>
          </cell>
        </row>
        <row r="4">
          <cell r="B4">
            <v>0.6</v>
          </cell>
        </row>
        <row r="6">
          <cell r="B6">
            <v>0.05</v>
          </cell>
        </row>
      </sheetData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4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4" Type="http://schemas.openxmlformats.org/officeDocument/2006/relationships/printerSettings" Target="../printerSettings/printerSettings19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23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6.bin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Relationship Id="rId4" Type="http://schemas.openxmlformats.org/officeDocument/2006/relationships/printerSettings" Target="../printerSettings/printerSettings2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4"/>
  <sheetViews>
    <sheetView showGridLines="0" tabSelected="1" zoomScaleNormal="100" workbookViewId="0"/>
  </sheetViews>
  <sheetFormatPr defaultColWidth="9.140625" defaultRowHeight="12.75"/>
  <cols>
    <col min="1" max="1" width="6.28515625" style="16" customWidth="1"/>
    <col min="2" max="2" width="28.42578125" style="15" customWidth="1"/>
    <col min="3" max="3" width="15.7109375" style="15" customWidth="1"/>
    <col min="4" max="4" width="16.28515625" style="15" customWidth="1"/>
    <col min="5" max="5" width="13.140625" style="15" customWidth="1"/>
    <col min="6" max="6" width="7.7109375" style="15" customWidth="1"/>
    <col min="7" max="7" width="14.85546875" style="15" bestFit="1" customWidth="1"/>
    <col min="8" max="8" width="3.42578125" style="52" customWidth="1"/>
    <col min="9" max="9" width="13.140625" style="15" customWidth="1"/>
    <col min="10" max="10" width="9.140625" style="15"/>
    <col min="11" max="11" width="12.5703125" style="15" bestFit="1" customWidth="1"/>
    <col min="12" max="12" width="9.140625" style="15"/>
    <col min="13" max="13" width="10" style="15" bestFit="1" customWidth="1"/>
    <col min="14" max="16384" width="9.140625" style="15"/>
  </cols>
  <sheetData>
    <row r="1" spans="1:13" ht="6" customHeight="1"/>
    <row r="2" spans="1:13" ht="12.75" customHeight="1">
      <c r="A2" s="282" t="s">
        <v>0</v>
      </c>
      <c r="B2" s="282"/>
      <c r="C2" s="282"/>
      <c r="D2" s="282"/>
      <c r="E2" s="282"/>
      <c r="F2" s="282"/>
      <c r="G2" s="282"/>
    </row>
    <row r="3" spans="1:13">
      <c r="A3" s="283" t="s">
        <v>235</v>
      </c>
      <c r="B3" s="283"/>
      <c r="C3" s="283"/>
      <c r="D3" s="283"/>
      <c r="E3" s="283"/>
      <c r="F3" s="283"/>
      <c r="G3" s="283"/>
    </row>
    <row r="4" spans="1:13">
      <c r="A4" s="283" t="s">
        <v>239</v>
      </c>
      <c r="B4" s="283"/>
      <c r="C4" s="283"/>
      <c r="D4" s="283"/>
      <c r="E4" s="283"/>
      <c r="F4" s="283"/>
      <c r="G4" s="283"/>
    </row>
    <row r="5" spans="1:13">
      <c r="A5" s="50"/>
      <c r="B5" s="50"/>
      <c r="C5" s="50"/>
      <c r="D5" s="50"/>
      <c r="E5" s="50"/>
      <c r="F5" s="50"/>
      <c r="I5" s="16"/>
    </row>
    <row r="6" spans="1:13">
      <c r="A6" s="19" t="s">
        <v>91</v>
      </c>
      <c r="B6" s="19" t="s">
        <v>2</v>
      </c>
      <c r="G6" s="126"/>
    </row>
    <row r="7" spans="1:13" ht="5.25" customHeight="1">
      <c r="A7" s="19"/>
      <c r="B7" s="19"/>
    </row>
    <row r="8" spans="1:13" s="49" customFormat="1">
      <c r="A8" s="20">
        <v>-1</v>
      </c>
      <c r="B8" s="281" t="s">
        <v>216</v>
      </c>
      <c r="C8" s="281"/>
      <c r="D8" s="281"/>
      <c r="E8" s="281"/>
      <c r="F8" s="281"/>
      <c r="G8" s="252">
        <f>'PPA Form 3.0'!G25+'PPA Form 3.0'!G26</f>
        <v>6443355.8499999996</v>
      </c>
      <c r="H8" s="137"/>
      <c r="I8" s="136"/>
    </row>
    <row r="9" spans="1:13" s="49" customFormat="1">
      <c r="A9" s="236"/>
      <c r="B9" s="235"/>
      <c r="C9" s="235"/>
      <c r="D9" s="235"/>
      <c r="E9" s="235"/>
      <c r="F9" s="235"/>
      <c r="H9" s="137"/>
      <c r="I9" s="51"/>
    </row>
    <row r="10" spans="1:13" s="49" customFormat="1" ht="14.45" customHeight="1">
      <c r="A10" s="20">
        <f>A8-1</f>
        <v>-2</v>
      </c>
      <c r="B10" s="52" t="s">
        <v>126</v>
      </c>
      <c r="C10" s="235"/>
      <c r="D10" s="235"/>
      <c r="E10" s="235"/>
      <c r="F10" s="235"/>
      <c r="G10" s="252">
        <f>'PPA Form 3.0'!G27</f>
        <v>6554678.0000000009</v>
      </c>
      <c r="H10" s="137"/>
      <c r="I10" s="136"/>
    </row>
    <row r="11" spans="1:13" s="49" customFormat="1">
      <c r="A11" s="236"/>
      <c r="B11" s="235"/>
      <c r="C11" s="235"/>
      <c r="D11" s="235"/>
      <c r="E11" s="235"/>
      <c r="F11" s="235"/>
      <c r="H11" s="137"/>
      <c r="I11" s="51"/>
    </row>
    <row r="12" spans="1:13" s="49" customFormat="1">
      <c r="A12" s="20">
        <f>A10-1</f>
        <v>-3</v>
      </c>
      <c r="B12" s="52" t="s">
        <v>207</v>
      </c>
      <c r="C12" s="235"/>
      <c r="D12" s="235"/>
      <c r="E12" s="235"/>
      <c r="F12" s="235"/>
      <c r="G12" s="252">
        <f>+G8-G10</f>
        <v>-111322.1500000013</v>
      </c>
      <c r="H12" s="137"/>
      <c r="I12" s="136"/>
      <c r="M12" s="51"/>
    </row>
    <row r="13" spans="1:13" s="49" customFormat="1">
      <c r="A13" s="20"/>
      <c r="B13" s="52"/>
      <c r="C13" s="235"/>
      <c r="D13" s="235"/>
      <c r="E13" s="235"/>
      <c r="F13" s="235"/>
      <c r="H13" s="137"/>
      <c r="I13" s="51"/>
    </row>
    <row r="14" spans="1:13" s="49" customFormat="1">
      <c r="A14" s="20">
        <f>A12-1</f>
        <v>-4</v>
      </c>
      <c r="B14" s="52" t="s">
        <v>270</v>
      </c>
      <c r="C14" s="235"/>
      <c r="D14" s="235"/>
      <c r="E14" s="235"/>
      <c r="F14" s="235"/>
      <c r="G14" s="252">
        <f>G12*0.005523</f>
        <v>-614.83223445000726</v>
      </c>
      <c r="H14" s="52"/>
    </row>
    <row r="15" spans="1:13" s="49" customFormat="1">
      <c r="A15" s="20"/>
      <c r="B15" s="52"/>
      <c r="C15" s="235"/>
      <c r="D15" s="235"/>
      <c r="E15" s="235"/>
      <c r="F15" s="235"/>
      <c r="H15" s="52"/>
    </row>
    <row r="16" spans="1:13" s="49" customFormat="1">
      <c r="A16" s="20">
        <f>A14-1</f>
        <v>-5</v>
      </c>
      <c r="B16" s="52" t="s">
        <v>269</v>
      </c>
      <c r="C16" s="235"/>
      <c r="D16" s="235"/>
      <c r="E16" s="235"/>
      <c r="F16" s="235"/>
      <c r="G16" s="252">
        <f>'Rev Req Variance'!F29</f>
        <v>1029115.9999999999</v>
      </c>
      <c r="H16" s="52" t="s">
        <v>128</v>
      </c>
      <c r="I16" s="234"/>
    </row>
    <row r="17" spans="1:12" s="49" customFormat="1">
      <c r="A17" s="20"/>
      <c r="B17" s="52"/>
      <c r="C17" s="235"/>
      <c r="D17" s="235"/>
      <c r="E17" s="235"/>
      <c r="F17" s="235"/>
      <c r="G17" s="69"/>
      <c r="H17" s="52"/>
    </row>
    <row r="18" spans="1:12" s="49" customFormat="1">
      <c r="A18" s="20">
        <f>A16-1</f>
        <v>-6</v>
      </c>
      <c r="B18" s="52" t="s">
        <v>243</v>
      </c>
      <c r="C18" s="235"/>
      <c r="D18" s="235"/>
      <c r="E18" s="235"/>
      <c r="F18" s="235"/>
      <c r="G18" s="252">
        <f>+G12+G14+G16</f>
        <v>917179.01776554855</v>
      </c>
      <c r="H18" s="138"/>
      <c r="I18" s="69"/>
    </row>
    <row r="19" spans="1:12" s="49" customFormat="1" ht="14.1" customHeight="1">
      <c r="A19" s="20"/>
      <c r="B19" s="52"/>
      <c r="C19" s="235"/>
      <c r="D19" s="235"/>
      <c r="E19" s="235"/>
      <c r="F19" s="235"/>
      <c r="H19" s="52"/>
    </row>
    <row r="20" spans="1:12" s="49" customFormat="1">
      <c r="A20" s="20">
        <f>A18-1</f>
        <v>-7</v>
      </c>
      <c r="B20" s="15" t="s">
        <v>218</v>
      </c>
      <c r="C20" s="15"/>
      <c r="D20" s="15"/>
      <c r="E20" s="15"/>
      <c r="F20" s="15"/>
      <c r="G20" s="252">
        <f>'PPA Form 4.0'!F20</f>
        <v>13267106.411027303</v>
      </c>
      <c r="H20" s="52"/>
    </row>
    <row r="21" spans="1:12" s="49" customFormat="1">
      <c r="A21" s="20" t="s">
        <v>44</v>
      </c>
      <c r="B21" s="15"/>
      <c r="C21" s="15"/>
      <c r="D21" s="15"/>
      <c r="E21" s="15"/>
      <c r="F21" s="15"/>
      <c r="G21" s="15"/>
      <c r="H21" s="52"/>
    </row>
    <row r="22" spans="1:12" s="49" customFormat="1" ht="13.9" customHeight="1">
      <c r="A22" s="20">
        <f>A20-1</f>
        <v>-8</v>
      </c>
      <c r="B22" s="15" t="s">
        <v>98</v>
      </c>
      <c r="C22" s="15"/>
      <c r="D22" s="15"/>
      <c r="E22" s="15"/>
      <c r="F22" s="15"/>
      <c r="G22" s="252">
        <f>+(23299437*(0.25))+(9960530*(0.75))</f>
        <v>13295256.75</v>
      </c>
      <c r="H22" s="52"/>
      <c r="I22" s="53"/>
      <c r="J22" s="53"/>
      <c r="K22" s="53"/>
      <c r="L22" s="53"/>
    </row>
    <row r="23" spans="1:12" s="49" customFormat="1">
      <c r="A23" s="20"/>
      <c r="B23" s="15"/>
      <c r="C23" s="15"/>
      <c r="D23" s="15"/>
      <c r="E23" s="15"/>
      <c r="F23" s="15"/>
      <c r="G23" s="15"/>
      <c r="H23" s="52"/>
      <c r="I23" s="53"/>
      <c r="J23" s="53"/>
      <c r="K23" s="53"/>
      <c r="L23" s="53"/>
    </row>
    <row r="24" spans="1:12" s="49" customFormat="1" ht="13.5" thickBot="1">
      <c r="A24" s="20">
        <f>A22-1</f>
        <v>-9</v>
      </c>
      <c r="B24" s="15" t="s">
        <v>244</v>
      </c>
      <c r="C24" s="15"/>
      <c r="D24" s="15"/>
      <c r="E24" s="15"/>
      <c r="F24" s="15"/>
      <c r="G24" s="253">
        <f>G18-G20+G22</f>
        <v>945329.35673824511</v>
      </c>
      <c r="H24" s="52"/>
      <c r="I24" s="53"/>
      <c r="J24" s="53"/>
      <c r="K24" s="53"/>
      <c r="L24" s="53"/>
    </row>
    <row r="25" spans="1:12" ht="13.5" thickTop="1">
      <c r="G25" s="49"/>
      <c r="I25" s="53"/>
      <c r="J25" s="53"/>
      <c r="K25" s="53"/>
      <c r="L25" s="53"/>
    </row>
    <row r="26" spans="1:12">
      <c r="G26" s="49"/>
      <c r="I26" s="53"/>
      <c r="J26" s="53"/>
      <c r="K26" s="53"/>
      <c r="L26" s="53"/>
    </row>
    <row r="27" spans="1:12">
      <c r="E27" s="14" t="s">
        <v>8</v>
      </c>
      <c r="F27" s="15" t="s">
        <v>3</v>
      </c>
      <c r="G27" s="254">
        <f>G24*'PPA Form 3.0'!C34</f>
        <v>576986.00412480033</v>
      </c>
      <c r="I27" s="53"/>
      <c r="J27" s="53"/>
      <c r="K27" s="53"/>
      <c r="L27" s="53"/>
    </row>
    <row r="28" spans="1:12">
      <c r="D28" s="54"/>
      <c r="E28" s="14" t="s">
        <v>9</v>
      </c>
      <c r="F28" s="15" t="s">
        <v>5</v>
      </c>
      <c r="G28" s="255">
        <f>G24*'PPA Form 3.0'!C35</f>
        <v>368343.35261344485</v>
      </c>
    </row>
    <row r="29" spans="1:12">
      <c r="G29" s="22">
        <f t="shared" ref="G29" si="0">SUM(G27:G28)</f>
        <v>945329.35673824511</v>
      </c>
    </row>
    <row r="30" spans="1:12">
      <c r="D30" s="56"/>
      <c r="E30" s="54"/>
    </row>
    <row r="31" spans="1:12">
      <c r="D31" s="56"/>
      <c r="E31" s="54"/>
    </row>
    <row r="32" spans="1:12">
      <c r="A32" s="16" t="s">
        <v>128</v>
      </c>
      <c r="B32" s="284" t="s">
        <v>278</v>
      </c>
      <c r="C32" s="284"/>
      <c r="D32" s="284"/>
      <c r="E32" s="284"/>
      <c r="F32" s="284"/>
      <c r="G32" s="284"/>
    </row>
    <row r="33" spans="2:7">
      <c r="B33" s="284"/>
      <c r="C33" s="284"/>
      <c r="D33" s="284"/>
      <c r="E33" s="284"/>
      <c r="F33" s="284"/>
      <c r="G33" s="284"/>
    </row>
    <row r="34" spans="2:7">
      <c r="B34" s="284"/>
      <c r="C34" s="284"/>
      <c r="D34" s="284"/>
      <c r="E34" s="284"/>
      <c r="F34" s="284"/>
      <c r="G34" s="284"/>
    </row>
  </sheetData>
  <customSheetViews>
    <customSheetView guid="{0BD4BC22-E7A2-4140-8384-5A5B3339DEED}" fitToPage="1" printArea="1">
      <selection activeCell="G35" sqref="G35"/>
      <pageMargins left="0.7" right="0.7" top="0.75" bottom="0.75" header="0.3" footer="0.3"/>
      <printOptions horizontalCentered="1"/>
      <pageSetup scale="14" orientation="portrait" r:id="rId1"/>
    </customSheetView>
    <customSheetView guid="{567BA860-460A-4CE0-A629-0EA7372574F1}" showPageBreaks="1" fitToPage="1" printArea="1">
      <selection activeCell="B21" sqref="B21"/>
      <pageMargins left="0.7" right="0.7" top="0.75" bottom="0.75" header="0.3" footer="0.3"/>
      <printOptions horizontalCentered="1"/>
      <pageSetup scale="71" orientation="portrait" r:id="rId2"/>
    </customSheetView>
    <customSheetView guid="{4EF176FC-448F-4BD8-8859-C810312E84E7}" fitToPage="1">
      <selection activeCell="G39" sqref="G39"/>
      <pageMargins left="0.7" right="0.7" top="0.75" bottom="0.75" header="0.3" footer="0.3"/>
      <printOptions horizontalCentered="1"/>
      <pageSetup scale="71" orientation="portrait" r:id="rId3"/>
    </customSheetView>
  </customSheetViews>
  <mergeCells count="5">
    <mergeCell ref="B8:F8"/>
    <mergeCell ref="A2:G2"/>
    <mergeCell ref="A3:G3"/>
    <mergeCell ref="A4:G4"/>
    <mergeCell ref="B32:G34"/>
  </mergeCells>
  <printOptions horizontalCentered="1"/>
  <pageMargins left="0.7" right="0.7" top="0.75" bottom="0.75" header="0.3" footer="0.3"/>
  <pageSetup scale="51" orientation="portrait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06E51-7F73-4EF8-80B7-6870141706D5}">
  <dimension ref="B1:J29"/>
  <sheetViews>
    <sheetView zoomScale="90" zoomScaleNormal="90" workbookViewId="0"/>
  </sheetViews>
  <sheetFormatPr defaultRowHeight="15"/>
  <cols>
    <col min="1" max="1" width="2.5703125" style="223" customWidth="1"/>
    <col min="2" max="2" width="78.7109375" style="223" customWidth="1"/>
    <col min="3" max="5" width="21.5703125" style="223" customWidth="1"/>
    <col min="6" max="6" width="15.42578125" style="223" customWidth="1"/>
    <col min="7" max="8" width="9.140625" style="223"/>
    <col min="9" max="10" width="9.7109375" style="223" bestFit="1" customWidth="1"/>
    <col min="11" max="16384" width="9.140625" style="223"/>
  </cols>
  <sheetData>
    <row r="1" spans="2:10" ht="15.75">
      <c r="B1" s="294" t="s">
        <v>273</v>
      </c>
      <c r="C1" s="294"/>
      <c r="D1" s="294"/>
      <c r="E1" s="294"/>
    </row>
    <row r="2" spans="2:10">
      <c r="B2" s="212"/>
      <c r="C2" s="293"/>
      <c r="D2" s="293"/>
      <c r="E2" s="293"/>
    </row>
    <row r="3" spans="2:10">
      <c r="B3" s="213"/>
      <c r="C3" s="218" t="s">
        <v>251</v>
      </c>
      <c r="D3" s="218" t="s">
        <v>252</v>
      </c>
      <c r="E3" s="218" t="s">
        <v>253</v>
      </c>
    </row>
    <row r="4" spans="2:10">
      <c r="B4" s="225"/>
      <c r="C4" s="219" t="s">
        <v>254</v>
      </c>
      <c r="D4" s="219" t="s">
        <v>256</v>
      </c>
      <c r="E4" s="219" t="s">
        <v>257</v>
      </c>
    </row>
    <row r="5" spans="2:10">
      <c r="B5" s="225"/>
      <c r="C5" s="219" t="s">
        <v>255</v>
      </c>
      <c r="D5" s="220">
        <v>45352</v>
      </c>
      <c r="E5" s="220">
        <v>45562</v>
      </c>
    </row>
    <row r="6" spans="2:10">
      <c r="B6" s="227" t="s">
        <v>267</v>
      </c>
      <c r="C6" s="226">
        <v>109</v>
      </c>
      <c r="D6" s="226">
        <v>46</v>
      </c>
      <c r="E6" s="226">
        <v>210</v>
      </c>
      <c r="F6" s="251">
        <f>+C6+D6+E6</f>
        <v>365</v>
      </c>
    </row>
    <row r="7" spans="2:10">
      <c r="B7" s="241" t="s">
        <v>2</v>
      </c>
      <c r="C7" s="242"/>
      <c r="D7" s="242"/>
      <c r="E7" s="242"/>
      <c r="I7" s="239"/>
      <c r="J7" s="239"/>
    </row>
    <row r="8" spans="2:10">
      <c r="B8" s="214" t="s">
        <v>216</v>
      </c>
      <c r="C8" s="221">
        <v>133102315</v>
      </c>
      <c r="D8" s="221">
        <v>6491327</v>
      </c>
      <c r="E8" s="221">
        <v>6491327</v>
      </c>
      <c r="I8" s="239"/>
      <c r="J8" s="239"/>
    </row>
    <row r="9" spans="2:10">
      <c r="B9" s="215" t="s">
        <v>126</v>
      </c>
      <c r="C9" s="221">
        <v>98165700</v>
      </c>
      <c r="D9" s="221">
        <v>1269204</v>
      </c>
      <c r="E9" s="221">
        <v>1269204</v>
      </c>
      <c r="H9" s="240"/>
      <c r="I9" s="240"/>
      <c r="J9" s="240"/>
    </row>
    <row r="10" spans="2:10">
      <c r="B10" s="215" t="s">
        <v>207</v>
      </c>
      <c r="C10" s="221">
        <v>34936615</v>
      </c>
      <c r="D10" s="221">
        <v>5222123</v>
      </c>
      <c r="E10" s="221">
        <v>5222123</v>
      </c>
    </row>
    <row r="11" spans="2:10">
      <c r="B11" s="215" t="s">
        <v>258</v>
      </c>
      <c r="C11" s="221">
        <v>0</v>
      </c>
      <c r="D11" s="221">
        <v>0</v>
      </c>
      <c r="E11" s="221">
        <v>0</v>
      </c>
    </row>
    <row r="12" spans="2:10">
      <c r="B12" s="215" t="s">
        <v>127</v>
      </c>
      <c r="C12" s="221">
        <v>-40831141</v>
      </c>
      <c r="D12" s="221">
        <v>0</v>
      </c>
      <c r="E12" s="221">
        <v>0</v>
      </c>
    </row>
    <row r="13" spans="2:10">
      <c r="B13" s="215" t="s">
        <v>259</v>
      </c>
      <c r="C13" s="221">
        <v>-8857661</v>
      </c>
      <c r="D13" s="221">
        <v>0</v>
      </c>
      <c r="E13" s="221">
        <v>0</v>
      </c>
    </row>
    <row r="14" spans="2:10">
      <c r="B14" s="216" t="s">
        <v>260</v>
      </c>
      <c r="C14" s="222">
        <f>+C10+C11+C12+C13</f>
        <v>-14752187</v>
      </c>
      <c r="D14" s="222">
        <f t="shared" ref="D14:E14" si="0">+D10+D11+D12+D13</f>
        <v>5222123</v>
      </c>
      <c r="E14" s="222">
        <f t="shared" si="0"/>
        <v>5222123</v>
      </c>
    </row>
    <row r="15" spans="2:10">
      <c r="B15" s="217" t="s">
        <v>261</v>
      </c>
      <c r="C15" s="222">
        <f>C14*0.006093</f>
        <v>-89885.075391000006</v>
      </c>
      <c r="D15" s="222">
        <f t="shared" ref="D15:E15" si="1">D14*0.006093</f>
        <v>31818.395439</v>
      </c>
      <c r="E15" s="222">
        <f t="shared" si="1"/>
        <v>31818.395439</v>
      </c>
    </row>
    <row r="16" spans="2:10">
      <c r="B16" s="215" t="s">
        <v>262</v>
      </c>
      <c r="C16" s="221">
        <v>13539510</v>
      </c>
      <c r="D16" s="221">
        <v>0</v>
      </c>
      <c r="E16" s="221">
        <v>0</v>
      </c>
    </row>
    <row r="17" spans="2:6">
      <c r="B17" s="215" t="s">
        <v>263</v>
      </c>
      <c r="C17" s="221">
        <v>22785645</v>
      </c>
      <c r="D17" s="221">
        <v>0</v>
      </c>
      <c r="E17" s="221">
        <v>0</v>
      </c>
    </row>
    <row r="18" spans="2:6">
      <c r="B18" s="215" t="s">
        <v>264</v>
      </c>
      <c r="C18" s="221">
        <v>0</v>
      </c>
      <c r="D18" s="221">
        <v>0</v>
      </c>
      <c r="E18" s="221">
        <v>18045496</v>
      </c>
    </row>
    <row r="19" spans="2:6">
      <c r="B19" s="215"/>
      <c r="C19" s="221"/>
      <c r="D19" s="221"/>
      <c r="E19" s="221"/>
    </row>
    <row r="20" spans="2:6" ht="15.75" thickBot="1">
      <c r="B20" s="243" t="s">
        <v>274</v>
      </c>
      <c r="C20" s="244">
        <v>0</v>
      </c>
      <c r="D20" s="244">
        <v>0</v>
      </c>
      <c r="E20" s="244">
        <v>0</v>
      </c>
      <c r="F20" s="250" t="s">
        <v>275</v>
      </c>
    </row>
    <row r="21" spans="2:6" ht="15.75" thickBot="1">
      <c r="B21" s="245" t="s">
        <v>265</v>
      </c>
      <c r="C21" s="246">
        <f>SUM(C14:C18,C20)</f>
        <v>21483082.924608998</v>
      </c>
      <c r="D21" s="246">
        <f t="shared" ref="D21:E21" si="2">SUM(D14:D18,D20)</f>
        <v>5253941.3954389999</v>
      </c>
      <c r="E21" s="247">
        <f t="shared" si="2"/>
        <v>23299437.395438999</v>
      </c>
      <c r="F21" s="224" t="s">
        <v>272</v>
      </c>
    </row>
    <row r="22" spans="2:6">
      <c r="B22" s="232"/>
      <c r="C22" s="231"/>
      <c r="D22" s="231"/>
      <c r="E22" s="231"/>
    </row>
    <row r="23" spans="2:6">
      <c r="B23" s="230" t="s">
        <v>218</v>
      </c>
      <c r="C23" s="231">
        <v>18863908</v>
      </c>
      <c r="D23" s="231">
        <v>18863908</v>
      </c>
      <c r="E23" s="231">
        <v>18863908</v>
      </c>
    </row>
    <row r="24" spans="2:6">
      <c r="B24" s="230" t="s">
        <v>98</v>
      </c>
      <c r="C24" s="231">
        <v>19893024</v>
      </c>
      <c r="D24" s="231">
        <v>19893024</v>
      </c>
      <c r="E24" s="231">
        <v>19893024</v>
      </c>
    </row>
    <row r="25" spans="2:6" ht="15.75" thickBot="1">
      <c r="B25" s="249" t="s">
        <v>277</v>
      </c>
      <c r="C25" s="244">
        <f>+C24-C23</f>
        <v>1029116</v>
      </c>
      <c r="D25" s="244">
        <f t="shared" ref="D25:E25" si="3">+D24-D23</f>
        <v>1029116</v>
      </c>
      <c r="E25" s="244">
        <f t="shared" si="3"/>
        <v>1029116</v>
      </c>
    </row>
    <row r="26" spans="2:6" ht="15.75" thickBot="1">
      <c r="B26" s="248" t="s">
        <v>276</v>
      </c>
      <c r="C26" s="246">
        <f>SUM(C14:C18,C25)</f>
        <v>22512198.924608998</v>
      </c>
      <c r="D26" s="246">
        <f>SUM(D14:D18,D25)</f>
        <v>6283057.3954389999</v>
      </c>
      <c r="E26" s="247">
        <f>SUM(E14:E18,E25)</f>
        <v>24328553.395438999</v>
      </c>
      <c r="F26" s="224" t="s">
        <v>268</v>
      </c>
    </row>
    <row r="27" spans="2:6">
      <c r="B27" s="212"/>
      <c r="C27" s="221"/>
      <c r="D27" s="221"/>
      <c r="E27" s="221"/>
    </row>
    <row r="28" spans="2:6" ht="15.75" thickBot="1">
      <c r="C28" s="231">
        <f>+C26-C21</f>
        <v>1029116</v>
      </c>
      <c r="D28" s="231">
        <f>+D26-D21</f>
        <v>1029116</v>
      </c>
      <c r="E28" s="231">
        <f>+E26-E21</f>
        <v>1029116</v>
      </c>
      <c r="F28" s="224" t="s">
        <v>266</v>
      </c>
    </row>
    <row r="29" spans="2:6" ht="15.75" thickBot="1">
      <c r="B29" s="212"/>
      <c r="C29" s="228">
        <f>+C28*(C6/$F$6)</f>
        <v>307325.05205479451</v>
      </c>
      <c r="D29" s="228">
        <f>+D28*(D6/$F$6)</f>
        <v>129696.81095890411</v>
      </c>
      <c r="E29" s="228">
        <f>+E28*(E6/$F$6)</f>
        <v>592094.13698630128</v>
      </c>
      <c r="F29" s="229">
        <f>SUM(C29:E29)</f>
        <v>1029115.9999999999</v>
      </c>
    </row>
  </sheetData>
  <mergeCells count="2">
    <mergeCell ref="C2:E2"/>
    <mergeCell ref="B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59523-3286-4238-9534-DED76E06A71E}">
  <sheetPr>
    <pageSetUpPr fitToPage="1"/>
  </sheetPr>
  <dimension ref="A1:P40"/>
  <sheetViews>
    <sheetView showGridLines="0" zoomScaleNormal="100" workbookViewId="0"/>
  </sheetViews>
  <sheetFormatPr defaultColWidth="9.140625" defaultRowHeight="12.75"/>
  <cols>
    <col min="1" max="1" width="2.5703125" style="15" customWidth="1"/>
    <col min="2" max="2" width="14.42578125" style="15" bestFit="1" customWidth="1"/>
    <col min="3" max="9" width="14.5703125" style="15" customWidth="1"/>
    <col min="10" max="10" width="2.42578125" style="15" customWidth="1"/>
    <col min="11" max="11" width="14.5703125" style="15" customWidth="1"/>
    <col min="12" max="12" width="2.85546875" style="15" customWidth="1"/>
    <col min="13" max="14" width="14.5703125" style="15" customWidth="1"/>
    <col min="15" max="15" width="17" style="15" customWidth="1"/>
    <col min="16" max="16" width="9.5703125" style="15" bestFit="1" customWidth="1"/>
    <col min="17" max="16384" width="9.140625" style="15"/>
  </cols>
  <sheetData>
    <row r="1" spans="2:15">
      <c r="B1" s="285" t="s">
        <v>0</v>
      </c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</row>
    <row r="2" spans="2:15">
      <c r="B2" s="285" t="s">
        <v>236</v>
      </c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</row>
    <row r="3" spans="2:15">
      <c r="B3" s="285" t="s">
        <v>248</v>
      </c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5"/>
      <c r="O3" s="140"/>
    </row>
    <row r="4" spans="2:15" s="61" customFormat="1"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</row>
    <row r="5" spans="2:15" s="61" customFormat="1" ht="13.5" thickBot="1"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</row>
    <row r="6" spans="2:15" s="61" customFormat="1">
      <c r="B6" s="135"/>
      <c r="C6" s="135"/>
      <c r="D6" s="135"/>
      <c r="E6" s="141"/>
      <c r="F6" s="142"/>
      <c r="G6" s="143" t="s">
        <v>3</v>
      </c>
      <c r="H6" s="143" t="s">
        <v>5</v>
      </c>
      <c r="I6" s="143" t="s">
        <v>6</v>
      </c>
      <c r="J6" s="144"/>
      <c r="K6" s="135"/>
      <c r="L6" s="135"/>
      <c r="M6" s="135"/>
    </row>
    <row r="7" spans="2:15" s="61" customFormat="1">
      <c r="B7" s="135"/>
      <c r="C7" s="135"/>
      <c r="D7" s="135"/>
      <c r="E7" s="145" t="s">
        <v>10</v>
      </c>
      <c r="F7" s="146"/>
      <c r="G7" s="147"/>
      <c r="H7" s="147"/>
      <c r="I7" s="147"/>
      <c r="J7" s="148"/>
      <c r="K7" s="135"/>
      <c r="L7" s="135"/>
      <c r="M7" s="135"/>
    </row>
    <row r="8" spans="2:15" s="61" customFormat="1" ht="13.5" thickBot="1">
      <c r="C8" s="135"/>
      <c r="D8" s="135"/>
      <c r="E8" s="149" t="s">
        <v>7</v>
      </c>
      <c r="F8" s="150"/>
      <c r="G8" s="256">
        <f>'PPA Form 1.0'!G27</f>
        <v>576986.00412480033</v>
      </c>
      <c r="H8" s="256">
        <f>'PPA Form 1.0'!G28</f>
        <v>368343.35261344485</v>
      </c>
      <c r="I8" s="256">
        <f>G8+H8</f>
        <v>945329.35673824511</v>
      </c>
      <c r="J8" s="151"/>
      <c r="K8" s="69"/>
      <c r="L8" s="135"/>
      <c r="M8" s="135"/>
    </row>
    <row r="9" spans="2:15" s="61" customFormat="1">
      <c r="B9" s="135"/>
      <c r="C9" s="135"/>
      <c r="D9" s="135"/>
      <c r="E9" s="135"/>
      <c r="F9" s="152"/>
      <c r="G9" s="152"/>
      <c r="H9" s="152"/>
      <c r="I9" s="135"/>
      <c r="J9" s="135"/>
      <c r="K9" s="135"/>
      <c r="L9" s="135"/>
      <c r="M9" s="135"/>
    </row>
    <row r="10" spans="2:15" s="61" customFormat="1">
      <c r="B10" s="135"/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</row>
    <row r="11" spans="2:15" s="61" customFormat="1">
      <c r="B11" s="153"/>
      <c r="E11" s="153"/>
      <c r="F11" s="153" t="s">
        <v>11</v>
      </c>
      <c r="G11" s="153" t="s">
        <v>12</v>
      </c>
      <c r="H11" s="153" t="s">
        <v>12</v>
      </c>
      <c r="K11" s="153"/>
      <c r="L11" s="153"/>
    </row>
    <row r="12" spans="2:15" s="61" customFormat="1">
      <c r="B12" s="153"/>
      <c r="C12" s="153" t="s">
        <v>228</v>
      </c>
      <c r="D12" s="153" t="s">
        <v>228</v>
      </c>
      <c r="E12" s="153" t="s">
        <v>13</v>
      </c>
      <c r="F12" s="153" t="s">
        <v>3</v>
      </c>
      <c r="G12" s="153" t="s">
        <v>3</v>
      </c>
      <c r="H12" s="153" t="s">
        <v>5</v>
      </c>
      <c r="K12" s="153"/>
      <c r="L12" s="153"/>
    </row>
    <row r="13" spans="2:15" s="61" customFormat="1">
      <c r="B13" s="153"/>
      <c r="C13" s="153" t="s">
        <v>14</v>
      </c>
      <c r="D13" s="153" t="s">
        <v>14</v>
      </c>
      <c r="E13" s="153" t="s">
        <v>15</v>
      </c>
      <c r="F13" s="153" t="s">
        <v>16</v>
      </c>
      <c r="G13" s="153" t="s">
        <v>17</v>
      </c>
      <c r="H13" s="153" t="s">
        <v>17</v>
      </c>
      <c r="I13" s="153" t="s">
        <v>18</v>
      </c>
      <c r="J13" s="153"/>
      <c r="K13" s="153" t="s">
        <v>19</v>
      </c>
      <c r="L13" s="153"/>
      <c r="M13" s="153" t="s">
        <v>20</v>
      </c>
    </row>
    <row r="14" spans="2:15" s="61" customFormat="1">
      <c r="B14" s="154" t="s">
        <v>21</v>
      </c>
      <c r="C14" s="154" t="s">
        <v>5</v>
      </c>
      <c r="D14" s="154" t="s">
        <v>3</v>
      </c>
      <c r="E14" s="154" t="s">
        <v>22</v>
      </c>
      <c r="F14" s="154" t="s">
        <v>23</v>
      </c>
      <c r="G14" s="154" t="s">
        <v>24</v>
      </c>
      <c r="H14" s="154" t="s">
        <v>24</v>
      </c>
      <c r="I14" s="154" t="s">
        <v>25</v>
      </c>
      <c r="J14" s="154"/>
      <c r="K14" s="154" t="s">
        <v>25</v>
      </c>
      <c r="L14" s="154"/>
      <c r="M14" s="154" t="s">
        <v>26</v>
      </c>
      <c r="N14" s="154" t="s">
        <v>27</v>
      </c>
    </row>
    <row r="15" spans="2:15" s="61" customFormat="1">
      <c r="B15" s="155">
        <v>-1</v>
      </c>
      <c r="C15" s="155">
        <v>-2</v>
      </c>
      <c r="D15" s="155">
        <v>-3</v>
      </c>
      <c r="E15" s="156">
        <v>-4</v>
      </c>
      <c r="F15" s="156" t="s">
        <v>28</v>
      </c>
      <c r="G15" s="155">
        <v>-6</v>
      </c>
      <c r="H15" s="155">
        <v>-7</v>
      </c>
      <c r="I15" s="156" t="s">
        <v>29</v>
      </c>
      <c r="J15" s="156"/>
      <c r="K15" s="156" t="s">
        <v>30</v>
      </c>
      <c r="L15" s="155"/>
      <c r="M15" s="155">
        <v>-10</v>
      </c>
      <c r="N15" s="156" t="s">
        <v>31</v>
      </c>
    </row>
    <row r="16" spans="2:15" s="61" customFormat="1">
      <c r="C16" s="155"/>
      <c r="D16" s="155"/>
      <c r="E16" s="156"/>
      <c r="G16" s="155" t="s">
        <v>32</v>
      </c>
      <c r="H16" s="155" t="s">
        <v>33</v>
      </c>
      <c r="K16" s="155"/>
      <c r="L16" s="155"/>
      <c r="N16" s="156" t="s">
        <v>34</v>
      </c>
    </row>
    <row r="17" spans="1:16" s="61" customFormat="1" ht="11.25" customHeight="1"/>
    <row r="18" spans="1:16" s="61" customFormat="1" ht="15.75">
      <c r="B18" s="61" t="s">
        <v>35</v>
      </c>
      <c r="C18" s="157">
        <f>'Input Sheet'!F6</f>
        <v>1860915465.7408028</v>
      </c>
      <c r="D18" s="157"/>
      <c r="E18" s="257">
        <v>2.2970286372038902E-4</v>
      </c>
      <c r="F18" s="64">
        <f>ROUND(C18*E18,0)</f>
        <v>427458</v>
      </c>
      <c r="G18" s="258">
        <f t="shared" ref="G18:G25" si="0">ROUND(G$8*(F18/F$26),0)</f>
        <v>278398</v>
      </c>
      <c r="H18" s="258">
        <f t="shared" ref="H18:H25" si="1">ROUND(H$8*(C18/C$26),0)</f>
        <v>130429</v>
      </c>
      <c r="I18" s="259">
        <f>ROUND(IF(D18&gt;0,G18/D18,0),2)</f>
        <v>0</v>
      </c>
      <c r="J18" s="64"/>
      <c r="K18" s="260">
        <f>ROUND(IF(D18&gt;0,H18/C18,(G18+H18)/C18),5)</f>
        <v>2.2000000000000001E-4</v>
      </c>
      <c r="L18" s="65"/>
      <c r="M18" s="258">
        <f>(C18*K18)+(D18*I18)</f>
        <v>409401.40246297664</v>
      </c>
      <c r="N18" s="261">
        <f>M18-H18-G18</f>
        <v>574.40246297663543</v>
      </c>
      <c r="O18" s="158"/>
      <c r="P18" s="66"/>
    </row>
    <row r="19" spans="1:16" s="61" customFormat="1">
      <c r="B19" s="61" t="s">
        <v>86</v>
      </c>
      <c r="C19" s="157">
        <f>'Input Sheet'!F7</f>
        <v>614827812.18223429</v>
      </c>
      <c r="D19" s="157"/>
      <c r="E19" s="257">
        <v>1.8187405141383237E-4</v>
      </c>
      <c r="F19" s="64">
        <f>ROUND(C19*E19,0)</f>
        <v>111821</v>
      </c>
      <c r="G19" s="262">
        <f t="shared" si="0"/>
        <v>72828</v>
      </c>
      <c r="H19" s="262">
        <f t="shared" si="1"/>
        <v>43093</v>
      </c>
      <c r="I19" s="259">
        <f t="shared" ref="I19:I25" si="2">ROUND(IF(D19&gt;0,G19/D19,0),2)</f>
        <v>0</v>
      </c>
      <c r="J19" s="64"/>
      <c r="K19" s="260">
        <f>ROUND(IF(D19&gt;0,H19/C19,(G19+H19)/C19),5)</f>
        <v>1.9000000000000001E-4</v>
      </c>
      <c r="L19" s="263"/>
      <c r="M19" s="262">
        <f>(C19*K19)+(D19*I19)</f>
        <v>116817.28431462451</v>
      </c>
      <c r="N19" s="261">
        <f>M19-H19-G19</f>
        <v>896.28431462451408</v>
      </c>
      <c r="P19" s="66"/>
    </row>
    <row r="20" spans="1:16" s="61" customFormat="1" ht="15.75">
      <c r="B20" s="61" t="s">
        <v>36</v>
      </c>
      <c r="C20" s="157">
        <f>'Input Sheet'!F8</f>
        <v>470361980.57262886</v>
      </c>
      <c r="D20" s="157">
        <f>'Input Sheet'!G8</f>
        <v>1425619.8060655857</v>
      </c>
      <c r="E20" s="257">
        <v>1.6146216275635068E-4</v>
      </c>
      <c r="F20" s="64">
        <f t="shared" ref="F20:F25" si="3">ROUND(C20*E20,0)</f>
        <v>75946</v>
      </c>
      <c r="G20" s="262">
        <f t="shared" si="0"/>
        <v>49463</v>
      </c>
      <c r="H20" s="262">
        <f t="shared" si="1"/>
        <v>32967</v>
      </c>
      <c r="I20" s="259">
        <f>ROUND(IF(D20&gt;0,G20/D20,0),2)</f>
        <v>0.03</v>
      </c>
      <c r="J20" s="64"/>
      <c r="K20" s="260">
        <f>ROUND(IF(D20&gt;0,H20/C20,(G20+H20)/C20),5)</f>
        <v>6.9999999999999994E-5</v>
      </c>
      <c r="L20" s="65"/>
      <c r="M20" s="262">
        <f t="shared" ref="M20:M25" si="4">(C20*K20)+(D20*I20)</f>
        <v>75693.932822051589</v>
      </c>
      <c r="N20" s="261">
        <f>M20-H20-G20</f>
        <v>-6736.067177948411</v>
      </c>
      <c r="P20" s="66"/>
    </row>
    <row r="21" spans="1:16" s="61" customFormat="1">
      <c r="B21" s="61" t="s">
        <v>37</v>
      </c>
      <c r="C21" s="157">
        <f>'Input Sheet'!F9</f>
        <v>876088.66903561668</v>
      </c>
      <c r="D21" s="157"/>
      <c r="E21" s="257">
        <f>E20</f>
        <v>1.6146216275635068E-4</v>
      </c>
      <c r="F21" s="64">
        <f t="shared" si="3"/>
        <v>141</v>
      </c>
      <c r="G21" s="262">
        <f t="shared" si="0"/>
        <v>92</v>
      </c>
      <c r="H21" s="262">
        <f t="shared" si="1"/>
        <v>61</v>
      </c>
      <c r="I21" s="259">
        <f t="shared" si="2"/>
        <v>0</v>
      </c>
      <c r="J21" s="64"/>
      <c r="K21" s="260">
        <f t="shared" ref="K21:K25" si="5">ROUND(IF(D21&gt;0,H21/C21,(G21+H21)/C21),5)</f>
        <v>1.7000000000000001E-4</v>
      </c>
      <c r="L21" s="263"/>
      <c r="M21" s="262">
        <f t="shared" si="4"/>
        <v>148.93507373605485</v>
      </c>
      <c r="N21" s="261">
        <f t="shared" ref="N21:N25" si="6">M21-H21-G21</f>
        <v>-4.0649262639451536</v>
      </c>
      <c r="P21" s="66"/>
    </row>
    <row r="22" spans="1:16" s="61" customFormat="1" ht="15.75">
      <c r="B22" s="61" t="s">
        <v>87</v>
      </c>
      <c r="C22" s="157">
        <f>'Input Sheet'!F10</f>
        <v>2267042945.2803736</v>
      </c>
      <c r="D22" s="157">
        <f>'Input Sheet'!G10</f>
        <v>4052472.0510215517</v>
      </c>
      <c r="E22" s="257">
        <v>1.1831561066534228E-4</v>
      </c>
      <c r="F22" s="64">
        <f t="shared" si="3"/>
        <v>268227</v>
      </c>
      <c r="G22" s="262">
        <f t="shared" si="0"/>
        <v>174693</v>
      </c>
      <c r="H22" s="262">
        <f t="shared" si="1"/>
        <v>158894</v>
      </c>
      <c r="I22" s="259">
        <f>ROUND(IF(D22&gt;0,G22/D22,0),2)</f>
        <v>0.04</v>
      </c>
      <c r="J22" s="64"/>
      <c r="K22" s="260">
        <f>ROUND(IF(D22&gt;0,H22/C22,(G22+H22)/C22),5)</f>
        <v>6.9999999999999994E-5</v>
      </c>
      <c r="L22" s="65"/>
      <c r="M22" s="262">
        <f t="shared" si="4"/>
        <v>320791.88821048825</v>
      </c>
      <c r="N22" s="261">
        <f>M22-H22-G22</f>
        <v>-12795.11178951175</v>
      </c>
      <c r="P22" s="66"/>
    </row>
    <row r="23" spans="1:16" s="61" customFormat="1">
      <c r="B23" s="61" t="s">
        <v>38</v>
      </c>
      <c r="C23" s="157">
        <f>'Input Sheet'!F11</f>
        <v>1808045.0293910499</v>
      </c>
      <c r="D23" s="157"/>
      <c r="E23" s="257">
        <v>1.2350031785679681E-4</v>
      </c>
      <c r="F23" s="64">
        <f t="shared" si="3"/>
        <v>223</v>
      </c>
      <c r="G23" s="262">
        <f t="shared" si="0"/>
        <v>145</v>
      </c>
      <c r="H23" s="262">
        <f t="shared" si="1"/>
        <v>127</v>
      </c>
      <c r="I23" s="259">
        <f t="shared" si="2"/>
        <v>0</v>
      </c>
      <c r="J23" s="64"/>
      <c r="K23" s="260">
        <f t="shared" si="5"/>
        <v>1.4999999999999999E-4</v>
      </c>
      <c r="L23" s="263"/>
      <c r="M23" s="262">
        <f t="shared" si="4"/>
        <v>271.20675440865745</v>
      </c>
      <c r="N23" s="261">
        <f t="shared" si="6"/>
        <v>-0.79324559134255423</v>
      </c>
      <c r="P23" s="66"/>
    </row>
    <row r="24" spans="1:16" s="61" customFormat="1">
      <c r="B24" s="61" t="s">
        <v>39</v>
      </c>
      <c r="C24" s="157">
        <f>'Input Sheet'!F12</f>
        <v>31861636.570029911</v>
      </c>
      <c r="D24" s="157"/>
      <c r="E24" s="257">
        <v>5.2935021460677284E-5</v>
      </c>
      <c r="F24" s="64">
        <f t="shared" si="3"/>
        <v>1687</v>
      </c>
      <c r="G24" s="262">
        <f t="shared" si="0"/>
        <v>1099</v>
      </c>
      <c r="H24" s="262">
        <f t="shared" si="1"/>
        <v>2233</v>
      </c>
      <c r="I24" s="259">
        <f t="shared" si="2"/>
        <v>0</v>
      </c>
      <c r="J24" s="64"/>
      <c r="K24" s="260">
        <f t="shared" si="5"/>
        <v>1E-4</v>
      </c>
      <c r="L24" s="263"/>
      <c r="M24" s="262">
        <f t="shared" si="4"/>
        <v>3186.1636570029914</v>
      </c>
      <c r="N24" s="261">
        <f t="shared" si="6"/>
        <v>-145.83634299700861</v>
      </c>
      <c r="P24" s="66"/>
    </row>
    <row r="25" spans="1:16" s="61" customFormat="1">
      <c r="B25" s="61" t="s">
        <v>40</v>
      </c>
      <c r="C25" s="157">
        <f>'Input Sheet'!F13</f>
        <v>7691891.9724272098</v>
      </c>
      <c r="D25" s="157"/>
      <c r="E25" s="257">
        <v>5.3748813764780795E-5</v>
      </c>
      <c r="F25" s="64">
        <f t="shared" si="3"/>
        <v>413</v>
      </c>
      <c r="G25" s="262">
        <f t="shared" si="0"/>
        <v>269</v>
      </c>
      <c r="H25" s="262">
        <f t="shared" si="1"/>
        <v>539</v>
      </c>
      <c r="I25" s="259">
        <f t="shared" si="2"/>
        <v>0</v>
      </c>
      <c r="J25" s="64"/>
      <c r="K25" s="260">
        <f t="shared" si="5"/>
        <v>1.1E-4</v>
      </c>
      <c r="L25" s="263"/>
      <c r="M25" s="262">
        <f t="shared" si="4"/>
        <v>846.10811696699307</v>
      </c>
      <c r="N25" s="261">
        <f t="shared" si="6"/>
        <v>38.108116966993066</v>
      </c>
      <c r="P25" s="66"/>
    </row>
    <row r="26" spans="1:16" s="61" customFormat="1">
      <c r="B26" s="159" t="s">
        <v>6</v>
      </c>
      <c r="C26" s="264">
        <f>SUM(C18:C25)</f>
        <v>5255385866.0169239</v>
      </c>
      <c r="D26" s="264">
        <f>SUM(D18:D25)</f>
        <v>5478091.8570871372</v>
      </c>
      <c r="E26" s="265"/>
      <c r="F26" s="264">
        <f>SUM(F18:F25)</f>
        <v>885916</v>
      </c>
      <c r="G26" s="266">
        <f>SUM(G18:G25)</f>
        <v>576987</v>
      </c>
      <c r="H26" s="266">
        <f>SUM(H18:H25)</f>
        <v>368343</v>
      </c>
      <c r="I26" s="266"/>
      <c r="J26" s="266"/>
      <c r="K26" s="159"/>
      <c r="L26" s="159"/>
      <c r="M26" s="266">
        <f>SUM(M18:M25)</f>
        <v>927156.92141225561</v>
      </c>
      <c r="N26" s="266">
        <f>SUM(N18:N25)</f>
        <v>-18173.078587744316</v>
      </c>
    </row>
    <row r="27" spans="1:16" s="61" customFormat="1">
      <c r="C27" s="160"/>
      <c r="D27" s="160"/>
      <c r="M27" s="161"/>
      <c r="N27" s="161"/>
    </row>
    <row r="28" spans="1:16" s="61" customFormat="1">
      <c r="M28" s="162"/>
    </row>
    <row r="29" spans="1:16" s="61" customFormat="1">
      <c r="N29" s="62"/>
    </row>
    <row r="30" spans="1:16" s="61" customFormat="1" ht="15.75">
      <c r="A30" s="63"/>
      <c r="H30" s="64"/>
    </row>
    <row r="31" spans="1:16" s="61" customFormat="1" ht="15.75">
      <c r="A31" s="65"/>
      <c r="M31" s="66"/>
    </row>
    <row r="32" spans="1:16" s="61" customFormat="1"/>
    <row r="33" spans="3:4" s="61" customFormat="1"/>
    <row r="34" spans="3:4" s="61" customFormat="1"/>
    <row r="38" spans="3:4">
      <c r="C38" s="18"/>
      <c r="D38" s="18"/>
    </row>
    <row r="40" spans="3:4">
      <c r="C40" s="163"/>
    </row>
  </sheetData>
  <mergeCells count="3">
    <mergeCell ref="B1:N1"/>
    <mergeCell ref="B2:N2"/>
    <mergeCell ref="B3:N3"/>
  </mergeCells>
  <printOptions horizontalCentered="1"/>
  <pageMargins left="0.75" right="0.75" top="1" bottom="1" header="0.5" footer="0.5"/>
  <pageSetup scale="5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A3034-36BF-4D82-8BD2-15CE154871B5}">
  <sheetPr>
    <pageSetUpPr fitToPage="1"/>
  </sheetPr>
  <dimension ref="A1:J44"/>
  <sheetViews>
    <sheetView showGridLines="0" zoomScaleNormal="100" workbookViewId="0">
      <selection sqref="A1:G1"/>
    </sheetView>
  </sheetViews>
  <sheetFormatPr defaultColWidth="9.140625" defaultRowHeight="12.75"/>
  <cols>
    <col min="1" max="1" width="17.42578125" style="15" customWidth="1"/>
    <col min="2" max="2" width="52.42578125" style="15" customWidth="1"/>
    <col min="3" max="3" width="34.28515625" style="15" customWidth="1"/>
    <col min="4" max="4" width="4.140625" style="15" customWidth="1"/>
    <col min="5" max="5" width="15.28515625" style="15" bestFit="1" customWidth="1"/>
    <col min="6" max="6" width="19.28515625" style="15" bestFit="1" customWidth="1"/>
    <col min="7" max="7" width="18" style="15" customWidth="1"/>
    <col min="8" max="8" width="10.140625" style="15" bestFit="1" customWidth="1"/>
    <col min="9" max="9" width="15.42578125" style="15" bestFit="1" customWidth="1"/>
    <col min="10" max="10" width="12.140625" style="15" bestFit="1" customWidth="1"/>
    <col min="11" max="16384" width="9.140625" style="15"/>
  </cols>
  <sheetData>
    <row r="1" spans="1:7">
      <c r="A1" s="283" t="s">
        <v>0</v>
      </c>
      <c r="B1" s="283"/>
      <c r="C1" s="283"/>
      <c r="D1" s="283"/>
      <c r="E1" s="283"/>
      <c r="F1" s="283"/>
      <c r="G1" s="283"/>
    </row>
    <row r="2" spans="1:7">
      <c r="A2" s="283" t="s">
        <v>237</v>
      </c>
      <c r="B2" s="283"/>
      <c r="C2" s="283"/>
      <c r="D2" s="283"/>
      <c r="E2" s="283"/>
      <c r="F2" s="283"/>
      <c r="G2" s="283"/>
    </row>
    <row r="3" spans="1:7" ht="14.45" customHeight="1">
      <c r="A3" s="282" t="s">
        <v>249</v>
      </c>
      <c r="B3" s="282"/>
      <c r="C3" s="282"/>
      <c r="D3" s="282"/>
      <c r="E3" s="282"/>
      <c r="F3" s="282"/>
      <c r="G3" s="282"/>
    </row>
    <row r="5" spans="1:7" ht="15" customHeight="1">
      <c r="F5" s="164"/>
      <c r="G5" s="164"/>
    </row>
    <row r="7" spans="1:7">
      <c r="A7" s="134" t="s">
        <v>77</v>
      </c>
      <c r="B7" s="134" t="s">
        <v>2</v>
      </c>
      <c r="C7" s="134" t="s">
        <v>81</v>
      </c>
      <c r="D7" s="70"/>
      <c r="E7" s="134" t="s">
        <v>80</v>
      </c>
      <c r="F7" s="134" t="s">
        <v>16</v>
      </c>
      <c r="G7" s="134" t="s">
        <v>89</v>
      </c>
    </row>
    <row r="8" spans="1:7">
      <c r="A8" s="52">
        <v>4561005</v>
      </c>
      <c r="B8" s="15" t="s">
        <v>124</v>
      </c>
      <c r="C8" s="267">
        <f>'PPA Form 3.0a'!P16</f>
        <v>0</v>
      </c>
      <c r="E8" s="15" t="s">
        <v>3</v>
      </c>
      <c r="F8" s="165">
        <v>1</v>
      </c>
      <c r="G8" s="267">
        <f>F8*C8</f>
        <v>0</v>
      </c>
    </row>
    <row r="9" spans="1:7" ht="14.45" customHeight="1">
      <c r="A9" s="52">
        <v>4561002</v>
      </c>
      <c r="B9" s="15" t="s">
        <v>125</v>
      </c>
      <c r="C9" s="267">
        <f>'PPA Form 3.0a'!P17</f>
        <v>0</v>
      </c>
      <c r="E9" s="15" t="s">
        <v>3</v>
      </c>
      <c r="F9" s="165">
        <v>1</v>
      </c>
      <c r="G9" s="267">
        <f t="shared" ref="G9:G17" si="0">F9*C9</f>
        <v>0</v>
      </c>
    </row>
    <row r="10" spans="1:7">
      <c r="A10" s="52" t="s">
        <v>95</v>
      </c>
      <c r="B10" s="15" t="s">
        <v>71</v>
      </c>
      <c r="C10" s="267">
        <f>'PPA Form 3.0a'!P19</f>
        <v>0</v>
      </c>
      <c r="E10" s="15" t="s">
        <v>3</v>
      </c>
      <c r="F10" s="165">
        <v>1</v>
      </c>
      <c r="G10" s="267">
        <f t="shared" si="0"/>
        <v>0</v>
      </c>
    </row>
    <row r="11" spans="1:7" ht="14.45" customHeight="1">
      <c r="A11" s="52" t="s">
        <v>96</v>
      </c>
      <c r="B11" s="15" t="s">
        <v>72</v>
      </c>
      <c r="C11" s="267">
        <f>'PPA Form 3.0a'!P20</f>
        <v>0</v>
      </c>
      <c r="E11" s="15" t="s">
        <v>5</v>
      </c>
      <c r="F11" s="165">
        <v>1</v>
      </c>
      <c r="G11" s="267">
        <f t="shared" si="0"/>
        <v>0</v>
      </c>
    </row>
    <row r="12" spans="1:7">
      <c r="A12" s="52" t="s">
        <v>97</v>
      </c>
      <c r="B12" s="15" t="s">
        <v>73</v>
      </c>
      <c r="C12" s="267">
        <f>'PPA Form 3.0a'!P21</f>
        <v>0</v>
      </c>
      <c r="E12" s="15" t="s">
        <v>3</v>
      </c>
      <c r="F12" s="165">
        <v>1</v>
      </c>
      <c r="G12" s="267">
        <f t="shared" si="0"/>
        <v>0</v>
      </c>
    </row>
    <row r="13" spans="1:7" ht="14.45" customHeight="1">
      <c r="A13" s="52">
        <v>5650012</v>
      </c>
      <c r="B13" s="15" t="s">
        <v>74</v>
      </c>
      <c r="C13" s="267">
        <f>'PPA Form 3.0a'!P22</f>
        <v>0</v>
      </c>
      <c r="E13" s="15" t="s">
        <v>3</v>
      </c>
      <c r="F13" s="165">
        <v>1</v>
      </c>
      <c r="G13" s="267">
        <f t="shared" si="0"/>
        <v>0</v>
      </c>
    </row>
    <row r="14" spans="1:7" ht="14.45" customHeight="1">
      <c r="A14" s="52">
        <v>5650016</v>
      </c>
      <c r="B14" s="15" t="s">
        <v>75</v>
      </c>
      <c r="C14" s="267">
        <f>'PPA Form 3.0a'!P23</f>
        <v>0</v>
      </c>
      <c r="E14" s="15" t="s">
        <v>3</v>
      </c>
      <c r="F14" s="165">
        <v>1</v>
      </c>
      <c r="G14" s="267">
        <f t="shared" si="0"/>
        <v>0</v>
      </c>
    </row>
    <row r="15" spans="1:7" ht="14.45" customHeight="1">
      <c r="A15" s="52">
        <v>5650019</v>
      </c>
      <c r="B15" s="15" t="s">
        <v>76</v>
      </c>
      <c r="C15" s="267">
        <f>'PPA Form 3.0a'!P24</f>
        <v>0</v>
      </c>
      <c r="D15" s="55"/>
      <c r="E15" s="55" t="s">
        <v>3</v>
      </c>
      <c r="F15" s="166">
        <v>1</v>
      </c>
      <c r="G15" s="267">
        <f t="shared" si="0"/>
        <v>0</v>
      </c>
    </row>
    <row r="16" spans="1:7" ht="14.45" customHeight="1">
      <c r="A16" s="52">
        <v>5650021</v>
      </c>
      <c r="B16" s="139" t="s">
        <v>150</v>
      </c>
      <c r="C16" s="167">
        <f>'PPA Form 3.0a'!P14</f>
        <v>0</v>
      </c>
      <c r="D16" s="55"/>
      <c r="E16" s="55" t="s">
        <v>3</v>
      </c>
      <c r="F16" s="166">
        <v>1</v>
      </c>
      <c r="G16" s="267">
        <f t="shared" si="0"/>
        <v>0</v>
      </c>
    </row>
    <row r="17" spans="1:10" ht="14.45" customHeight="1">
      <c r="A17" s="52">
        <v>5650015</v>
      </c>
      <c r="B17" s="139" t="s">
        <v>151</v>
      </c>
      <c r="C17" s="167">
        <f>'PPA Form 3.0a'!P15</f>
        <v>0</v>
      </c>
      <c r="D17" s="55"/>
      <c r="E17" s="55" t="s">
        <v>5</v>
      </c>
      <c r="F17" s="166">
        <v>1</v>
      </c>
      <c r="G17" s="267">
        <f t="shared" si="0"/>
        <v>0</v>
      </c>
    </row>
    <row r="18" spans="1:10" ht="14.45" customHeight="1">
      <c r="A18" s="52"/>
      <c r="C18" s="167"/>
      <c r="E18" s="55"/>
      <c r="F18" s="166"/>
    </row>
    <row r="19" spans="1:10" s="23" customFormat="1" ht="13.5" thickBot="1">
      <c r="A19" s="23" t="s">
        <v>90</v>
      </c>
      <c r="C19" s="168"/>
      <c r="F19" s="169"/>
      <c r="G19" s="268">
        <f>SUM(G8:G18)</f>
        <v>0</v>
      </c>
    </row>
    <row r="20" spans="1:10" s="23" customFormat="1" ht="13.5" thickTop="1">
      <c r="A20" s="23" t="s">
        <v>69</v>
      </c>
      <c r="B20" s="15"/>
      <c r="F20" s="169"/>
      <c r="G20" s="168">
        <f>'PPA Form 3.0a'!P11</f>
        <v>0</v>
      </c>
      <c r="H20" s="170"/>
    </row>
    <row r="21" spans="1:10" s="23" customFormat="1" ht="13.5" thickBot="1">
      <c r="A21" s="15" t="s">
        <v>232</v>
      </c>
      <c r="F21" s="169"/>
      <c r="G21" s="269">
        <f>'PPA Form 3.0a'!P27</f>
        <v>0</v>
      </c>
      <c r="I21" s="168"/>
    </row>
    <row r="22" spans="1:10" s="23" customFormat="1" ht="13.5" thickTop="1">
      <c r="F22" s="169"/>
      <c r="I22" s="171"/>
    </row>
    <row r="23" spans="1:10" s="23" customFormat="1">
      <c r="F23" s="169"/>
      <c r="J23" s="168"/>
    </row>
    <row r="24" spans="1:10" s="23" customFormat="1">
      <c r="C24" s="172"/>
      <c r="F24" s="169"/>
    </row>
    <row r="25" spans="1:10">
      <c r="A25" s="15" t="s">
        <v>220</v>
      </c>
      <c r="C25" s="67">
        <f>'PPA Form 3.0a'!P42</f>
        <v>3531740.6399999997</v>
      </c>
      <c r="E25" s="15" t="s">
        <v>3</v>
      </c>
      <c r="F25" s="165"/>
      <c r="G25" s="68">
        <f>C25</f>
        <v>3531740.6399999997</v>
      </c>
      <c r="H25" s="23"/>
    </row>
    <row r="26" spans="1:10">
      <c r="A26" s="15" t="s">
        <v>167</v>
      </c>
      <c r="C26" s="67">
        <f>'PPA Form 3.0a'!P49</f>
        <v>2911615.21</v>
      </c>
      <c r="D26" s="52"/>
      <c r="E26" s="15" t="s">
        <v>5</v>
      </c>
      <c r="F26" s="165" t="s">
        <v>166</v>
      </c>
      <c r="G26" s="68">
        <f>C26</f>
        <v>2911615.21</v>
      </c>
    </row>
    <row r="27" spans="1:10">
      <c r="A27" s="15" t="s">
        <v>168</v>
      </c>
      <c r="C27" s="67">
        <f>'PPA Form 3.0a'!P44</f>
        <v>6554678.0000000009</v>
      </c>
      <c r="D27" s="52"/>
      <c r="F27" s="165"/>
      <c r="G27" s="68">
        <f>C27</f>
        <v>6554678.0000000009</v>
      </c>
    </row>
    <row r="28" spans="1:10">
      <c r="A28" s="15" t="s">
        <v>232</v>
      </c>
      <c r="C28" s="67">
        <f>-'PPA Form 3.0a'!P30</f>
        <v>0</v>
      </c>
      <c r="E28" s="15" t="s">
        <v>3</v>
      </c>
      <c r="F28" s="15">
        <v>1</v>
      </c>
      <c r="G28" s="173">
        <f>C28*F28</f>
        <v>0</v>
      </c>
      <c r="J28" s="68"/>
    </row>
    <row r="29" spans="1:10" ht="13.5" thickBot="1">
      <c r="A29" s="23" t="s">
        <v>6</v>
      </c>
      <c r="G29" s="268">
        <f>+G21+G25+G26-G27+G28</f>
        <v>-111322.1500000013</v>
      </c>
      <c r="H29" s="174"/>
      <c r="I29" s="131"/>
    </row>
    <row r="30" spans="1:10" ht="13.5" thickTop="1"/>
    <row r="31" spans="1:10">
      <c r="A31" s="55"/>
      <c r="C31" s="175"/>
    </row>
    <row r="32" spans="1:10">
      <c r="A32" s="55"/>
      <c r="B32" s="176"/>
      <c r="C32" s="177"/>
    </row>
    <row r="33" spans="1:8">
      <c r="B33" s="178" t="s">
        <v>84</v>
      </c>
      <c r="C33" s="178" t="s">
        <v>85</v>
      </c>
      <c r="D33" s="209"/>
      <c r="E33" s="209"/>
    </row>
    <row r="34" spans="1:8">
      <c r="A34" s="15" t="s">
        <v>82</v>
      </c>
      <c r="B34" s="68">
        <f>G25+'PPA Form 1.0'!G16</f>
        <v>4560856.6399999997</v>
      </c>
      <c r="C34" s="270">
        <f>B34/E36</f>
        <v>0.61035447594225467</v>
      </c>
      <c r="E34" s="68">
        <f>G25+'PPA Form 1.0'!G16</f>
        <v>4560856.6399999997</v>
      </c>
      <c r="H34" s="140"/>
    </row>
    <row r="35" spans="1:8">
      <c r="A35" s="15" t="s">
        <v>83</v>
      </c>
      <c r="B35" s="68">
        <f>G26</f>
        <v>2911615.21</v>
      </c>
      <c r="C35" s="270">
        <f>B35/E36</f>
        <v>0.38964552405774538</v>
      </c>
      <c r="E35" s="68">
        <f>G26</f>
        <v>2911615.21</v>
      </c>
    </row>
    <row r="36" spans="1:8">
      <c r="E36" s="68">
        <f>E35+E34</f>
        <v>7472471.8499999996</v>
      </c>
    </row>
    <row r="37" spans="1:8">
      <c r="A37" s="179"/>
    </row>
    <row r="39" spans="1:8">
      <c r="E39" s="68"/>
    </row>
    <row r="40" spans="1:8">
      <c r="E40" s="68"/>
    </row>
    <row r="42" spans="1:8">
      <c r="A42" s="15" t="s">
        <v>233</v>
      </c>
    </row>
    <row r="43" spans="1:8">
      <c r="A43" s="15" t="s">
        <v>234</v>
      </c>
      <c r="E43" s="68"/>
    </row>
    <row r="44" spans="1:8">
      <c r="A44" s="15" t="s">
        <v>99</v>
      </c>
    </row>
  </sheetData>
  <mergeCells count="3">
    <mergeCell ref="A1:G1"/>
    <mergeCell ref="A2:G2"/>
    <mergeCell ref="A3:G3"/>
  </mergeCells>
  <printOptions horizontalCentered="1"/>
  <pageMargins left="0.7" right="0.7" top="0.75" bottom="0.75" header="0.3" footer="0.3"/>
  <pageSetup scale="5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7423D-A304-4E03-AF41-6412FFA78FEA}">
  <sheetPr>
    <pageSetUpPr fitToPage="1"/>
  </sheetPr>
  <dimension ref="A1:Q76"/>
  <sheetViews>
    <sheetView zoomScale="90" zoomScaleNormal="90" zoomScaleSheetLayoutView="50" workbookViewId="0">
      <pane xSplit="3" ySplit="6" topLeftCell="D22" activePane="bottomRight" state="frozen"/>
      <selection pane="topRight" activeCell="D1" sqref="D1"/>
      <selection pane="bottomLeft" activeCell="A7" sqref="A7"/>
      <selection pane="bottomRight"/>
    </sheetView>
  </sheetViews>
  <sheetFormatPr defaultColWidth="9.140625" defaultRowHeight="12.75"/>
  <cols>
    <col min="1" max="1" width="12.7109375" style="61" customWidth="1"/>
    <col min="2" max="2" width="11.5703125" style="61" bestFit="1" customWidth="1"/>
    <col min="3" max="3" width="91.85546875" style="61" customWidth="1"/>
    <col min="4" max="11" width="17.140625" style="61" customWidth="1"/>
    <col min="12" max="12" width="19.85546875" style="61" customWidth="1"/>
    <col min="13" max="14" width="16.5703125" style="61" customWidth="1"/>
    <col min="15" max="15" width="18.42578125" style="61" customWidth="1"/>
    <col min="16" max="16" width="17.42578125" style="61" bestFit="1" customWidth="1"/>
    <col min="17" max="17" width="29.28515625" style="61" customWidth="1"/>
    <col min="18" max="16384" width="9.140625" style="61"/>
  </cols>
  <sheetData>
    <row r="1" spans="1:17">
      <c r="A1" s="180" t="s">
        <v>134</v>
      </c>
      <c r="Q1" s="140"/>
    </row>
    <row r="2" spans="1:17">
      <c r="A2" s="180" t="s">
        <v>135</v>
      </c>
      <c r="D2" s="180"/>
      <c r="G2" s="181"/>
      <c r="I2" s="181"/>
      <c r="J2" s="180"/>
    </row>
    <row r="3" spans="1:17">
      <c r="A3" s="180" t="s">
        <v>240</v>
      </c>
      <c r="B3" s="139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</row>
    <row r="4" spans="1:17">
      <c r="A4" s="180"/>
      <c r="D4" s="237">
        <v>2024</v>
      </c>
      <c r="E4" s="182"/>
      <c r="F4" s="182"/>
      <c r="G4" s="182"/>
      <c r="H4" s="182"/>
      <c r="I4" s="182"/>
      <c r="J4" s="237">
        <v>2025</v>
      </c>
      <c r="K4" s="182"/>
      <c r="L4" s="182"/>
      <c r="M4" s="182"/>
      <c r="N4" s="182"/>
      <c r="O4" s="182"/>
    </row>
    <row r="5" spans="1:17">
      <c r="D5" s="153" t="s">
        <v>136</v>
      </c>
      <c r="E5" s="153" t="s">
        <v>136</v>
      </c>
      <c r="F5" s="153" t="s">
        <v>136</v>
      </c>
      <c r="G5" s="153" t="s">
        <v>136</v>
      </c>
      <c r="H5" s="153" t="s">
        <v>136</v>
      </c>
      <c r="I5" s="153" t="s">
        <v>136</v>
      </c>
      <c r="J5" s="153" t="s">
        <v>136</v>
      </c>
      <c r="K5" s="153" t="s">
        <v>136</v>
      </c>
      <c r="L5" s="153" t="s">
        <v>136</v>
      </c>
      <c r="M5" s="153" t="s">
        <v>136</v>
      </c>
      <c r="N5" s="153" t="s">
        <v>136</v>
      </c>
      <c r="O5" s="153" t="s">
        <v>136</v>
      </c>
      <c r="P5" s="61" t="s">
        <v>165</v>
      </c>
    </row>
    <row r="6" spans="1:17">
      <c r="C6" s="183" t="s">
        <v>134</v>
      </c>
      <c r="D6" s="184" t="s">
        <v>179</v>
      </c>
      <c r="E6" s="184" t="s">
        <v>178</v>
      </c>
      <c r="F6" s="184" t="s">
        <v>177</v>
      </c>
      <c r="G6" s="184" t="s">
        <v>176</v>
      </c>
      <c r="H6" s="184" t="s">
        <v>175</v>
      </c>
      <c r="I6" s="184" t="s">
        <v>174</v>
      </c>
      <c r="J6" s="184" t="s">
        <v>137</v>
      </c>
      <c r="K6" s="184" t="s">
        <v>138</v>
      </c>
      <c r="L6" s="184" t="s">
        <v>139</v>
      </c>
      <c r="M6" s="184" t="s">
        <v>140</v>
      </c>
      <c r="N6" s="184" t="s">
        <v>141</v>
      </c>
      <c r="O6" s="184" t="s">
        <v>142</v>
      </c>
    </row>
    <row r="7" spans="1:17">
      <c r="A7" s="183" t="s">
        <v>143</v>
      </c>
      <c r="C7" s="61" t="s">
        <v>188</v>
      </c>
      <c r="D7" s="157">
        <v>1900304</v>
      </c>
      <c r="E7" s="157">
        <v>2161703</v>
      </c>
      <c r="F7" s="157">
        <v>1589248</v>
      </c>
      <c r="G7" s="157">
        <v>1354668</v>
      </c>
      <c r="H7" s="157">
        <v>336655</v>
      </c>
      <c r="I7" s="157">
        <v>1012944</v>
      </c>
      <c r="J7" s="157">
        <v>1020074.72131628</v>
      </c>
      <c r="K7" s="157">
        <v>947830.96971816604</v>
      </c>
      <c r="L7" s="157">
        <v>781018.95551442006</v>
      </c>
      <c r="M7" s="157">
        <v>749458.95713913802</v>
      </c>
      <c r="N7" s="157">
        <v>573563.65907344001</v>
      </c>
      <c r="O7" s="157">
        <v>839637.148265859</v>
      </c>
      <c r="P7" s="64">
        <f>SUM(D7:O7)</f>
        <v>13267106.411027303</v>
      </c>
    </row>
    <row r="8" spans="1:17">
      <c r="C8" s="61" t="s">
        <v>144</v>
      </c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85">
        <f>SUM(D8:O8)</f>
        <v>0</v>
      </c>
    </row>
    <row r="9" spans="1:17">
      <c r="C9" s="180"/>
      <c r="D9" s="271">
        <f t="shared" ref="D9:O9" si="0">SUM(D7:D8)</f>
        <v>1900304</v>
      </c>
      <c r="E9" s="271">
        <f t="shared" si="0"/>
        <v>2161703</v>
      </c>
      <c r="F9" s="271">
        <f t="shared" si="0"/>
        <v>1589248</v>
      </c>
      <c r="G9" s="271">
        <f t="shared" si="0"/>
        <v>1354668</v>
      </c>
      <c r="H9" s="271">
        <f t="shared" si="0"/>
        <v>336655</v>
      </c>
      <c r="I9" s="271">
        <f t="shared" si="0"/>
        <v>1012944</v>
      </c>
      <c r="J9" s="271">
        <f t="shared" si="0"/>
        <v>1020074.72131628</v>
      </c>
      <c r="K9" s="271">
        <f t="shared" si="0"/>
        <v>947830.96971816604</v>
      </c>
      <c r="L9" s="271">
        <f t="shared" si="0"/>
        <v>781018.95551442006</v>
      </c>
      <c r="M9" s="271">
        <f t="shared" si="0"/>
        <v>749458.95713913802</v>
      </c>
      <c r="N9" s="271">
        <f t="shared" si="0"/>
        <v>573563.65907344001</v>
      </c>
      <c r="O9" s="271">
        <f t="shared" si="0"/>
        <v>839637.148265859</v>
      </c>
      <c r="P9" s="271">
        <f>SUM(D9:O9)</f>
        <v>13267106.411027303</v>
      </c>
    </row>
    <row r="10" spans="1:17">
      <c r="C10" s="183"/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84"/>
    </row>
    <row r="11" spans="1:17">
      <c r="A11" s="183" t="s">
        <v>145</v>
      </c>
      <c r="B11" s="186"/>
      <c r="C11" s="180" t="s">
        <v>146</v>
      </c>
      <c r="D11" s="272">
        <v>0</v>
      </c>
      <c r="E11" s="272">
        <v>0</v>
      </c>
      <c r="F11" s="272">
        <v>0</v>
      </c>
      <c r="G11" s="272">
        <v>0</v>
      </c>
      <c r="H11" s="272">
        <v>0</v>
      </c>
      <c r="I11" s="272">
        <v>0</v>
      </c>
      <c r="J11" s="272">
        <v>0</v>
      </c>
      <c r="K11" s="272">
        <v>0</v>
      </c>
      <c r="L11" s="272">
        <v>0</v>
      </c>
      <c r="M11" s="272">
        <v>0</v>
      </c>
      <c r="N11" s="272">
        <v>0</v>
      </c>
      <c r="O11" s="272">
        <v>0</v>
      </c>
      <c r="P11" s="64">
        <f>SUM(D11:O11)</f>
        <v>0</v>
      </c>
    </row>
    <row r="12" spans="1:17">
      <c r="C12" s="183"/>
      <c r="D12" s="184"/>
      <c r="E12" s="184"/>
      <c r="F12" s="184"/>
      <c r="G12" s="184"/>
      <c r="H12" s="184"/>
      <c r="I12" s="184"/>
      <c r="J12" s="184"/>
      <c r="K12" s="184"/>
      <c r="L12" s="184"/>
      <c r="M12" s="187"/>
      <c r="N12" s="184"/>
      <c r="O12" s="184"/>
    </row>
    <row r="13" spans="1:17">
      <c r="A13" s="183" t="s">
        <v>147</v>
      </c>
      <c r="B13" s="184" t="s">
        <v>148</v>
      </c>
      <c r="C13" s="183" t="s">
        <v>149</v>
      </c>
      <c r="D13" s="184"/>
      <c r="E13" s="184"/>
      <c r="F13" s="184"/>
      <c r="G13" s="184"/>
      <c r="H13" s="184"/>
      <c r="I13" s="184"/>
      <c r="J13" s="184"/>
      <c r="K13" s="184"/>
      <c r="L13" s="184"/>
      <c r="M13" s="188"/>
      <c r="N13" s="184"/>
      <c r="O13" s="184"/>
    </row>
    <row r="14" spans="1:17">
      <c r="B14" s="153">
        <v>5650021</v>
      </c>
      <c r="C14" s="139" t="s">
        <v>150</v>
      </c>
      <c r="D14" s="189"/>
      <c r="E14" s="189"/>
      <c r="F14" s="189"/>
      <c r="G14" s="189"/>
      <c r="H14" s="189"/>
      <c r="I14" s="189"/>
      <c r="J14" s="189"/>
      <c r="K14" s="273"/>
      <c r="L14" s="273"/>
      <c r="M14" s="273"/>
      <c r="N14" s="273"/>
      <c r="O14" s="273"/>
      <c r="P14" s="189">
        <f>SUM(D14:O14)</f>
        <v>0</v>
      </c>
    </row>
    <row r="15" spans="1:17">
      <c r="B15" s="153">
        <v>5650015</v>
      </c>
      <c r="C15" s="139" t="s">
        <v>151</v>
      </c>
      <c r="D15" s="189"/>
      <c r="E15" s="189"/>
      <c r="F15" s="189"/>
      <c r="G15" s="189"/>
      <c r="H15" s="189"/>
      <c r="I15" s="189"/>
      <c r="J15" s="189"/>
      <c r="K15" s="273"/>
      <c r="L15" s="273"/>
      <c r="M15" s="273"/>
      <c r="N15" s="273"/>
      <c r="O15" s="273"/>
      <c r="P15" s="189">
        <f t="shared" ref="P15:P23" si="1">SUM(D15:O15)</f>
        <v>0</v>
      </c>
    </row>
    <row r="16" spans="1:17">
      <c r="B16" s="153">
        <v>4561005</v>
      </c>
      <c r="C16" s="139" t="s">
        <v>152</v>
      </c>
      <c r="D16" s="189"/>
      <c r="E16" s="189"/>
      <c r="F16" s="189"/>
      <c r="G16" s="189"/>
      <c r="H16" s="189"/>
      <c r="I16" s="189"/>
      <c r="J16" s="189"/>
      <c r="K16" s="273"/>
      <c r="L16" s="273"/>
      <c r="M16" s="273"/>
      <c r="N16" s="273"/>
      <c r="O16" s="273"/>
      <c r="P16" s="189">
        <f t="shared" si="1"/>
        <v>0</v>
      </c>
    </row>
    <row r="17" spans="1:16">
      <c r="B17" s="153">
        <v>4561002</v>
      </c>
      <c r="C17" s="139" t="s">
        <v>153</v>
      </c>
      <c r="D17" s="189"/>
      <c r="E17" s="189"/>
      <c r="F17" s="189"/>
      <c r="G17" s="189"/>
      <c r="H17" s="189"/>
      <c r="I17" s="189"/>
      <c r="J17" s="189"/>
      <c r="K17" s="273"/>
      <c r="L17" s="273"/>
      <c r="M17" s="273"/>
      <c r="N17" s="273"/>
      <c r="O17" s="273"/>
      <c r="P17" s="189">
        <f t="shared" si="1"/>
        <v>0</v>
      </c>
    </row>
    <row r="18" spans="1:16">
      <c r="B18" s="153">
        <v>5550155</v>
      </c>
      <c r="C18" s="139" t="s">
        <v>205</v>
      </c>
      <c r="D18" s="189"/>
      <c r="E18" s="189"/>
      <c r="F18" s="189"/>
      <c r="G18" s="189"/>
      <c r="H18" s="189"/>
      <c r="I18" s="189"/>
      <c r="J18" s="189"/>
      <c r="K18" s="273"/>
      <c r="L18" s="273"/>
      <c r="M18" s="273"/>
      <c r="N18" s="273"/>
      <c r="O18" s="273"/>
      <c r="P18" s="189">
        <f t="shared" si="1"/>
        <v>0</v>
      </c>
    </row>
    <row r="19" spans="1:16">
      <c r="B19" s="153">
        <v>4561035</v>
      </c>
      <c r="C19" s="135" t="s">
        <v>154</v>
      </c>
      <c r="D19" s="189"/>
      <c r="E19" s="189"/>
      <c r="F19" s="189"/>
      <c r="G19" s="189"/>
      <c r="H19" s="189"/>
      <c r="I19" s="189"/>
      <c r="J19" s="189"/>
      <c r="K19" s="273"/>
      <c r="L19" s="273"/>
      <c r="M19" s="273"/>
      <c r="N19" s="273"/>
      <c r="O19" s="273"/>
      <c r="P19" s="189">
        <f t="shared" si="1"/>
        <v>0</v>
      </c>
    </row>
    <row r="20" spans="1:16">
      <c r="B20" s="153">
        <v>4561036</v>
      </c>
      <c r="C20" s="139" t="s">
        <v>155</v>
      </c>
      <c r="D20" s="189"/>
      <c r="E20" s="189"/>
      <c r="F20" s="189"/>
      <c r="G20" s="189"/>
      <c r="H20" s="189"/>
      <c r="I20" s="189"/>
      <c r="J20" s="189"/>
      <c r="K20" s="273"/>
      <c r="L20" s="273"/>
      <c r="M20" s="273"/>
      <c r="N20" s="273"/>
      <c r="O20" s="273"/>
      <c r="P20" s="189">
        <f t="shared" si="1"/>
        <v>0</v>
      </c>
    </row>
    <row r="21" spans="1:16">
      <c r="B21" s="153">
        <v>4561060</v>
      </c>
      <c r="C21" s="139" t="s">
        <v>156</v>
      </c>
      <c r="D21" s="189"/>
      <c r="E21" s="189"/>
      <c r="F21" s="189"/>
      <c r="G21" s="189"/>
      <c r="H21" s="189"/>
      <c r="I21" s="189"/>
      <c r="J21" s="189"/>
      <c r="K21" s="273"/>
      <c r="L21" s="273"/>
      <c r="M21" s="273"/>
      <c r="N21" s="273"/>
      <c r="O21" s="273"/>
      <c r="P21" s="189">
        <f t="shared" si="1"/>
        <v>0</v>
      </c>
    </row>
    <row r="22" spans="1:16">
      <c r="B22" s="153">
        <v>5650012</v>
      </c>
      <c r="C22" s="139" t="s">
        <v>156</v>
      </c>
      <c r="D22" s="189"/>
      <c r="E22" s="189"/>
      <c r="F22" s="189"/>
      <c r="G22" s="189"/>
      <c r="H22" s="189"/>
      <c r="I22" s="189"/>
      <c r="J22" s="189"/>
      <c r="K22" s="273"/>
      <c r="L22" s="273"/>
      <c r="M22" s="273"/>
      <c r="N22" s="273"/>
      <c r="O22" s="273"/>
      <c r="P22" s="189">
        <f t="shared" si="1"/>
        <v>0</v>
      </c>
    </row>
    <row r="23" spans="1:16">
      <c r="B23" s="153">
        <v>5650016</v>
      </c>
      <c r="C23" s="135" t="s">
        <v>157</v>
      </c>
      <c r="D23" s="189"/>
      <c r="E23" s="189"/>
      <c r="F23" s="189"/>
      <c r="G23" s="189"/>
      <c r="H23" s="189"/>
      <c r="I23" s="189"/>
      <c r="J23" s="189"/>
      <c r="K23" s="273"/>
      <c r="L23" s="273"/>
      <c r="M23" s="273"/>
      <c r="N23" s="273"/>
      <c r="O23" s="273"/>
      <c r="P23" s="189">
        <f t="shared" si="1"/>
        <v>0</v>
      </c>
    </row>
    <row r="24" spans="1:16">
      <c r="B24" s="153">
        <v>5650019</v>
      </c>
      <c r="C24" s="139" t="s">
        <v>156</v>
      </c>
      <c r="D24" s="189"/>
      <c r="E24" s="189"/>
      <c r="F24" s="189"/>
      <c r="G24" s="189"/>
      <c r="H24" s="189"/>
      <c r="I24" s="189"/>
      <c r="J24" s="189"/>
      <c r="K24" s="273"/>
      <c r="L24" s="273"/>
      <c r="M24" s="273"/>
      <c r="N24" s="273"/>
      <c r="O24" s="273"/>
      <c r="P24" s="189">
        <f>SUM(D24:O24)</f>
        <v>0</v>
      </c>
    </row>
    <row r="25" spans="1:16">
      <c r="C25" s="180"/>
      <c r="D25" s="274">
        <f t="shared" ref="D25:O25" si="2">SUM(D14:D24)</f>
        <v>0</v>
      </c>
      <c r="E25" s="274">
        <f t="shared" si="2"/>
        <v>0</v>
      </c>
      <c r="F25" s="274">
        <f t="shared" si="2"/>
        <v>0</v>
      </c>
      <c r="G25" s="274">
        <f t="shared" si="2"/>
        <v>0</v>
      </c>
      <c r="H25" s="274">
        <f t="shared" si="2"/>
        <v>0</v>
      </c>
      <c r="I25" s="274">
        <f t="shared" si="2"/>
        <v>0</v>
      </c>
      <c r="J25" s="274">
        <f t="shared" si="2"/>
        <v>0</v>
      </c>
      <c r="K25" s="274">
        <f t="shared" si="2"/>
        <v>0</v>
      </c>
      <c r="L25" s="274">
        <f t="shared" si="2"/>
        <v>0</v>
      </c>
      <c r="M25" s="274">
        <f t="shared" si="2"/>
        <v>0</v>
      </c>
      <c r="N25" s="274">
        <f t="shared" si="2"/>
        <v>0</v>
      </c>
      <c r="O25" s="274">
        <f t="shared" si="2"/>
        <v>0</v>
      </c>
      <c r="P25" s="274">
        <f>SUM(D25:O25)</f>
        <v>0</v>
      </c>
    </row>
    <row r="26" spans="1:16">
      <c r="B26" s="153"/>
      <c r="C26" s="190"/>
      <c r="D26" s="191"/>
      <c r="E26" s="191"/>
      <c r="F26" s="191"/>
      <c r="G26" s="191"/>
      <c r="H26" s="191"/>
      <c r="I26" s="191"/>
      <c r="J26" s="191"/>
      <c r="K26" s="191"/>
      <c r="L26" s="191"/>
      <c r="M26" s="191"/>
      <c r="N26" s="191"/>
      <c r="O26" s="191"/>
      <c r="P26" s="64"/>
    </row>
    <row r="27" spans="1:16">
      <c r="B27" s="153"/>
      <c r="C27" s="180" t="s">
        <v>158</v>
      </c>
      <c r="D27" s="275">
        <f>+D25-D11</f>
        <v>0</v>
      </c>
      <c r="E27" s="275">
        <f t="shared" ref="E27:O27" si="3">+E25-E11</f>
        <v>0</v>
      </c>
      <c r="F27" s="275">
        <f t="shared" si="3"/>
        <v>0</v>
      </c>
      <c r="G27" s="275">
        <f t="shared" si="3"/>
        <v>0</v>
      </c>
      <c r="H27" s="275">
        <f t="shared" si="3"/>
        <v>0</v>
      </c>
      <c r="I27" s="275">
        <f t="shared" si="3"/>
        <v>0</v>
      </c>
      <c r="J27" s="275">
        <f t="shared" si="3"/>
        <v>0</v>
      </c>
      <c r="K27" s="275">
        <f t="shared" si="3"/>
        <v>0</v>
      </c>
      <c r="L27" s="275">
        <f t="shared" si="3"/>
        <v>0</v>
      </c>
      <c r="M27" s="275">
        <f t="shared" si="3"/>
        <v>0</v>
      </c>
      <c r="N27" s="275">
        <f t="shared" si="3"/>
        <v>0</v>
      </c>
      <c r="O27" s="275">
        <f t="shared" si="3"/>
        <v>0</v>
      </c>
      <c r="P27" s="189">
        <f>SUM(D27:O27)</f>
        <v>0</v>
      </c>
    </row>
    <row r="28" spans="1:16">
      <c r="A28" s="186"/>
      <c r="B28" s="186"/>
      <c r="C28" s="190" t="s">
        <v>201</v>
      </c>
      <c r="D28" s="275">
        <f>D27*1</f>
        <v>0</v>
      </c>
      <c r="E28" s="275">
        <f t="shared" ref="E28:O28" si="4">E27*1</f>
        <v>0</v>
      </c>
      <c r="F28" s="275">
        <f t="shared" si="4"/>
        <v>0</v>
      </c>
      <c r="G28" s="275">
        <f t="shared" si="4"/>
        <v>0</v>
      </c>
      <c r="H28" s="275">
        <f t="shared" si="4"/>
        <v>0</v>
      </c>
      <c r="I28" s="275">
        <f t="shared" si="4"/>
        <v>0</v>
      </c>
      <c r="J28" s="275">
        <f t="shared" si="4"/>
        <v>0</v>
      </c>
      <c r="K28" s="275">
        <f t="shared" si="4"/>
        <v>0</v>
      </c>
      <c r="L28" s="275">
        <f t="shared" si="4"/>
        <v>0</v>
      </c>
      <c r="M28" s="275">
        <f t="shared" si="4"/>
        <v>0</v>
      </c>
      <c r="N28" s="275">
        <f t="shared" si="4"/>
        <v>0</v>
      </c>
      <c r="O28" s="275">
        <f t="shared" si="4"/>
        <v>0</v>
      </c>
      <c r="P28" s="189">
        <f>SUM(D28:O28)</f>
        <v>0</v>
      </c>
    </row>
    <row r="29" spans="1:16">
      <c r="A29" s="186"/>
      <c r="B29" s="186"/>
      <c r="C29" s="190"/>
      <c r="D29" s="192"/>
      <c r="E29" s="192"/>
      <c r="F29" s="192"/>
      <c r="G29" s="192"/>
      <c r="H29" s="192"/>
      <c r="I29" s="192"/>
      <c r="J29" s="192"/>
      <c r="K29" s="192"/>
      <c r="L29" s="192"/>
      <c r="M29" s="192"/>
      <c r="N29" s="192"/>
      <c r="O29" s="192"/>
      <c r="P29" s="64"/>
    </row>
    <row r="30" spans="1:16">
      <c r="A30" s="186"/>
      <c r="B30" s="186"/>
      <c r="C30" s="180" t="s">
        <v>169</v>
      </c>
      <c r="D30" s="192">
        <v>0</v>
      </c>
      <c r="E30" s="192">
        <v>0</v>
      </c>
      <c r="F30" s="192">
        <v>0</v>
      </c>
      <c r="G30" s="192">
        <v>0</v>
      </c>
      <c r="H30" s="192">
        <v>0</v>
      </c>
      <c r="I30" s="192">
        <v>0</v>
      </c>
      <c r="J30" s="192">
        <v>0</v>
      </c>
      <c r="K30" s="192">
        <v>0</v>
      </c>
      <c r="L30" s="192">
        <v>0</v>
      </c>
      <c r="M30" s="192">
        <v>0</v>
      </c>
      <c r="N30" s="192">
        <v>0</v>
      </c>
      <c r="O30" s="192">
        <v>0</v>
      </c>
      <c r="P30" s="64">
        <f>SUM(D30:O30)</f>
        <v>0</v>
      </c>
    </row>
    <row r="31" spans="1:16">
      <c r="A31" s="186"/>
      <c r="B31" s="186"/>
      <c r="C31" s="190"/>
      <c r="D31" s="192"/>
      <c r="E31" s="192"/>
      <c r="F31" s="192"/>
      <c r="G31" s="192"/>
      <c r="H31" s="192"/>
      <c r="I31" s="192"/>
      <c r="J31" s="192"/>
      <c r="K31" s="192"/>
      <c r="L31" s="192"/>
      <c r="M31" s="192"/>
      <c r="N31" s="192"/>
      <c r="O31" s="192"/>
      <c r="P31" s="64"/>
    </row>
    <row r="32" spans="1:16">
      <c r="A32" s="186"/>
      <c r="B32" s="193" t="s">
        <v>128</v>
      </c>
      <c r="C32" s="180" t="s">
        <v>217</v>
      </c>
      <c r="D32" s="192"/>
      <c r="E32" s="192"/>
      <c r="F32" s="192"/>
      <c r="G32" s="192"/>
      <c r="H32" s="192"/>
      <c r="I32" s="192"/>
      <c r="J32" s="192"/>
      <c r="K32" s="192"/>
      <c r="L32" s="192"/>
      <c r="M32" s="192"/>
      <c r="N32" s="192"/>
      <c r="O32" s="192"/>
      <c r="P32" s="64"/>
    </row>
    <row r="33" spans="1:17">
      <c r="A33" s="186"/>
      <c r="B33" s="186"/>
      <c r="C33" s="180"/>
      <c r="D33" s="192"/>
      <c r="E33" s="192"/>
      <c r="F33" s="192"/>
      <c r="G33" s="192"/>
      <c r="H33" s="192"/>
      <c r="I33" s="192"/>
      <c r="J33" s="192"/>
      <c r="K33" s="192"/>
      <c r="L33" s="192"/>
      <c r="M33" s="192"/>
      <c r="N33" s="192"/>
      <c r="O33" s="192"/>
      <c r="P33" s="64"/>
    </row>
    <row r="34" spans="1:17">
      <c r="A34" s="186"/>
      <c r="B34" s="193" t="s">
        <v>128</v>
      </c>
      <c r="C34" s="180" t="s">
        <v>217</v>
      </c>
      <c r="D34" s="192"/>
      <c r="E34" s="192"/>
      <c r="F34" s="192"/>
      <c r="G34" s="192"/>
      <c r="H34" s="192"/>
      <c r="I34" s="192"/>
      <c r="J34" s="194"/>
      <c r="K34" s="192"/>
      <c r="L34" s="192"/>
      <c r="M34" s="192"/>
      <c r="N34" s="192"/>
      <c r="O34" s="192"/>
      <c r="P34" s="64"/>
    </row>
    <row r="35" spans="1:17">
      <c r="A35" s="186"/>
      <c r="B35" s="186"/>
      <c r="C35" s="180"/>
      <c r="D35" s="192"/>
      <c r="E35" s="192"/>
      <c r="F35" s="192"/>
      <c r="G35" s="192"/>
      <c r="H35" s="192"/>
      <c r="I35" s="192"/>
      <c r="J35" s="192"/>
      <c r="K35" s="192"/>
      <c r="L35" s="192"/>
      <c r="M35" s="192"/>
      <c r="N35" s="192"/>
      <c r="O35" s="192"/>
      <c r="P35" s="64"/>
    </row>
    <row r="36" spans="1:17">
      <c r="A36" s="186"/>
      <c r="B36" s="186"/>
      <c r="C36" s="180" t="s">
        <v>226</v>
      </c>
      <c r="D36" s="192">
        <v>1503791.32</v>
      </c>
      <c r="E36" s="192">
        <v>1503791.32</v>
      </c>
      <c r="F36" s="192">
        <v>1503791.32</v>
      </c>
      <c r="G36" s="192">
        <v>626579.71</v>
      </c>
      <c r="H36" s="192">
        <v>626579.71</v>
      </c>
      <c r="I36" s="192">
        <v>626579.71</v>
      </c>
      <c r="J36" s="192">
        <v>626579.71</v>
      </c>
      <c r="K36" s="192">
        <v>626579.71</v>
      </c>
      <c r="L36" s="192">
        <v>626579.71</v>
      </c>
      <c r="M36" s="192">
        <v>626579.71</v>
      </c>
      <c r="N36" s="192">
        <v>626579.71</v>
      </c>
      <c r="O36" s="192">
        <v>626579.71</v>
      </c>
      <c r="P36" s="64">
        <f>SUM(D36:O36)</f>
        <v>10150591.350000001</v>
      </c>
    </row>
    <row r="37" spans="1:17">
      <c r="A37" s="186"/>
      <c r="B37" s="186"/>
      <c r="C37" s="180"/>
      <c r="D37" s="192"/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192"/>
      <c r="P37" s="64"/>
    </row>
    <row r="38" spans="1:17">
      <c r="A38" s="186"/>
      <c r="B38" s="193" t="s">
        <v>128</v>
      </c>
      <c r="C38" s="180" t="s">
        <v>217</v>
      </c>
      <c r="D38" s="192"/>
      <c r="E38" s="192"/>
      <c r="F38" s="192"/>
      <c r="G38" s="192"/>
      <c r="H38" s="192"/>
      <c r="I38" s="192"/>
      <c r="J38" s="195"/>
      <c r="K38" s="192"/>
      <c r="L38" s="192"/>
      <c r="M38" s="192"/>
      <c r="N38" s="192"/>
      <c r="O38" s="192"/>
      <c r="P38" s="189"/>
    </row>
    <row r="39" spans="1:17">
      <c r="A39" s="186"/>
      <c r="B39" s="186"/>
      <c r="C39" s="180"/>
      <c r="D39" s="192"/>
      <c r="E39" s="192"/>
      <c r="F39" s="192"/>
      <c r="G39" s="192"/>
      <c r="H39" s="192"/>
      <c r="I39" s="192"/>
      <c r="J39" s="192"/>
      <c r="K39" s="192"/>
      <c r="L39" s="192"/>
      <c r="M39" s="192"/>
      <c r="N39" s="192"/>
      <c r="O39" s="192"/>
      <c r="P39" s="189"/>
    </row>
    <row r="40" spans="1:17">
      <c r="A40" s="186"/>
      <c r="B40" s="193" t="s">
        <v>128</v>
      </c>
      <c r="C40" s="180" t="s">
        <v>271</v>
      </c>
      <c r="D40" s="192">
        <v>0</v>
      </c>
      <c r="E40" s="192">
        <v>0</v>
      </c>
      <c r="F40" s="192">
        <v>0</v>
      </c>
      <c r="G40" s="192">
        <v>-40681.199999999997</v>
      </c>
      <c r="H40" s="192">
        <v>-40681.199999999997</v>
      </c>
      <c r="I40" s="192">
        <v>-40681.199999999997</v>
      </c>
      <c r="J40" s="192">
        <v>-40681.199999999997</v>
      </c>
      <c r="K40" s="192">
        <v>-40681.199999999997</v>
      </c>
      <c r="L40" s="192">
        <v>-40681.199999999997</v>
      </c>
      <c r="M40" s="192">
        <v>-40681.199999999997</v>
      </c>
      <c r="N40" s="192">
        <v>-40681.199999999997</v>
      </c>
      <c r="O40" s="192">
        <v>-40681.199999999997</v>
      </c>
      <c r="P40" s="64">
        <f>SUM(D40:O40)</f>
        <v>-366130.80000000005</v>
      </c>
    </row>
    <row r="41" spans="1:17">
      <c r="A41" s="186"/>
      <c r="B41" s="186"/>
      <c r="C41" s="180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/>
    </row>
    <row r="42" spans="1:17">
      <c r="A42" s="186"/>
      <c r="B42" s="186"/>
      <c r="C42" s="180" t="s">
        <v>219</v>
      </c>
      <c r="D42" s="192">
        <v>191456.44</v>
      </c>
      <c r="E42" s="192">
        <v>201548.44</v>
      </c>
      <c r="F42" s="192">
        <v>201548.44</v>
      </c>
      <c r="G42" s="192">
        <v>201548.44</v>
      </c>
      <c r="H42" s="192">
        <v>201548.44</v>
      </c>
      <c r="I42" s="192">
        <v>201548.44</v>
      </c>
      <c r="J42" s="192">
        <v>201548.44</v>
      </c>
      <c r="K42" s="192">
        <v>201548.44</v>
      </c>
      <c r="L42" s="192">
        <v>201548.44</v>
      </c>
      <c r="M42" s="192">
        <v>201548.44</v>
      </c>
      <c r="N42" s="192">
        <v>1043329.69</v>
      </c>
      <c r="O42" s="192">
        <v>483018.55</v>
      </c>
      <c r="P42" s="64">
        <f>SUM(D42:O42)</f>
        <v>3531740.6399999997</v>
      </c>
    </row>
    <row r="43" spans="1:17">
      <c r="A43" s="186"/>
      <c r="B43" s="186"/>
      <c r="C43" s="180"/>
      <c r="D43" s="192"/>
      <c r="E43" s="192"/>
      <c r="F43" s="192"/>
      <c r="G43" s="192"/>
      <c r="H43" s="192"/>
      <c r="I43" s="192"/>
      <c r="J43" s="192"/>
      <c r="K43" s="192"/>
      <c r="L43" s="192"/>
      <c r="M43" s="192"/>
      <c r="N43" s="192"/>
      <c r="O43" s="192"/>
    </row>
    <row r="44" spans="1:17">
      <c r="A44" s="186"/>
      <c r="B44" s="186"/>
      <c r="C44" s="180" t="s">
        <v>159</v>
      </c>
      <c r="D44" s="275">
        <f>6554678/12</f>
        <v>546223.16666666663</v>
      </c>
      <c r="E44" s="275">
        <f t="shared" ref="E44:O44" si="5">6554678/12</f>
        <v>546223.16666666663</v>
      </c>
      <c r="F44" s="275">
        <f t="shared" si="5"/>
        <v>546223.16666666663</v>
      </c>
      <c r="G44" s="275">
        <f t="shared" si="5"/>
        <v>546223.16666666663</v>
      </c>
      <c r="H44" s="275">
        <f t="shared" si="5"/>
        <v>546223.16666666663</v>
      </c>
      <c r="I44" s="275">
        <f t="shared" si="5"/>
        <v>546223.16666666663</v>
      </c>
      <c r="J44" s="275">
        <f t="shared" si="5"/>
        <v>546223.16666666663</v>
      </c>
      <c r="K44" s="275">
        <f t="shared" si="5"/>
        <v>546223.16666666663</v>
      </c>
      <c r="L44" s="275">
        <f t="shared" si="5"/>
        <v>546223.16666666663</v>
      </c>
      <c r="M44" s="275">
        <f t="shared" si="5"/>
        <v>546223.16666666663</v>
      </c>
      <c r="N44" s="275">
        <f t="shared" si="5"/>
        <v>546223.16666666663</v>
      </c>
      <c r="O44" s="275">
        <f t="shared" si="5"/>
        <v>546223.16666666663</v>
      </c>
      <c r="P44" s="64">
        <f>SUM(D44:O44)</f>
        <v>6554678.0000000009</v>
      </c>
      <c r="Q44" s="173"/>
    </row>
    <row r="45" spans="1:17">
      <c r="A45" s="186"/>
      <c r="B45" s="186"/>
      <c r="C45" s="190"/>
      <c r="D45" s="192"/>
      <c r="E45" s="192"/>
      <c r="F45" s="192"/>
      <c r="G45" s="192"/>
      <c r="H45" s="192"/>
      <c r="I45" s="192"/>
      <c r="J45" s="192"/>
      <c r="K45" s="192"/>
      <c r="L45" s="192"/>
      <c r="M45" s="192"/>
      <c r="N45" s="192"/>
      <c r="O45" s="192"/>
    </row>
    <row r="46" spans="1:17">
      <c r="B46" s="153"/>
      <c r="C46" s="190" t="s">
        <v>183</v>
      </c>
      <c r="D46" s="276">
        <v>200339.92</v>
      </c>
      <c r="E46" s="276">
        <v>254512.92</v>
      </c>
      <c r="F46" s="276">
        <v>205765.22</v>
      </c>
      <c r="G46" s="276">
        <v>280255.58</v>
      </c>
      <c r="H46" s="276">
        <v>205056.81</v>
      </c>
      <c r="I46" s="276">
        <v>222272.42</v>
      </c>
      <c r="J46" s="276">
        <v>420782.17</v>
      </c>
      <c r="K46" s="276">
        <v>197503.6</v>
      </c>
      <c r="L46" s="192">
        <v>174211.1</v>
      </c>
      <c r="M46" s="276">
        <v>86220.22</v>
      </c>
      <c r="N46" s="276">
        <v>386370.92</v>
      </c>
      <c r="O46" s="276">
        <v>279306.23</v>
      </c>
    </row>
    <row r="47" spans="1:17">
      <c r="B47" s="153"/>
      <c r="C47" s="190" t="s">
        <v>184</v>
      </c>
      <c r="D47" s="276">
        <v>-203119.12</v>
      </c>
      <c r="E47" s="276">
        <v>-200339.92</v>
      </c>
      <c r="F47" s="276">
        <v>-254512.92</v>
      </c>
      <c r="G47" s="276">
        <v>-205765.22</v>
      </c>
      <c r="H47" s="276">
        <v>-280255.58</v>
      </c>
      <c r="I47" s="276">
        <v>-205056.81</v>
      </c>
      <c r="J47" s="276">
        <v>-222272.42</v>
      </c>
      <c r="K47" s="276">
        <v>-420782.17</v>
      </c>
      <c r="L47" s="276">
        <v>-197503.6</v>
      </c>
      <c r="M47" s="276">
        <v>-174211.1</v>
      </c>
      <c r="N47" s="276">
        <v>-86220.22</v>
      </c>
      <c r="O47" s="276">
        <v>-386370.92</v>
      </c>
    </row>
    <row r="48" spans="1:17">
      <c r="B48" s="153"/>
      <c r="C48" s="61" t="s">
        <v>185</v>
      </c>
      <c r="D48" s="277">
        <v>203299.9</v>
      </c>
      <c r="E48" s="277">
        <v>200118.78</v>
      </c>
      <c r="F48" s="277">
        <v>254534.37</v>
      </c>
      <c r="G48" s="277">
        <v>206107.37</v>
      </c>
      <c r="H48" s="277">
        <v>280042.09000000003</v>
      </c>
      <c r="I48" s="277">
        <v>204926.6</v>
      </c>
      <c r="J48" s="277">
        <v>221758.93</v>
      </c>
      <c r="K48" s="277">
        <v>420050.67</v>
      </c>
      <c r="L48" s="277">
        <v>197503.6</v>
      </c>
      <c r="M48" s="277">
        <v>174185.5</v>
      </c>
      <c r="N48" s="277">
        <v>86225.18</v>
      </c>
      <c r="O48" s="277">
        <v>386675.11</v>
      </c>
    </row>
    <row r="49" spans="1:17">
      <c r="B49" s="153"/>
      <c r="C49" s="61" t="s">
        <v>160</v>
      </c>
      <c r="D49" s="276">
        <f>SUM(D46:D48)</f>
        <v>200520.7</v>
      </c>
      <c r="E49" s="276">
        <f t="shared" ref="E49:O49" si="6">SUM(E46:E48)</f>
        <v>254291.78</v>
      </c>
      <c r="F49" s="276">
        <f t="shared" si="6"/>
        <v>205786.66999999998</v>
      </c>
      <c r="G49" s="276">
        <f t="shared" si="6"/>
        <v>280597.73</v>
      </c>
      <c r="H49" s="276">
        <f t="shared" si="6"/>
        <v>204843.32</v>
      </c>
      <c r="I49" s="276">
        <f t="shared" si="6"/>
        <v>222142.21000000002</v>
      </c>
      <c r="J49" s="276">
        <f t="shared" si="6"/>
        <v>420268.67999999993</v>
      </c>
      <c r="K49" s="276">
        <f t="shared" si="6"/>
        <v>196772.1</v>
      </c>
      <c r="L49" s="276">
        <f t="shared" si="6"/>
        <v>174211.1</v>
      </c>
      <c r="M49" s="276">
        <f t="shared" si="6"/>
        <v>86194.62</v>
      </c>
      <c r="N49" s="276">
        <f t="shared" si="6"/>
        <v>386375.87999999995</v>
      </c>
      <c r="O49" s="276">
        <f t="shared" si="6"/>
        <v>279610.42</v>
      </c>
      <c r="P49" s="64">
        <f>SUM(D49:O49)</f>
        <v>2911615.21</v>
      </c>
    </row>
    <row r="50" spans="1:17">
      <c r="D50" s="173"/>
      <c r="E50" s="173"/>
      <c r="F50" s="173"/>
      <c r="G50" s="173"/>
      <c r="H50" s="173"/>
      <c r="I50" s="173"/>
      <c r="J50" s="173"/>
      <c r="K50" s="173"/>
      <c r="L50" s="173"/>
      <c r="M50" s="173"/>
      <c r="N50" s="173"/>
      <c r="O50" s="173"/>
    </row>
    <row r="51" spans="1:17">
      <c r="C51" s="61" t="s">
        <v>161</v>
      </c>
      <c r="D51" s="196">
        <f>D49-D44</f>
        <v>-345702.46666666662</v>
      </c>
      <c r="E51" s="173">
        <f t="shared" ref="E51:N51" si="7">E49-E44</f>
        <v>-291931.3866666666</v>
      </c>
      <c r="F51" s="173">
        <f>F49-F44</f>
        <v>-340436.49666666664</v>
      </c>
      <c r="G51" s="173">
        <f>G49-G44</f>
        <v>-265625.43666666665</v>
      </c>
      <c r="H51" s="173">
        <f t="shared" si="7"/>
        <v>-341379.84666666662</v>
      </c>
      <c r="I51" s="173">
        <f t="shared" si="7"/>
        <v>-324080.95666666661</v>
      </c>
      <c r="J51" s="173">
        <f t="shared" si="7"/>
        <v>-125954.48666666669</v>
      </c>
      <c r="K51" s="173">
        <f t="shared" si="7"/>
        <v>-349451.06666666665</v>
      </c>
      <c r="L51" s="173">
        <f t="shared" si="7"/>
        <v>-372012.06666666665</v>
      </c>
      <c r="M51" s="173">
        <f t="shared" si="7"/>
        <v>-460028.54666666663</v>
      </c>
      <c r="N51" s="173">
        <f t="shared" si="7"/>
        <v>-159847.28666666668</v>
      </c>
      <c r="O51" s="173">
        <f>O49-O44</f>
        <v>-266612.74666666664</v>
      </c>
      <c r="P51" s="64">
        <f>SUM(D51:O51)</f>
        <v>-3643062.79</v>
      </c>
    </row>
    <row r="52" spans="1:17">
      <c r="D52" s="173"/>
      <c r="E52" s="173"/>
      <c r="F52" s="173"/>
      <c r="G52" s="173"/>
      <c r="H52" s="173"/>
      <c r="I52" s="173"/>
      <c r="J52" s="173"/>
      <c r="K52" s="173"/>
      <c r="L52" s="173"/>
      <c r="M52" s="173"/>
      <c r="N52" s="173"/>
      <c r="O52" s="173"/>
      <c r="P52" s="196"/>
    </row>
    <row r="53" spans="1:17" ht="13.5" thickBot="1">
      <c r="A53" s="186"/>
      <c r="B53" s="186"/>
      <c r="C53" s="180" t="s">
        <v>162</v>
      </c>
      <c r="D53" s="278">
        <f>(D28-D30)+D51+D40+D34+D36+D38+D42</f>
        <v>1349545.2933333335</v>
      </c>
      <c r="E53" s="278">
        <f t="shared" ref="E53:O53" si="8">(E28-E30)+E51+E40+E34+E36+E38+E42</f>
        <v>1413408.3733333335</v>
      </c>
      <c r="F53" s="278">
        <f t="shared" si="8"/>
        <v>1364903.2633333334</v>
      </c>
      <c r="G53" s="278">
        <f t="shared" si="8"/>
        <v>521821.51333333331</v>
      </c>
      <c r="H53" s="278">
        <f>(H28-H30)+H51+H34+H36+H38+H42+H40</f>
        <v>446067.10333333333</v>
      </c>
      <c r="I53" s="278">
        <f>(I28-I30)+I51+I34+I36+I38+I42+I40</f>
        <v>463365.99333333335</v>
      </c>
      <c r="J53" s="278">
        <f t="shared" si="8"/>
        <v>661492.46333333326</v>
      </c>
      <c r="K53" s="278">
        <f t="shared" si="8"/>
        <v>437995.8833333333</v>
      </c>
      <c r="L53" s="278">
        <f t="shared" si="8"/>
        <v>415434.8833333333</v>
      </c>
      <c r="M53" s="278">
        <f t="shared" si="8"/>
        <v>327418.40333333332</v>
      </c>
      <c r="N53" s="278">
        <f t="shared" si="8"/>
        <v>1469380.9133333331</v>
      </c>
      <c r="O53" s="278">
        <f t="shared" si="8"/>
        <v>802304.31333333324</v>
      </c>
      <c r="P53" s="64">
        <f>SUM(D53:O53)</f>
        <v>9673138.3999999985</v>
      </c>
    </row>
    <row r="54" spans="1:17" ht="13.5" thickTop="1">
      <c r="A54" s="186"/>
      <c r="B54" s="186"/>
      <c r="C54" s="180"/>
      <c r="D54" s="192"/>
      <c r="E54" s="192"/>
      <c r="F54" s="192"/>
      <c r="G54" s="192"/>
      <c r="H54" s="192"/>
      <c r="I54" s="192"/>
      <c r="J54" s="192"/>
      <c r="K54" s="192"/>
      <c r="L54" s="192"/>
      <c r="M54" s="192"/>
      <c r="N54" s="192"/>
      <c r="O54" s="192"/>
    </row>
    <row r="55" spans="1:17">
      <c r="A55" s="186"/>
      <c r="B55" s="186"/>
      <c r="C55" s="186" t="s">
        <v>163</v>
      </c>
      <c r="D55" s="173">
        <f t="shared" ref="D55:O55" si="9">D53-D9</f>
        <v>-550758.70666666655</v>
      </c>
      <c r="E55" s="173">
        <f t="shared" si="9"/>
        <v>-748294.62666666647</v>
      </c>
      <c r="F55" s="173">
        <f t="shared" si="9"/>
        <v>-224344.73666666658</v>
      </c>
      <c r="G55" s="173">
        <f t="shared" si="9"/>
        <v>-832846.48666666669</v>
      </c>
      <c r="H55" s="173">
        <f t="shared" si="9"/>
        <v>109412.10333333333</v>
      </c>
      <c r="I55" s="173">
        <f t="shared" si="9"/>
        <v>-549578.0066666666</v>
      </c>
      <c r="J55" s="173">
        <f t="shared" si="9"/>
        <v>-358582.2579829467</v>
      </c>
      <c r="K55" s="173">
        <f t="shared" si="9"/>
        <v>-509835.08638483274</v>
      </c>
      <c r="L55" s="173">
        <f t="shared" si="9"/>
        <v>-365584.07218108675</v>
      </c>
      <c r="M55" s="173">
        <f t="shared" si="9"/>
        <v>-422040.5538058047</v>
      </c>
      <c r="N55" s="173">
        <f t="shared" si="9"/>
        <v>895817.25425989309</v>
      </c>
      <c r="O55" s="173">
        <f t="shared" si="9"/>
        <v>-37332.834932525759</v>
      </c>
      <c r="P55" s="64">
        <f>SUM(D55:O55)</f>
        <v>-3593968.0110273031</v>
      </c>
    </row>
    <row r="56" spans="1:17">
      <c r="D56" s="173"/>
      <c r="E56" s="173"/>
      <c r="F56" s="173"/>
      <c r="G56" s="173"/>
      <c r="H56" s="173"/>
      <c r="I56" s="173"/>
      <c r="J56" s="173"/>
      <c r="K56" s="173"/>
      <c r="L56" s="173"/>
      <c r="M56" s="173"/>
      <c r="N56" s="173"/>
      <c r="O56" s="173"/>
    </row>
    <row r="57" spans="1:17">
      <c r="A57" s="186"/>
      <c r="B57" s="186"/>
      <c r="C57" s="180"/>
      <c r="D57" s="192"/>
      <c r="E57" s="192"/>
      <c r="F57" s="192"/>
      <c r="G57" s="192"/>
      <c r="H57" s="192"/>
      <c r="I57" s="192"/>
      <c r="J57" s="192"/>
      <c r="K57" s="192"/>
      <c r="L57" s="192"/>
      <c r="M57" s="192"/>
      <c r="N57" s="192"/>
      <c r="O57" s="192"/>
    </row>
    <row r="58" spans="1:17">
      <c r="A58" s="197"/>
      <c r="B58" s="159"/>
      <c r="C58" s="211" t="s">
        <v>164</v>
      </c>
      <c r="D58" s="198">
        <f>+D55+D61</f>
        <v>59536898.649134487</v>
      </c>
      <c r="E58" s="198">
        <f>D58+E55</f>
        <v>58788604.022467822</v>
      </c>
      <c r="F58" s="198">
        <f t="shared" ref="F58:N58" si="10">E58+F55</f>
        <v>58564259.285801157</v>
      </c>
      <c r="G58" s="198">
        <f t="shared" si="10"/>
        <v>57731412.799134493</v>
      </c>
      <c r="H58" s="198">
        <f t="shared" si="10"/>
        <v>57840824.902467825</v>
      </c>
      <c r="I58" s="198">
        <f t="shared" si="10"/>
        <v>57291246.895801157</v>
      </c>
      <c r="J58" s="198">
        <f t="shared" si="10"/>
        <v>56932664.63781821</v>
      </c>
      <c r="K58" s="198">
        <f t="shared" si="10"/>
        <v>56422829.551433377</v>
      </c>
      <c r="L58" s="198">
        <f t="shared" si="10"/>
        <v>56057245.479252294</v>
      </c>
      <c r="M58" s="198">
        <f t="shared" si="10"/>
        <v>55635204.925446488</v>
      </c>
      <c r="N58" s="198">
        <f t="shared" si="10"/>
        <v>56531022.17970638</v>
      </c>
      <c r="O58" s="198">
        <f>N58+O55-55635203.44</f>
        <v>858485.90477385372</v>
      </c>
    </row>
    <row r="59" spans="1:17">
      <c r="A59" s="199"/>
      <c r="B59" s="146"/>
      <c r="C59" s="200"/>
      <c r="D59" s="201"/>
      <c r="E59" s="201"/>
      <c r="F59" s="201"/>
      <c r="G59" s="201"/>
      <c r="H59" s="201"/>
      <c r="I59" s="202"/>
      <c r="J59" s="201"/>
      <c r="K59" s="201"/>
      <c r="L59" s="203"/>
      <c r="O59" s="204"/>
    </row>
    <row r="60" spans="1:17">
      <c r="A60" s="199"/>
      <c r="B60" s="146"/>
      <c r="C60" s="200"/>
      <c r="D60" s="201"/>
      <c r="E60" s="201"/>
      <c r="F60" s="201"/>
      <c r="G60" s="201"/>
      <c r="H60" s="201"/>
      <c r="I60" s="201"/>
      <c r="J60" s="201"/>
      <c r="K60" s="201"/>
      <c r="L60" s="203"/>
    </row>
    <row r="61" spans="1:17">
      <c r="D61" s="204">
        <v>60087657.35580115</v>
      </c>
    </row>
    <row r="62" spans="1:17">
      <c r="O62" s="173"/>
      <c r="Q62" s="140"/>
    </row>
    <row r="63" spans="1:17">
      <c r="B63" s="205" t="s">
        <v>128</v>
      </c>
      <c r="C63" s="286" t="s">
        <v>241</v>
      </c>
      <c r="O63" s="173"/>
    </row>
    <row r="64" spans="1:17">
      <c r="C64" s="286"/>
    </row>
    <row r="65" spans="3:16">
      <c r="C65" s="286"/>
      <c r="D65" s="173"/>
      <c r="E65" s="173"/>
      <c r="F65" s="173"/>
      <c r="G65" s="173"/>
      <c r="H65" s="173"/>
      <c r="I65" s="173"/>
      <c r="O65" s="206"/>
    </row>
    <row r="66" spans="3:16">
      <c r="P66" s="173"/>
    </row>
    <row r="75" spans="3:16">
      <c r="D75" s="203"/>
      <c r="E75" s="203"/>
      <c r="F75" s="203"/>
      <c r="G75" s="203"/>
      <c r="H75" s="203"/>
      <c r="I75" s="203"/>
      <c r="J75" s="203"/>
      <c r="K75" s="203"/>
      <c r="L75" s="203"/>
      <c r="M75" s="203"/>
      <c r="N75" s="203"/>
      <c r="O75" s="203"/>
    </row>
    <row r="76" spans="3:16">
      <c r="D76" s="181"/>
      <c r="E76" s="181"/>
      <c r="F76" s="181"/>
      <c r="G76" s="181"/>
      <c r="H76" s="181"/>
      <c r="I76" s="181"/>
      <c r="J76" s="181"/>
      <c r="K76" s="181"/>
      <c r="L76" s="181"/>
      <c r="M76" s="181"/>
      <c r="N76" s="181"/>
      <c r="O76" s="181"/>
    </row>
  </sheetData>
  <mergeCells count="1">
    <mergeCell ref="C63:C65"/>
  </mergeCells>
  <pageMargins left="0.7" right="0.7" top="0.75" bottom="0.75" header="0.3" footer="0.3"/>
  <pageSetup scale="3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0"/>
  <sheetViews>
    <sheetView zoomScaleNormal="100" zoomScaleSheetLayoutView="85" workbookViewId="0">
      <selection sqref="A1:F1"/>
    </sheetView>
  </sheetViews>
  <sheetFormatPr defaultColWidth="8.7109375" defaultRowHeight="12.75"/>
  <cols>
    <col min="1" max="1" width="8.7109375" style="15"/>
    <col min="2" max="2" width="13.85546875" style="15" customWidth="1"/>
    <col min="3" max="4" width="8.7109375" style="15"/>
    <col min="5" max="5" width="4" style="15" customWidth="1"/>
    <col min="6" max="6" width="17.5703125" style="15" bestFit="1" customWidth="1"/>
    <col min="7" max="16384" width="8.7109375" style="15"/>
  </cols>
  <sheetData>
    <row r="1" spans="1:10" ht="15" customHeight="1">
      <c r="A1" s="283" t="s">
        <v>0</v>
      </c>
      <c r="B1" s="283"/>
      <c r="C1" s="283"/>
      <c r="D1" s="283"/>
      <c r="E1" s="283"/>
      <c r="F1" s="283"/>
    </row>
    <row r="2" spans="1:10" ht="15" customHeight="1">
      <c r="A2" s="283" t="s">
        <v>238</v>
      </c>
      <c r="B2" s="283"/>
      <c r="C2" s="283"/>
      <c r="D2" s="283"/>
      <c r="E2" s="283"/>
      <c r="F2" s="283"/>
    </row>
    <row r="3" spans="1:10" ht="12.75" customHeight="1">
      <c r="A3" s="287" t="s">
        <v>242</v>
      </c>
      <c r="B3" s="287"/>
      <c r="C3" s="287"/>
      <c r="D3" s="287"/>
      <c r="E3" s="287"/>
      <c r="F3" s="287"/>
    </row>
    <row r="4" spans="1:10">
      <c r="A4" s="16"/>
      <c r="B4" s="133"/>
      <c r="C4" s="133"/>
      <c r="D4" s="133"/>
      <c r="E4" s="133"/>
      <c r="F4" s="17"/>
    </row>
    <row r="5" spans="1:10">
      <c r="A5" s="16"/>
      <c r="C5" s="236"/>
      <c r="J5" s="17"/>
    </row>
    <row r="6" spans="1:10">
      <c r="A6" s="207" t="s">
        <v>91</v>
      </c>
      <c r="B6" s="207" t="s">
        <v>1</v>
      </c>
      <c r="C6" s="208"/>
      <c r="D6" s="208"/>
      <c r="E6" s="208"/>
      <c r="F6" s="207" t="s">
        <v>43</v>
      </c>
    </row>
    <row r="7" spans="1:10">
      <c r="A7" s="20">
        <v>-1</v>
      </c>
      <c r="B7" s="21" t="s">
        <v>35</v>
      </c>
      <c r="C7" s="18"/>
      <c r="E7" s="18"/>
      <c r="F7" s="22">
        <v>6285311.1699999981</v>
      </c>
    </row>
    <row r="8" spans="1:10">
      <c r="A8" s="20">
        <f>A7-1</f>
        <v>-2</v>
      </c>
      <c r="B8" s="21" t="s">
        <v>94</v>
      </c>
      <c r="C8" s="18"/>
      <c r="E8" s="18"/>
      <c r="F8" s="22">
        <v>1778996.8899999994</v>
      </c>
    </row>
    <row r="9" spans="1:10">
      <c r="A9" s="20">
        <f t="shared" ref="A9:A13" si="0">A8-1</f>
        <v>-3</v>
      </c>
      <c r="B9" s="21" t="s">
        <v>36</v>
      </c>
      <c r="C9" s="18"/>
      <c r="E9" s="18"/>
      <c r="F9" s="22">
        <v>2520539.9700000007</v>
      </c>
    </row>
    <row r="10" spans="1:10">
      <c r="A10" s="20">
        <f t="shared" si="0"/>
        <v>-4</v>
      </c>
      <c r="B10" s="21" t="s">
        <v>42</v>
      </c>
      <c r="C10" s="18"/>
      <c r="E10" s="18"/>
      <c r="F10" s="22">
        <v>2275.1500000000005</v>
      </c>
    </row>
    <row r="11" spans="1:10">
      <c r="A11" s="20">
        <f t="shared" si="0"/>
        <v>-5</v>
      </c>
      <c r="B11" s="21" t="s">
        <v>87</v>
      </c>
      <c r="C11" s="18"/>
      <c r="E11" s="18"/>
      <c r="F11" s="22">
        <v>3430931.3800000008</v>
      </c>
    </row>
    <row r="12" spans="1:10">
      <c r="A12" s="20">
        <f t="shared" si="0"/>
        <v>-6</v>
      </c>
      <c r="B12" s="21" t="s">
        <v>38</v>
      </c>
      <c r="C12" s="18"/>
      <c r="E12" s="18"/>
      <c r="F12" s="22">
        <v>3897.1699999999996</v>
      </c>
    </row>
    <row r="13" spans="1:10">
      <c r="A13" s="20">
        <f t="shared" si="0"/>
        <v>-7</v>
      </c>
      <c r="B13" s="21" t="s">
        <v>39</v>
      </c>
      <c r="C13" s="18"/>
      <c r="E13" s="18"/>
      <c r="F13" s="22">
        <v>33322.399999999994</v>
      </c>
    </row>
    <row r="14" spans="1:10">
      <c r="A14" s="20">
        <f>A13-1</f>
        <v>-8</v>
      </c>
      <c r="B14" s="21" t="s">
        <v>40</v>
      </c>
      <c r="C14" s="18"/>
      <c r="E14" s="18"/>
      <c r="F14" s="22">
        <v>8146.26</v>
      </c>
    </row>
    <row r="15" spans="1:10">
      <c r="A15" s="20" t="s">
        <v>44</v>
      </c>
      <c r="C15" s="18"/>
    </row>
    <row r="16" spans="1:10">
      <c r="A16" s="20">
        <f>A14-1</f>
        <v>-9</v>
      </c>
      <c r="B16" s="23" t="s">
        <v>186</v>
      </c>
      <c r="C16" s="18"/>
      <c r="E16" s="22"/>
      <c r="F16" s="22">
        <f>SUM(F7:F14)</f>
        <v>14063420.389999999</v>
      </c>
    </row>
    <row r="17" spans="1:6">
      <c r="A17" s="20"/>
      <c r="B17" s="23"/>
      <c r="C17" s="18"/>
      <c r="E17" s="22"/>
      <c r="F17" s="22"/>
    </row>
    <row r="18" spans="1:6">
      <c r="A18" s="20">
        <v>-10</v>
      </c>
      <c r="B18" s="24" t="s">
        <v>187</v>
      </c>
      <c r="F18" s="22">
        <f>'PPA Form 3.0a'!P9-F16</f>
        <v>-796313.97897269577</v>
      </c>
    </row>
    <row r="19" spans="1:6">
      <c r="A19" s="20"/>
      <c r="B19" s="21"/>
      <c r="F19" s="22"/>
    </row>
    <row r="20" spans="1:6">
      <c r="A20" s="20">
        <v>-11</v>
      </c>
      <c r="B20" s="23" t="s">
        <v>4</v>
      </c>
      <c r="F20" s="279">
        <f>F16+F18</f>
        <v>13267106.411027303</v>
      </c>
    </row>
  </sheetData>
  <customSheetViews>
    <customSheetView guid="{0BD4BC22-E7A2-4140-8384-5A5B3339DEED}" scale="85" printArea="1" view="pageBreakPreview">
      <selection activeCell="E37" sqref="E37"/>
      <pageMargins left="0.7" right="0.7" top="0.75" bottom="0.75" header="0.3" footer="0.3"/>
      <printOptions horizontalCentered="1"/>
      <pageSetup scale="75" orientation="portrait" r:id="rId1"/>
    </customSheetView>
    <customSheetView guid="{567BA860-460A-4CE0-A629-0EA7372574F1}" scale="85" showPageBreaks="1" printArea="1" view="pageBreakPreview">
      <selection activeCell="B23" sqref="B23"/>
      <pageMargins left="0.7" right="0.7" top="0.75" bottom="0.75" header="0.3" footer="0.3"/>
      <printOptions horizontalCentered="1"/>
      <pageSetup scale="75" orientation="portrait" r:id="rId2"/>
    </customSheetView>
    <customSheetView guid="{4EF176FC-448F-4BD8-8859-C810312E84E7}" scale="85" showPageBreaks="1" printArea="1" view="pageBreakPreview">
      <selection activeCell="E21" sqref="E21"/>
      <pageMargins left="0.7" right="0.7" top="0.75" bottom="0.75" header="0.3" footer="0.3"/>
      <printOptions horizontalCentered="1"/>
      <pageSetup scale="75" orientation="portrait" r:id="rId3"/>
    </customSheetView>
  </customSheetViews>
  <mergeCells count="3">
    <mergeCell ref="A1:F1"/>
    <mergeCell ref="A2:F2"/>
    <mergeCell ref="A3:F3"/>
  </mergeCells>
  <printOptions horizontalCentered="1"/>
  <pageMargins left="0.7" right="0.7" top="0.75" bottom="0.75" header="0.3" footer="0.3"/>
  <pageSetup scale="75" orientation="portrait"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107"/>
  <sheetViews>
    <sheetView zoomScale="90" zoomScaleNormal="90" workbookViewId="0"/>
  </sheetViews>
  <sheetFormatPr defaultColWidth="9.140625" defaultRowHeight="12.75"/>
  <cols>
    <col min="1" max="1" width="8.85546875" style="1"/>
    <col min="2" max="2" width="20.7109375" style="2" customWidth="1"/>
    <col min="3" max="3" width="55.5703125" style="2" customWidth="1"/>
    <col min="4" max="4" width="22.7109375" style="2" bestFit="1" customWidth="1"/>
    <col min="5" max="5" width="3.140625" style="2" customWidth="1"/>
    <col min="6" max="6" width="16.28515625" style="2" customWidth="1"/>
    <col min="7" max="16384" width="9.140625" style="2"/>
  </cols>
  <sheetData>
    <row r="1" spans="1:6" ht="13.5">
      <c r="A1" s="233" t="s">
        <v>250</v>
      </c>
    </row>
    <row r="2" spans="1:6">
      <c r="A2" s="210"/>
    </row>
    <row r="3" spans="1:6">
      <c r="B3" s="7" t="s">
        <v>67</v>
      </c>
      <c r="F3" s="3" t="s">
        <v>92</v>
      </c>
    </row>
    <row r="4" spans="1:6">
      <c r="B4" s="7" t="s">
        <v>88</v>
      </c>
    </row>
    <row r="5" spans="1:6">
      <c r="B5" s="7" t="s">
        <v>68</v>
      </c>
    </row>
    <row r="8" spans="1:6">
      <c r="A8" s="9" t="s">
        <v>91</v>
      </c>
      <c r="B8" s="9" t="s">
        <v>77</v>
      </c>
      <c r="C8" s="9" t="s">
        <v>2</v>
      </c>
      <c r="D8" s="9" t="s">
        <v>78</v>
      </c>
      <c r="E8" s="25"/>
      <c r="F8" s="9" t="s">
        <v>80</v>
      </c>
    </row>
    <row r="9" spans="1:6">
      <c r="A9" s="4">
        <v>-1</v>
      </c>
      <c r="B9" s="5">
        <v>4561005</v>
      </c>
      <c r="C9" s="2" t="s">
        <v>124</v>
      </c>
      <c r="D9" s="26">
        <v>-535143.05000000005</v>
      </c>
      <c r="F9" s="2" t="s">
        <v>3</v>
      </c>
    </row>
    <row r="10" spans="1:6">
      <c r="A10" s="4">
        <f>A9-1</f>
        <v>-2</v>
      </c>
      <c r="B10" s="5">
        <v>4561002</v>
      </c>
      <c r="C10" s="2" t="s">
        <v>125</v>
      </c>
      <c r="D10" s="26">
        <v>196296.08</v>
      </c>
      <c r="F10" s="2" t="s">
        <v>3</v>
      </c>
    </row>
    <row r="11" spans="1:6">
      <c r="A11" s="4">
        <f>A10-1</f>
        <v>-3</v>
      </c>
      <c r="B11" s="5">
        <v>4561035</v>
      </c>
      <c r="C11" s="2" t="s">
        <v>71</v>
      </c>
      <c r="D11" s="26">
        <v>45453207</v>
      </c>
      <c r="F11" s="2" t="s">
        <v>3</v>
      </c>
    </row>
    <row r="12" spans="1:6">
      <c r="A12" s="4">
        <f t="shared" ref="A12:A17" si="0">A11-1</f>
        <v>-4</v>
      </c>
      <c r="B12" s="5">
        <v>4561036</v>
      </c>
      <c r="C12" s="2" t="s">
        <v>72</v>
      </c>
      <c r="D12" s="26">
        <v>566356</v>
      </c>
      <c r="F12" s="2" t="s">
        <v>5</v>
      </c>
    </row>
    <row r="13" spans="1:6">
      <c r="A13" s="4">
        <f t="shared" si="0"/>
        <v>-5</v>
      </c>
      <c r="B13" s="5">
        <v>4561060</v>
      </c>
      <c r="C13" s="2" t="s">
        <v>73</v>
      </c>
      <c r="D13" s="26">
        <v>788524</v>
      </c>
      <c r="F13" s="2" t="s">
        <v>3</v>
      </c>
    </row>
    <row r="14" spans="1:6">
      <c r="A14" s="4">
        <f t="shared" si="0"/>
        <v>-6</v>
      </c>
      <c r="B14" s="5">
        <v>5650012</v>
      </c>
      <c r="C14" s="2" t="s">
        <v>74</v>
      </c>
      <c r="D14" s="26">
        <v>5035193</v>
      </c>
      <c r="F14" s="2" t="s">
        <v>3</v>
      </c>
    </row>
    <row r="15" spans="1:6">
      <c r="A15" s="4">
        <f t="shared" si="0"/>
        <v>-7</v>
      </c>
      <c r="B15" s="5">
        <v>5650016</v>
      </c>
      <c r="C15" s="2" t="s">
        <v>75</v>
      </c>
      <c r="D15" s="26">
        <v>18568254</v>
      </c>
      <c r="F15" s="2" t="s">
        <v>3</v>
      </c>
    </row>
    <row r="16" spans="1:6">
      <c r="A16" s="4">
        <f t="shared" si="0"/>
        <v>-8</v>
      </c>
      <c r="B16" s="5">
        <v>5650019</v>
      </c>
      <c r="C16" s="2" t="s">
        <v>76</v>
      </c>
      <c r="D16" s="27">
        <v>3965830</v>
      </c>
      <c r="F16" s="2" t="s">
        <v>3</v>
      </c>
    </row>
    <row r="17" spans="1:6">
      <c r="A17" s="4">
        <f t="shared" si="0"/>
        <v>-9</v>
      </c>
      <c r="B17" s="2" t="s">
        <v>69</v>
      </c>
      <c r="D17" s="26">
        <f>SUM(D9:D16)</f>
        <v>74038517.030000001</v>
      </c>
      <c r="F17" s="28"/>
    </row>
    <row r="18" spans="1:6">
      <c r="A18" s="4"/>
      <c r="D18" s="26"/>
      <c r="F18" s="28"/>
    </row>
    <row r="19" spans="1:6">
      <c r="A19" s="4" t="s">
        <v>170</v>
      </c>
      <c r="B19" s="2" t="s">
        <v>132</v>
      </c>
      <c r="D19" s="29">
        <f>ROUND(D17/12,0)</f>
        <v>6169876</v>
      </c>
    </row>
    <row r="20" spans="1:6">
      <c r="A20" s="4" t="s">
        <v>44</v>
      </c>
    </row>
    <row r="21" spans="1:6">
      <c r="A21" s="4">
        <f>A17-1</f>
        <v>-10</v>
      </c>
      <c r="B21" s="2" t="s">
        <v>131</v>
      </c>
      <c r="C21" s="30"/>
      <c r="D21" s="8">
        <v>372542</v>
      </c>
      <c r="E21" s="5" t="s">
        <v>44</v>
      </c>
      <c r="F21" s="2" t="s">
        <v>5</v>
      </c>
    </row>
    <row r="22" spans="1:6">
      <c r="A22" s="4" t="s">
        <v>44</v>
      </c>
      <c r="E22" s="5"/>
    </row>
    <row r="23" spans="1:6">
      <c r="A23" s="4">
        <f>A21-1</f>
        <v>-11</v>
      </c>
      <c r="B23" s="2" t="s">
        <v>79</v>
      </c>
      <c r="D23" s="8">
        <v>42026</v>
      </c>
      <c r="E23" s="5" t="s">
        <v>44</v>
      </c>
      <c r="F23" s="2" t="s">
        <v>3</v>
      </c>
    </row>
    <row r="24" spans="1:6">
      <c r="A24" s="4" t="s">
        <v>171</v>
      </c>
      <c r="B24" s="2" t="s">
        <v>133</v>
      </c>
      <c r="D24" s="31">
        <f>SUM(D21:D23)/12</f>
        <v>34547.333333333336</v>
      </c>
      <c r="E24" s="5"/>
    </row>
    <row r="25" spans="1:6">
      <c r="A25" s="4"/>
      <c r="D25" s="8"/>
      <c r="E25" s="5"/>
    </row>
    <row r="26" spans="1:6">
      <c r="A26" s="4" t="s">
        <v>44</v>
      </c>
    </row>
    <row r="27" spans="1:6" ht="13.5" thickBot="1">
      <c r="A27" s="4" t="s">
        <v>172</v>
      </c>
      <c r="B27" s="7" t="s">
        <v>70</v>
      </c>
      <c r="D27" s="32">
        <f>SUM(D23,D21,D17)</f>
        <v>74453085.030000001</v>
      </c>
    </row>
    <row r="28" spans="1:6" ht="13.5" thickTop="1">
      <c r="A28" s="4" t="s">
        <v>44</v>
      </c>
    </row>
    <row r="29" spans="1:6" ht="13.5" thickBot="1">
      <c r="A29" s="4">
        <v>-13</v>
      </c>
      <c r="B29" s="2" t="s">
        <v>208</v>
      </c>
      <c r="D29" s="33">
        <f>D27/12</f>
        <v>6204423.7525000004</v>
      </c>
    </row>
    <row r="30" spans="1:6" ht="13.5" thickTop="1">
      <c r="B30" s="2" t="s">
        <v>44</v>
      </c>
    </row>
    <row r="31" spans="1:6">
      <c r="A31" s="34" t="s">
        <v>173</v>
      </c>
    </row>
    <row r="34" spans="1:6">
      <c r="A34" s="35"/>
      <c r="B34" s="36"/>
      <c r="C34" s="36"/>
      <c r="D34" s="36"/>
      <c r="E34" s="36"/>
      <c r="F34" s="36"/>
    </row>
    <row r="40" spans="1:6">
      <c r="B40" s="7" t="s">
        <v>67</v>
      </c>
    </row>
    <row r="41" spans="1:6">
      <c r="B41" s="7" t="s">
        <v>193</v>
      </c>
    </row>
    <row r="42" spans="1:6">
      <c r="B42" s="7" t="s">
        <v>68</v>
      </c>
    </row>
    <row r="45" spans="1:6">
      <c r="A45" s="9" t="s">
        <v>91</v>
      </c>
      <c r="B45" s="9" t="s">
        <v>77</v>
      </c>
      <c r="C45" s="9" t="s">
        <v>2</v>
      </c>
      <c r="D45" s="9" t="s">
        <v>78</v>
      </c>
    </row>
    <row r="46" spans="1:6">
      <c r="A46" s="4">
        <v>-1</v>
      </c>
      <c r="B46" s="5">
        <v>4561005</v>
      </c>
      <c r="C46" s="2" t="s">
        <v>124</v>
      </c>
      <c r="D46" s="26">
        <v>-766099.98</v>
      </c>
    </row>
    <row r="47" spans="1:6">
      <c r="A47" s="4">
        <f>A46-1</f>
        <v>-2</v>
      </c>
      <c r="B47" s="5">
        <v>4561002</v>
      </c>
      <c r="C47" s="2" t="s">
        <v>125</v>
      </c>
      <c r="D47" s="26">
        <v>135211.87</v>
      </c>
    </row>
    <row r="48" spans="1:6">
      <c r="A48" s="4">
        <f>A47-1</f>
        <v>-3</v>
      </c>
      <c r="B48" s="5">
        <v>4561035</v>
      </c>
      <c r="C48" s="2" t="s">
        <v>71</v>
      </c>
      <c r="D48" s="26">
        <v>41633169.243048489</v>
      </c>
    </row>
    <row r="49" spans="1:6">
      <c r="A49" s="4">
        <f t="shared" ref="A49:A55" si="1">A48-1</f>
        <v>-4</v>
      </c>
      <c r="B49" s="5">
        <v>4561036</v>
      </c>
      <c r="C49" s="2" t="s">
        <v>72</v>
      </c>
      <c r="D49" s="26">
        <v>175036.01285554259</v>
      </c>
    </row>
    <row r="50" spans="1:6">
      <c r="A50" s="4">
        <f t="shared" si="1"/>
        <v>-5</v>
      </c>
      <c r="B50" s="5">
        <v>4561060</v>
      </c>
      <c r="C50" s="2" t="s">
        <v>73</v>
      </c>
      <c r="D50" s="26">
        <v>1012416.823731375</v>
      </c>
    </row>
    <row r="51" spans="1:6">
      <c r="A51" s="4">
        <f t="shared" si="1"/>
        <v>-6</v>
      </c>
      <c r="B51" s="5">
        <v>5650012</v>
      </c>
      <c r="C51" s="2" t="s">
        <v>74</v>
      </c>
      <c r="D51" s="26">
        <v>8898999.1954638269</v>
      </c>
    </row>
    <row r="52" spans="1:6">
      <c r="A52" s="4">
        <f t="shared" si="1"/>
        <v>-7</v>
      </c>
      <c r="B52" s="5">
        <v>5650016</v>
      </c>
      <c r="C52" s="2" t="s">
        <v>75</v>
      </c>
      <c r="D52" s="26">
        <v>39470780.379406027</v>
      </c>
    </row>
    <row r="53" spans="1:6">
      <c r="A53" s="4">
        <f t="shared" si="1"/>
        <v>-8</v>
      </c>
      <c r="B53" s="5">
        <v>5650019</v>
      </c>
      <c r="C53" s="2" t="s">
        <v>76</v>
      </c>
      <c r="D53" s="37">
        <v>5829121.7728403695</v>
      </c>
    </row>
    <row r="54" spans="1:6">
      <c r="A54" s="4">
        <f t="shared" si="1"/>
        <v>-9</v>
      </c>
      <c r="B54" s="5">
        <v>5650021</v>
      </c>
      <c r="C54" s="2" t="s">
        <v>150</v>
      </c>
      <c r="D54" s="37">
        <v>302339.6012114918</v>
      </c>
    </row>
    <row r="55" spans="1:6">
      <c r="A55" s="4">
        <f t="shared" si="1"/>
        <v>-10</v>
      </c>
      <c r="B55" s="5">
        <v>5650015</v>
      </c>
      <c r="C55" s="2" t="s">
        <v>151</v>
      </c>
      <c r="D55" s="27">
        <v>205519.72225703558</v>
      </c>
    </row>
    <row r="56" spans="1:6">
      <c r="A56" s="4">
        <f>A55-1</f>
        <v>-11</v>
      </c>
      <c r="B56" s="2" t="s">
        <v>69</v>
      </c>
      <c r="D56" s="38">
        <f>SUM(D46:D55)</f>
        <v>96896494.640814155</v>
      </c>
    </row>
    <row r="57" spans="1:6">
      <c r="A57" s="4"/>
      <c r="D57" s="26"/>
    </row>
    <row r="58" spans="1:6">
      <c r="A58" s="4" t="s">
        <v>194</v>
      </c>
      <c r="B58" s="2" t="s">
        <v>132</v>
      </c>
      <c r="D58" s="29">
        <f>ROUND(D56/12,0)</f>
        <v>8074708</v>
      </c>
    </row>
    <row r="59" spans="1:6">
      <c r="A59" s="4" t="s">
        <v>44</v>
      </c>
    </row>
    <row r="60" spans="1:6">
      <c r="A60" s="4">
        <f>A56-1</f>
        <v>-12</v>
      </c>
      <c r="B60" s="2" t="s">
        <v>131</v>
      </c>
      <c r="C60" s="30"/>
      <c r="D60" s="8">
        <v>814208.10916925909</v>
      </c>
      <c r="F60" s="2" t="s">
        <v>5</v>
      </c>
    </row>
    <row r="61" spans="1:6">
      <c r="A61" s="4" t="s">
        <v>44</v>
      </c>
    </row>
    <row r="62" spans="1:6">
      <c r="A62" s="4">
        <f>A60-1</f>
        <v>-13</v>
      </c>
      <c r="B62" s="2" t="s">
        <v>79</v>
      </c>
      <c r="D62" s="8">
        <v>454996.62102846097</v>
      </c>
      <c r="F62" s="2" t="s">
        <v>3</v>
      </c>
    </row>
    <row r="63" spans="1:6">
      <c r="A63" s="4" t="s">
        <v>195</v>
      </c>
      <c r="B63" s="2" t="s">
        <v>133</v>
      </c>
      <c r="D63" s="31">
        <f>SUM(D60:D62)/12</f>
        <v>105767.06084981</v>
      </c>
    </row>
    <row r="64" spans="1:6">
      <c r="A64" s="4"/>
      <c r="D64" s="8"/>
    </row>
    <row r="65" spans="1:6">
      <c r="A65" s="4" t="s">
        <v>44</v>
      </c>
    </row>
    <row r="66" spans="1:6" ht="13.5" thickBot="1">
      <c r="A66" s="4">
        <v>-14</v>
      </c>
      <c r="B66" s="7" t="s">
        <v>70</v>
      </c>
      <c r="D66" s="32">
        <f>SUM(D62,D60,D56)</f>
        <v>98165699.371011868</v>
      </c>
    </row>
    <row r="67" spans="1:6" ht="13.5" thickTop="1">
      <c r="A67" s="4" t="s">
        <v>44</v>
      </c>
    </row>
    <row r="68" spans="1:6" ht="13.5" thickBot="1">
      <c r="A68" s="4">
        <v>-15</v>
      </c>
      <c r="B68" s="2" t="s">
        <v>208</v>
      </c>
      <c r="D68" s="33">
        <f>D66/12</f>
        <v>8180474.9475843227</v>
      </c>
    </row>
    <row r="69" spans="1:6" ht="13.5" thickTop="1">
      <c r="B69" s="2" t="s">
        <v>44</v>
      </c>
    </row>
    <row r="71" spans="1:6">
      <c r="A71" s="35"/>
      <c r="B71" s="36"/>
      <c r="C71" s="36"/>
      <c r="D71" s="36"/>
      <c r="E71" s="36"/>
      <c r="F71" s="36"/>
    </row>
    <row r="75" spans="1:6">
      <c r="A75" s="132"/>
      <c r="B75" s="7" t="s">
        <v>67</v>
      </c>
    </row>
    <row r="76" spans="1:6">
      <c r="A76" s="132"/>
      <c r="B76" s="7" t="s">
        <v>230</v>
      </c>
    </row>
    <row r="77" spans="1:6">
      <c r="A77" s="132"/>
      <c r="B77" s="7" t="s">
        <v>68</v>
      </c>
    </row>
    <row r="78" spans="1:6">
      <c r="A78" s="132"/>
    </row>
    <row r="79" spans="1:6">
      <c r="A79" s="132"/>
    </row>
    <row r="80" spans="1:6">
      <c r="A80" s="9" t="s">
        <v>91</v>
      </c>
      <c r="B80" s="9" t="s">
        <v>77</v>
      </c>
      <c r="C80" s="9" t="s">
        <v>2</v>
      </c>
      <c r="D80" s="9" t="s">
        <v>78</v>
      </c>
    </row>
    <row r="81" spans="1:6">
      <c r="A81" s="4">
        <v>-1</v>
      </c>
      <c r="B81" s="5">
        <v>4561005</v>
      </c>
      <c r="C81" s="2" t="s">
        <v>124</v>
      </c>
      <c r="D81" s="26"/>
    </row>
    <row r="82" spans="1:6">
      <c r="A82" s="4">
        <f>A81-1</f>
        <v>-2</v>
      </c>
      <c r="B82" s="5">
        <v>4561002</v>
      </c>
      <c r="C82" s="2" t="s">
        <v>125</v>
      </c>
      <c r="D82" s="26"/>
    </row>
    <row r="83" spans="1:6">
      <c r="A83" s="4">
        <f>A82-1</f>
        <v>-3</v>
      </c>
      <c r="B83" s="5">
        <v>4561035</v>
      </c>
      <c r="C83" s="2" t="s">
        <v>71</v>
      </c>
      <c r="D83" s="26"/>
    </row>
    <row r="84" spans="1:6">
      <c r="A84" s="4">
        <f t="shared" ref="A84:A90" si="2">A83-1</f>
        <v>-4</v>
      </c>
      <c r="B84" s="5">
        <v>4561036</v>
      </c>
      <c r="C84" s="2" t="s">
        <v>72</v>
      </c>
      <c r="D84" s="26"/>
    </row>
    <row r="85" spans="1:6">
      <c r="A85" s="4">
        <f t="shared" si="2"/>
        <v>-5</v>
      </c>
      <c r="B85" s="5">
        <v>4561060</v>
      </c>
      <c r="C85" s="2" t="s">
        <v>73</v>
      </c>
      <c r="D85" s="26"/>
    </row>
    <row r="86" spans="1:6">
      <c r="A86" s="4">
        <f t="shared" si="2"/>
        <v>-6</v>
      </c>
      <c r="B86" s="5">
        <v>5650012</v>
      </c>
      <c r="C86" s="2" t="s">
        <v>74</v>
      </c>
      <c r="D86" s="26"/>
    </row>
    <row r="87" spans="1:6">
      <c r="A87" s="4">
        <f t="shared" si="2"/>
        <v>-7</v>
      </c>
      <c r="B87" s="5">
        <v>5650016</v>
      </c>
      <c r="C87" s="2" t="s">
        <v>75</v>
      </c>
      <c r="D87" s="26"/>
    </row>
    <row r="88" spans="1:6">
      <c r="A88" s="4">
        <f t="shared" si="2"/>
        <v>-8</v>
      </c>
      <c r="B88" s="5">
        <v>5650019</v>
      </c>
      <c r="C88" s="2" t="s">
        <v>76</v>
      </c>
      <c r="D88" s="37"/>
    </row>
    <row r="89" spans="1:6">
      <c r="A89" s="4">
        <f t="shared" si="2"/>
        <v>-9</v>
      </c>
      <c r="B89" s="5">
        <v>5650021</v>
      </c>
      <c r="C89" s="2" t="s">
        <v>150</v>
      </c>
      <c r="D89" s="37"/>
    </row>
    <row r="90" spans="1:6">
      <c r="A90" s="4">
        <f t="shared" si="2"/>
        <v>-10</v>
      </c>
      <c r="B90" s="5">
        <v>5650015</v>
      </c>
      <c r="C90" s="2" t="s">
        <v>151</v>
      </c>
      <c r="D90" s="27"/>
    </row>
    <row r="91" spans="1:6">
      <c r="A91" s="4">
        <f>A90-1</f>
        <v>-11</v>
      </c>
      <c r="B91" s="2" t="s">
        <v>69</v>
      </c>
      <c r="D91" s="38">
        <f>SUM(D81:D90)</f>
        <v>0</v>
      </c>
    </row>
    <row r="92" spans="1:6">
      <c r="A92" s="4"/>
      <c r="D92" s="26"/>
    </row>
    <row r="93" spans="1:6">
      <c r="A93" s="4" t="s">
        <v>194</v>
      </c>
      <c r="B93" s="2" t="s">
        <v>132</v>
      </c>
      <c r="D93" s="29">
        <f>ROUND(D91/12,0)</f>
        <v>0</v>
      </c>
    </row>
    <row r="94" spans="1:6">
      <c r="A94" s="4" t="s">
        <v>44</v>
      </c>
    </row>
    <row r="95" spans="1:6">
      <c r="A95" s="4">
        <f>A91-1</f>
        <v>-12</v>
      </c>
      <c r="B95" s="2" t="s">
        <v>131</v>
      </c>
      <c r="C95" s="30"/>
      <c r="D95" s="67">
        <v>4119364</v>
      </c>
      <c r="F95" s="2" t="s">
        <v>5</v>
      </c>
    </row>
    <row r="96" spans="1:6">
      <c r="A96" s="4" t="s">
        <v>44</v>
      </c>
    </row>
    <row r="97" spans="1:6">
      <c r="A97" s="4">
        <f>A95-1</f>
        <v>-13</v>
      </c>
      <c r="B97" s="2" t="s">
        <v>79</v>
      </c>
      <c r="D97" s="67">
        <v>1165983</v>
      </c>
      <c r="F97" s="2" t="s">
        <v>3</v>
      </c>
    </row>
    <row r="99" spans="1:6">
      <c r="A99" s="4">
        <f>A97-1</f>
        <v>-14</v>
      </c>
      <c r="D99" s="8">
        <v>1269331</v>
      </c>
    </row>
    <row r="100" spans="1:6">
      <c r="A100" s="4"/>
      <c r="D100" s="67"/>
    </row>
    <row r="101" spans="1:6">
      <c r="A101" s="4" t="s">
        <v>231</v>
      </c>
      <c r="B101" s="2" t="s">
        <v>133</v>
      </c>
      <c r="D101" s="31">
        <f>SUM(D95:D100)/12</f>
        <v>546223.16666666663</v>
      </c>
    </row>
    <row r="102" spans="1:6">
      <c r="A102" s="4"/>
      <c r="D102" s="8"/>
    </row>
    <row r="103" spans="1:6">
      <c r="A103" s="4" t="s">
        <v>44</v>
      </c>
    </row>
    <row r="104" spans="1:6" ht="13.5" thickBot="1">
      <c r="A104" s="4">
        <v>-15</v>
      </c>
      <c r="B104" s="7" t="s">
        <v>70</v>
      </c>
      <c r="D104" s="32">
        <f>SUM(D97,D95,D91,D99)</f>
        <v>6554678</v>
      </c>
    </row>
    <row r="105" spans="1:6" ht="13.5" thickTop="1">
      <c r="A105" s="4" t="s">
        <v>44</v>
      </c>
    </row>
    <row r="106" spans="1:6" ht="13.5" thickBot="1">
      <c r="A106" s="4">
        <v>-16</v>
      </c>
      <c r="B106" s="2" t="s">
        <v>208</v>
      </c>
      <c r="D106" s="33">
        <f>D104/12</f>
        <v>546223.16666666663</v>
      </c>
    </row>
    <row r="107" spans="1:6" ht="13.5" thickTop="1"/>
  </sheetData>
  <customSheetViews>
    <customSheetView guid="{0BD4BC22-E7A2-4140-8384-5A5B3339DEED}" scale="115" fitToPage="1" printArea="1">
      <selection activeCell="F23" sqref="F23"/>
      <pageMargins left="0.7" right="0.7" top="0.75" bottom="0.75" header="0.3" footer="0.3"/>
      <pageSetup scale="47" orientation="portrait" r:id="rId1"/>
    </customSheetView>
    <customSheetView guid="{567BA860-460A-4CE0-A629-0EA7372574F1}" scale="115" showPageBreaks="1" fitToPage="1" printArea="1">
      <selection activeCell="C34" sqref="C34"/>
      <pageMargins left="0.7" right="0.7" top="0.75" bottom="0.75" header="0.3" footer="0.3"/>
      <pageSetup scale="71" orientation="portrait" r:id="rId2"/>
    </customSheetView>
    <customSheetView guid="{4EF176FC-448F-4BD8-8859-C810312E84E7}" scale="115" fitToPage="1" topLeftCell="A4">
      <selection activeCell="A29" sqref="A29"/>
      <pageMargins left="0.7" right="0.7" top="0.75" bottom="0.75" header="0.3" footer="0.3"/>
      <pageSetup scale="71" orientation="portrait" r:id="rId3"/>
    </customSheetView>
  </customSheetViews>
  <pageMargins left="0.7" right="0.7" top="0.75" bottom="0.75" header="0.3" footer="0.3"/>
  <pageSetup scale="71" orientation="portrait"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16"/>
  <sheetViews>
    <sheetView zoomScaleNormal="100" zoomScaleSheetLayoutView="50" workbookViewId="0">
      <selection sqref="A1:G1"/>
    </sheetView>
  </sheetViews>
  <sheetFormatPr defaultColWidth="9.140625" defaultRowHeight="12.75"/>
  <cols>
    <col min="1" max="1" width="13.5703125" style="15" bestFit="1" customWidth="1"/>
    <col min="2" max="2" width="3.5703125" style="15" customWidth="1"/>
    <col min="3" max="4" width="22.5703125" style="15" customWidth="1"/>
    <col min="5" max="5" width="3.5703125" style="15" customWidth="1"/>
    <col min="6" max="7" width="22.5703125" style="15" customWidth="1"/>
    <col min="8" max="8" width="9.140625" style="15"/>
    <col min="9" max="9" width="22" style="16" bestFit="1" customWidth="1"/>
    <col min="10" max="16384" width="9.140625" style="15"/>
  </cols>
  <sheetData>
    <row r="1" spans="1:9">
      <c r="A1" s="288" t="s">
        <v>41</v>
      </c>
      <c r="B1" s="288"/>
      <c r="C1" s="288"/>
      <c r="D1" s="288"/>
      <c r="E1" s="288"/>
      <c r="F1" s="288"/>
      <c r="G1" s="288"/>
    </row>
    <row r="2" spans="1:9">
      <c r="A2" s="238"/>
      <c r="B2" s="238"/>
      <c r="C2" s="238"/>
      <c r="D2" s="238"/>
      <c r="F2" s="238"/>
      <c r="G2" s="238"/>
    </row>
    <row r="3" spans="1:9" ht="15" customHeight="1">
      <c r="A3" s="238"/>
      <c r="B3" s="238"/>
      <c r="C3" s="288" t="s">
        <v>245</v>
      </c>
      <c r="D3" s="288"/>
      <c r="F3" s="288" t="s">
        <v>246</v>
      </c>
      <c r="G3" s="288"/>
      <c r="I3" s="282" t="s">
        <v>247</v>
      </c>
    </row>
    <row r="4" spans="1:9">
      <c r="A4" s="57"/>
      <c r="B4" s="57"/>
      <c r="C4" s="238" t="s">
        <v>227</v>
      </c>
      <c r="D4" s="238" t="s">
        <v>227</v>
      </c>
      <c r="F4" s="238" t="s">
        <v>228</v>
      </c>
      <c r="G4" s="238" t="s">
        <v>228</v>
      </c>
      <c r="H4" s="23"/>
      <c r="I4" s="282"/>
    </row>
    <row r="5" spans="1:9">
      <c r="A5" s="6" t="s">
        <v>21</v>
      </c>
      <c r="B5" s="6"/>
      <c r="C5" s="6" t="s">
        <v>206</v>
      </c>
      <c r="D5" s="6" t="s">
        <v>212</v>
      </c>
      <c r="F5" s="6" t="s">
        <v>206</v>
      </c>
      <c r="G5" s="6" t="s">
        <v>212</v>
      </c>
    </row>
    <row r="6" spans="1:9">
      <c r="A6" s="58" t="s">
        <v>35</v>
      </c>
      <c r="B6" s="58"/>
      <c r="C6" s="18">
        <v>1905331128</v>
      </c>
      <c r="D6" s="280" t="s">
        <v>213</v>
      </c>
      <c r="F6" s="58">
        <v>1860915465.7408028</v>
      </c>
      <c r="G6" s="280" t="s">
        <v>213</v>
      </c>
      <c r="I6" s="270">
        <f t="shared" ref="I6:I13" si="0">(F6-C6)/C6</f>
        <v>-2.3311256298961403E-2</v>
      </c>
    </row>
    <row r="7" spans="1:9">
      <c r="A7" s="58" t="s">
        <v>86</v>
      </c>
      <c r="B7" s="58"/>
      <c r="C7" s="18">
        <v>624292218</v>
      </c>
      <c r="D7" s="280" t="s">
        <v>213</v>
      </c>
      <c r="F7" s="58">
        <v>614827812.18223429</v>
      </c>
      <c r="G7" s="280" t="s">
        <v>213</v>
      </c>
      <c r="I7" s="270">
        <f t="shared" si="0"/>
        <v>-1.5160217514942198E-2</v>
      </c>
    </row>
    <row r="8" spans="1:9" ht="14.45" customHeight="1">
      <c r="A8" s="58" t="s">
        <v>36</v>
      </c>
      <c r="B8" s="58"/>
      <c r="C8" s="18">
        <v>482378610</v>
      </c>
      <c r="D8" s="18">
        <v>1462041</v>
      </c>
      <c r="F8" s="58">
        <v>470361980.57262886</v>
      </c>
      <c r="G8" s="280">
        <f>(((F8-C8)/C8)+1)*D8</f>
        <v>1425619.8060655857</v>
      </c>
      <c r="I8" s="270">
        <f t="shared" si="0"/>
        <v>-2.4911198751891475E-2</v>
      </c>
    </row>
    <row r="9" spans="1:9" ht="14.45" customHeight="1">
      <c r="A9" s="58" t="s">
        <v>37</v>
      </c>
      <c r="B9" s="58"/>
      <c r="C9" s="18">
        <v>887839</v>
      </c>
      <c r="D9" s="280" t="s">
        <v>213</v>
      </c>
      <c r="F9" s="58">
        <v>876088.66903561668</v>
      </c>
      <c r="G9" s="280" t="s">
        <v>213</v>
      </c>
      <c r="I9" s="270">
        <f t="shared" si="0"/>
        <v>-1.3234754234025899E-2</v>
      </c>
    </row>
    <row r="10" spans="1:9" ht="14.45" customHeight="1">
      <c r="A10" s="58" t="s">
        <v>87</v>
      </c>
      <c r="B10" s="58"/>
      <c r="C10" s="18">
        <v>2318218079</v>
      </c>
      <c r="D10" s="18">
        <v>4143950.6</v>
      </c>
      <c r="F10" s="58">
        <v>2267042945.2803736</v>
      </c>
      <c r="G10" s="280">
        <f>(((F10-C10)/C10)+1)*D10</f>
        <v>4052472.0510215517</v>
      </c>
      <c r="I10" s="270">
        <f t="shared" si="0"/>
        <v>-2.2075202580467163E-2</v>
      </c>
    </row>
    <row r="11" spans="1:9" ht="14.45" customHeight="1">
      <c r="A11" s="58" t="s">
        <v>38</v>
      </c>
      <c r="B11" s="58"/>
      <c r="C11" s="18">
        <v>1835832</v>
      </c>
      <c r="D11" s="280" t="s">
        <v>213</v>
      </c>
      <c r="F11" s="58">
        <v>1808045.0293910499</v>
      </c>
      <c r="G11" s="280" t="s">
        <v>213</v>
      </c>
      <c r="I11" s="270">
        <f t="shared" si="0"/>
        <v>-1.5135900566582414E-2</v>
      </c>
    </row>
    <row r="12" spans="1:9">
      <c r="A12" s="58" t="s">
        <v>39</v>
      </c>
      <c r="B12" s="58"/>
      <c r="C12" s="18">
        <v>32488444</v>
      </c>
      <c r="D12" s="280" t="s">
        <v>213</v>
      </c>
      <c r="F12" s="58">
        <v>31861636.570029911</v>
      </c>
      <c r="G12" s="280" t="s">
        <v>213</v>
      </c>
      <c r="I12" s="270">
        <f t="shared" si="0"/>
        <v>-1.9293242544028557E-2</v>
      </c>
    </row>
    <row r="13" spans="1:9">
      <c r="A13" s="58" t="s">
        <v>40</v>
      </c>
      <c r="B13" s="58"/>
      <c r="C13" s="18">
        <v>7809669</v>
      </c>
      <c r="D13" s="280" t="s">
        <v>213</v>
      </c>
      <c r="F13" s="58">
        <v>7691891.9724272098</v>
      </c>
      <c r="G13" s="280" t="s">
        <v>213</v>
      </c>
      <c r="I13" s="270">
        <f t="shared" si="0"/>
        <v>-1.5080924373720597E-2</v>
      </c>
    </row>
    <row r="14" spans="1:9">
      <c r="A14" s="60" t="s">
        <v>6</v>
      </c>
      <c r="B14" s="60"/>
      <c r="C14" s="60">
        <f>SUM(C6:C13)</f>
        <v>5373241819</v>
      </c>
      <c r="D14" s="60">
        <f>SUM(D6:D13)</f>
        <v>5605991.5999999996</v>
      </c>
      <c r="F14" s="60">
        <f>SUM(F6:F13)</f>
        <v>5255385866.0169239</v>
      </c>
      <c r="G14" s="60">
        <f>SUM(G6:G13)</f>
        <v>5478091.8570871372</v>
      </c>
    </row>
    <row r="15" spans="1:9">
      <c r="A15" s="59"/>
      <c r="B15" s="59"/>
      <c r="C15" s="59"/>
    </row>
    <row r="16" spans="1:9">
      <c r="A16" s="59"/>
      <c r="B16" s="59"/>
      <c r="C16" s="59"/>
    </row>
  </sheetData>
  <customSheetViews>
    <customSheetView guid="{0BD4BC22-E7A2-4140-8384-5A5B3339DEED}" fitToPage="1" printArea="1">
      <selection activeCell="D24" sqref="C24:D25"/>
      <pageMargins left="0.7" right="0.7" top="0.75" bottom="0.75" header="0.3" footer="0.3"/>
      <pageSetup orientation="portrait" r:id="rId1"/>
    </customSheetView>
    <customSheetView guid="{567BA860-460A-4CE0-A629-0EA7372574F1}" showPageBreaks="1" fitToPage="1" printArea="1">
      <selection activeCell="D24" sqref="C24:D25"/>
      <pageMargins left="0.7" right="0.7" top="0.75" bottom="0.75" header="0.3" footer="0.3"/>
      <pageSetup orientation="portrait" r:id="rId2"/>
    </customSheetView>
    <customSheetView guid="{4EF176FC-448F-4BD8-8859-C810312E84E7}" fitToPage="1">
      <selection activeCell="N33" sqref="N33"/>
      <pageMargins left="0.7" right="0.7" top="0.75" bottom="0.75" header="0.3" footer="0.3"/>
      <pageSetup orientation="portrait" r:id="rId3"/>
    </customSheetView>
  </customSheetViews>
  <mergeCells count="4">
    <mergeCell ref="C3:D3"/>
    <mergeCell ref="F3:G3"/>
    <mergeCell ref="A1:G1"/>
    <mergeCell ref="I3:I4"/>
  </mergeCells>
  <pageMargins left="0.7" right="0.7" top="0.75" bottom="0.75" header="0.3" footer="0.3"/>
  <pageSetup scale="56" orientation="portrait"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S43"/>
  <sheetViews>
    <sheetView zoomScaleNormal="100" workbookViewId="0">
      <pane ySplit="4" topLeftCell="A5" activePane="bottomLeft" state="frozen"/>
      <selection pane="bottomLeft"/>
    </sheetView>
  </sheetViews>
  <sheetFormatPr defaultColWidth="8.85546875" defaultRowHeight="12.75"/>
  <cols>
    <col min="1" max="1" width="10.7109375" style="71" customWidth="1"/>
    <col min="2" max="2" width="5" style="72" bestFit="1" customWidth="1"/>
    <col min="3" max="3" width="0.28515625" style="71" customWidth="1"/>
    <col min="4" max="4" width="12.7109375" style="71" customWidth="1"/>
    <col min="5" max="5" width="0.28515625" style="71" customWidth="1"/>
    <col min="6" max="6" width="15.7109375" style="71" customWidth="1"/>
    <col min="7" max="7" width="0.28515625" style="71" customWidth="1"/>
    <col min="8" max="8" width="12.85546875" style="71" customWidth="1"/>
    <col min="9" max="9" width="0.28515625" style="71" customWidth="1"/>
    <col min="10" max="10" width="12.7109375" style="71" customWidth="1"/>
    <col min="11" max="11" width="3.7109375" style="71" customWidth="1"/>
    <col min="12" max="12" width="0.28515625" style="71" customWidth="1"/>
    <col min="13" max="13" width="12.7109375" style="71" customWidth="1"/>
    <col min="14" max="14" width="0.28515625" style="71" customWidth="1"/>
    <col min="15" max="15" width="9.7109375" style="71" customWidth="1"/>
    <col min="16" max="16" width="0.28515625" style="71" customWidth="1"/>
    <col min="17" max="17" width="3.7109375" style="71" customWidth="1"/>
    <col min="18" max="18" width="0.28515625" style="71" customWidth="1"/>
    <col min="19" max="19" width="12" style="71" bestFit="1" customWidth="1"/>
    <col min="20" max="20" width="2.28515625" style="71" customWidth="1"/>
    <col min="21" max="16384" width="8.85546875" style="71"/>
  </cols>
  <sheetData>
    <row r="1" spans="2:19" ht="15" customHeight="1">
      <c r="B1" s="289" t="s">
        <v>66</v>
      </c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</row>
    <row r="2" spans="2:19" ht="14.45" customHeight="1">
      <c r="B2" s="290" t="s">
        <v>93</v>
      </c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</row>
    <row r="4" spans="2:19">
      <c r="J4" s="72" t="s">
        <v>44</v>
      </c>
    </row>
    <row r="5" spans="2:19" ht="13.5" thickBot="1"/>
    <row r="6" spans="2:19" ht="26.25" thickBot="1">
      <c r="B6" s="75" t="s">
        <v>45</v>
      </c>
      <c r="C6" s="76"/>
      <c r="D6" s="77" t="s">
        <v>46</v>
      </c>
      <c r="E6" s="78"/>
      <c r="F6" s="79" t="s">
        <v>47</v>
      </c>
      <c r="G6" s="78"/>
      <c r="H6" s="79" t="s">
        <v>48</v>
      </c>
      <c r="I6" s="78"/>
      <c r="J6" s="79" t="s">
        <v>49</v>
      </c>
      <c r="K6" s="80"/>
      <c r="L6" s="78"/>
      <c r="M6" s="79" t="s">
        <v>50</v>
      </c>
      <c r="N6" s="81"/>
      <c r="O6" s="82" t="s">
        <v>51</v>
      </c>
      <c r="P6" s="82"/>
      <c r="Q6" s="81"/>
      <c r="R6" s="81"/>
      <c r="S6" s="83" t="s">
        <v>52</v>
      </c>
    </row>
    <row r="7" spans="2:19" ht="26.25" thickBot="1">
      <c r="B7" s="84"/>
      <c r="C7" s="85"/>
      <c r="D7" s="86"/>
      <c r="E7" s="85"/>
      <c r="F7" s="87" t="s">
        <v>221</v>
      </c>
      <c r="G7" s="85"/>
      <c r="H7" s="86"/>
      <c r="I7" s="85"/>
      <c r="J7" s="86"/>
      <c r="K7" s="88"/>
      <c r="L7" s="85"/>
      <c r="M7" s="86"/>
      <c r="N7" s="89"/>
      <c r="O7" s="90"/>
      <c r="P7" s="90"/>
      <c r="Q7" s="89"/>
      <c r="R7" s="89"/>
      <c r="S7" s="91"/>
    </row>
    <row r="8" spans="2:19">
      <c r="B8" s="92"/>
      <c r="C8" s="93"/>
      <c r="D8" s="93"/>
      <c r="E8" s="93"/>
      <c r="F8" s="93"/>
      <c r="G8" s="93"/>
      <c r="H8" s="93"/>
      <c r="I8" s="93"/>
      <c r="J8" s="93"/>
      <c r="K8" s="94"/>
      <c r="L8" s="93"/>
      <c r="M8" s="93"/>
      <c r="N8" s="93"/>
      <c r="O8" s="93"/>
      <c r="P8" s="93"/>
      <c r="Q8" s="93"/>
      <c r="R8" s="93"/>
      <c r="S8" s="95"/>
    </row>
    <row r="9" spans="2:19" ht="15">
      <c r="B9" s="96">
        <v>1</v>
      </c>
      <c r="C9" s="89"/>
      <c r="D9" s="89" t="s">
        <v>53</v>
      </c>
      <c r="E9" s="89"/>
      <c r="F9" s="97">
        <v>953547559.57000005</v>
      </c>
      <c r="G9" s="89"/>
      <c r="H9" s="98">
        <f>F9/$F$14</f>
        <v>0.52613045260374214</v>
      </c>
      <c r="I9" s="89"/>
      <c r="J9" s="99">
        <v>4.9099999999999998E-2</v>
      </c>
      <c r="K9" s="100"/>
      <c r="L9" s="89"/>
      <c r="M9" s="98">
        <f>ROUND(H9*J9,4)</f>
        <v>2.58E-2</v>
      </c>
      <c r="N9" s="89"/>
      <c r="O9" s="127">
        <f>O38</f>
        <v>1.0055229999999999</v>
      </c>
      <c r="P9" s="89"/>
      <c r="Q9" s="101"/>
      <c r="R9" s="89"/>
      <c r="S9" s="102">
        <f>ROUND(M9*O9,6)</f>
        <v>2.5942E-2</v>
      </c>
    </row>
    <row r="10" spans="2:19" ht="15">
      <c r="B10" s="96">
        <f>+B9+1</f>
        <v>2</v>
      </c>
      <c r="C10" s="89"/>
      <c r="D10" s="89" t="s">
        <v>54</v>
      </c>
      <c r="E10" s="89"/>
      <c r="F10" s="97">
        <v>111251046</v>
      </c>
      <c r="G10" s="89"/>
      <c r="H10" s="98">
        <f>F10/$F$14</f>
        <v>6.138399977764597E-2</v>
      </c>
      <c r="I10" s="89"/>
      <c r="J10" s="99">
        <v>3.73E-2</v>
      </c>
      <c r="K10" s="100"/>
      <c r="L10" s="89"/>
      <c r="M10" s="98">
        <f>ROUND(H10*J10,4)</f>
        <v>2.3E-3</v>
      </c>
      <c r="N10" s="89"/>
      <c r="O10" s="127">
        <f>O38</f>
        <v>1.0055229999999999</v>
      </c>
      <c r="P10" s="89"/>
      <c r="Q10" s="89"/>
      <c r="R10" s="89"/>
      <c r="S10" s="102">
        <f>ROUND(M10*O10,6)</f>
        <v>2.313E-3</v>
      </c>
    </row>
    <row r="11" spans="2:19" ht="26.25">
      <c r="B11" s="96">
        <f>+B10+1</f>
        <v>3</v>
      </c>
      <c r="C11" s="89"/>
      <c r="D11" s="85" t="s">
        <v>55</v>
      </c>
      <c r="E11" s="89"/>
      <c r="F11" s="97">
        <v>0</v>
      </c>
      <c r="G11" s="89"/>
      <c r="H11" s="98">
        <f>F11/$F$14</f>
        <v>0</v>
      </c>
      <c r="I11" s="89"/>
      <c r="J11" s="99">
        <v>0</v>
      </c>
      <c r="K11" s="100"/>
      <c r="L11" s="89"/>
      <c r="M11" s="98">
        <f>ROUND(H11*J11,4)</f>
        <v>0</v>
      </c>
      <c r="N11" s="89"/>
      <c r="O11" s="127">
        <f>O38</f>
        <v>1.0055229999999999</v>
      </c>
      <c r="P11" s="89"/>
      <c r="Q11" s="89"/>
      <c r="R11" s="89"/>
      <c r="S11" s="102">
        <f>ROUND(M11*O11,6)</f>
        <v>0</v>
      </c>
    </row>
    <row r="12" spans="2:19" ht="15">
      <c r="B12" s="96">
        <f>+B11+1</f>
        <v>4</v>
      </c>
      <c r="C12" s="89"/>
      <c r="D12" s="89" t="s">
        <v>56</v>
      </c>
      <c r="E12" s="89"/>
      <c r="F12" s="97">
        <v>747579968.70000005</v>
      </c>
      <c r="G12" s="89"/>
      <c r="H12" s="98">
        <f>F12/$F$14</f>
        <v>0.41248554761861189</v>
      </c>
      <c r="I12" s="89"/>
      <c r="J12" s="103">
        <v>9.7500000000000003E-2</v>
      </c>
      <c r="K12" s="104"/>
      <c r="L12" s="89"/>
      <c r="M12" s="98">
        <f>ROUND(H12*J12,4)</f>
        <v>4.02E-2</v>
      </c>
      <c r="N12" s="89"/>
      <c r="O12" s="128">
        <f>S38</f>
        <v>1.339896</v>
      </c>
      <c r="P12" s="89"/>
      <c r="Q12" s="105"/>
      <c r="R12" s="89"/>
      <c r="S12" s="102">
        <f>ROUND(M12*O12,6)</f>
        <v>5.3864000000000002E-2</v>
      </c>
    </row>
    <row r="13" spans="2:19" ht="15">
      <c r="B13" s="96"/>
      <c r="C13" s="89"/>
      <c r="D13" s="89"/>
      <c r="E13" s="89"/>
      <c r="F13" s="97"/>
      <c r="G13" s="89"/>
      <c r="H13" s="106"/>
      <c r="I13" s="89"/>
      <c r="J13" s="107"/>
      <c r="K13" s="100"/>
      <c r="L13" s="89"/>
      <c r="M13" s="106"/>
      <c r="N13" s="89"/>
      <c r="O13" s="90"/>
      <c r="P13" s="89"/>
      <c r="Q13" s="89"/>
      <c r="R13" s="89"/>
      <c r="S13" s="102"/>
    </row>
    <row r="14" spans="2:19" ht="15">
      <c r="B14" s="96">
        <f>+B12+1</f>
        <v>5</v>
      </c>
      <c r="C14" s="89"/>
      <c r="D14" s="89" t="s">
        <v>57</v>
      </c>
      <c r="E14" s="89"/>
      <c r="F14" s="108">
        <f>SUM(F9:F12)</f>
        <v>1812378574.27</v>
      </c>
      <c r="G14" s="89"/>
      <c r="H14" s="109">
        <f>SUM(H9:H12)</f>
        <v>1</v>
      </c>
      <c r="I14" s="89"/>
      <c r="J14" s="107"/>
      <c r="K14" s="100"/>
      <c r="L14" s="89"/>
      <c r="M14" s="109">
        <f>SUM(M9:M12)</f>
        <v>6.83E-2</v>
      </c>
      <c r="N14" s="89"/>
      <c r="O14" s="89"/>
      <c r="P14" s="89"/>
      <c r="Q14" s="89"/>
      <c r="R14" s="89"/>
      <c r="S14" s="122">
        <f>ROUND(SUM(S9:S13),4)</f>
        <v>8.2100000000000006E-2</v>
      </c>
    </row>
    <row r="15" spans="2:19" ht="15">
      <c r="B15" s="96"/>
      <c r="C15" s="89"/>
      <c r="D15" s="89"/>
      <c r="E15" s="89"/>
      <c r="F15" s="89"/>
      <c r="G15" s="89"/>
      <c r="H15" s="89"/>
      <c r="I15" s="89"/>
      <c r="J15" s="89"/>
      <c r="K15" s="100"/>
      <c r="L15" s="89"/>
      <c r="M15" s="89"/>
      <c r="N15" s="89"/>
      <c r="O15" s="89"/>
      <c r="P15" s="89"/>
      <c r="Q15" s="89"/>
      <c r="R15" s="89"/>
      <c r="S15" s="110"/>
    </row>
    <row r="16" spans="2:19" ht="15.75" thickBot="1">
      <c r="B16" s="111"/>
      <c r="C16" s="112"/>
      <c r="D16" s="112"/>
      <c r="E16" s="112"/>
      <c r="F16" s="112"/>
      <c r="G16" s="112"/>
      <c r="H16" s="112"/>
      <c r="I16" s="112"/>
      <c r="J16" s="112"/>
      <c r="K16" s="113"/>
      <c r="L16" s="112"/>
      <c r="M16" s="112"/>
      <c r="N16" s="112"/>
      <c r="O16" s="112"/>
      <c r="P16" s="112"/>
      <c r="Q16" s="112"/>
      <c r="R16" s="112"/>
      <c r="S16" s="114"/>
    </row>
    <row r="17" spans="1:19">
      <c r="A17" s="74"/>
      <c r="B17" s="73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3"/>
      <c r="Q17" s="74"/>
      <c r="R17" s="74"/>
      <c r="S17" s="74"/>
    </row>
    <row r="18" spans="1:19">
      <c r="A18" s="74"/>
      <c r="B18" s="73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3"/>
      <c r="Q18" s="74"/>
      <c r="R18" s="74"/>
      <c r="S18" s="74"/>
    </row>
    <row r="19" spans="1:19">
      <c r="A19" s="74"/>
      <c r="B19" s="73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3"/>
      <c r="Q19" s="74"/>
      <c r="R19" s="74"/>
      <c r="S19" s="74"/>
    </row>
    <row r="20" spans="1:19">
      <c r="B20" s="73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3"/>
      <c r="Q20" s="74"/>
      <c r="R20" s="74"/>
      <c r="S20" s="74"/>
    </row>
    <row r="21" spans="1:19">
      <c r="B21" s="73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115" t="s">
        <v>58</v>
      </c>
      <c r="P21" s="115"/>
      <c r="S21" s="115" t="s">
        <v>59</v>
      </c>
    </row>
    <row r="22" spans="1:19" ht="15">
      <c r="B22" s="105">
        <v>6</v>
      </c>
      <c r="C22" s="89"/>
      <c r="D22" s="101" t="s">
        <v>60</v>
      </c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116">
        <v>100</v>
      </c>
      <c r="P22" s="89"/>
      <c r="Q22" s="89"/>
      <c r="R22" s="89"/>
      <c r="S22" s="116">
        <f>O22</f>
        <v>100</v>
      </c>
    </row>
    <row r="23" spans="1:19" ht="15">
      <c r="B23" s="105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23"/>
    </row>
    <row r="24" spans="1:19" ht="15">
      <c r="B24" s="105">
        <v>7</v>
      </c>
      <c r="C24" s="117"/>
      <c r="D24" s="118" t="s">
        <v>61</v>
      </c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9">
        <v>0.4</v>
      </c>
      <c r="P24" s="117"/>
      <c r="Q24" s="117"/>
      <c r="R24" s="117"/>
      <c r="S24" s="123">
        <f>O24</f>
        <v>0.4</v>
      </c>
    </row>
    <row r="25" spans="1:19" ht="15">
      <c r="B25" s="105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23"/>
    </row>
    <row r="26" spans="1:19" ht="15">
      <c r="B26" s="105">
        <v>8</v>
      </c>
      <c r="C26" s="117"/>
      <c r="D26" s="118" t="s">
        <v>62</v>
      </c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>
        <v>0.14929999999999999</v>
      </c>
      <c r="P26" s="117"/>
      <c r="Q26" s="117"/>
      <c r="R26" s="117"/>
      <c r="S26" s="123">
        <f>O26</f>
        <v>0.14929999999999999</v>
      </c>
    </row>
    <row r="27" spans="1:19" ht="15">
      <c r="B27" s="105"/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8" t="s">
        <v>44</v>
      </c>
      <c r="P27" s="117"/>
      <c r="Q27" s="117"/>
      <c r="R27" s="117"/>
      <c r="S27" s="123"/>
    </row>
    <row r="28" spans="1:19" ht="15">
      <c r="B28" s="105">
        <v>9</v>
      </c>
      <c r="C28" s="117"/>
      <c r="D28" s="118" t="s">
        <v>63</v>
      </c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9">
        <f>O22-O24-O26</f>
        <v>99.450699999999998</v>
      </c>
      <c r="P28" s="117"/>
      <c r="Q28" s="117"/>
      <c r="R28" s="117"/>
      <c r="S28" s="123">
        <f>S22-S24-S26</f>
        <v>99.450699999999998</v>
      </c>
    </row>
    <row r="29" spans="1:19" ht="15">
      <c r="B29" s="105"/>
      <c r="C29" s="117"/>
      <c r="D29" s="118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23"/>
    </row>
    <row r="30" spans="1:19" ht="15">
      <c r="B30" s="105">
        <v>10</v>
      </c>
      <c r="C30" s="117"/>
      <c r="D30" s="117" t="s">
        <v>222</v>
      </c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72"/>
      <c r="P30" s="117"/>
      <c r="Q30" s="117"/>
      <c r="R30" s="117"/>
      <c r="S30" s="123">
        <f>S28*0.050065</f>
        <v>4.9789992954999995</v>
      </c>
    </row>
    <row r="31" spans="1:19" ht="15">
      <c r="B31" s="105"/>
      <c r="C31" s="117"/>
      <c r="D31" s="118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20"/>
      <c r="P31" s="117"/>
      <c r="Q31" s="117"/>
      <c r="R31" s="117"/>
      <c r="S31" s="123"/>
    </row>
    <row r="32" spans="1:19" ht="15">
      <c r="B32" s="105">
        <v>11</v>
      </c>
      <c r="C32" s="117"/>
      <c r="D32" s="117" t="s">
        <v>202</v>
      </c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20"/>
      <c r="P32" s="117"/>
      <c r="Q32" s="117"/>
      <c r="R32" s="117"/>
      <c r="S32" s="123">
        <f>S28-S30</f>
        <v>94.471700704499995</v>
      </c>
    </row>
    <row r="33" spans="1:19" ht="15">
      <c r="B33" s="105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24"/>
    </row>
    <row r="34" spans="1:19" ht="15">
      <c r="B34" s="105">
        <v>12</v>
      </c>
      <c r="C34" s="117"/>
      <c r="D34" s="117" t="s">
        <v>203</v>
      </c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24">
        <f>S32*0.21</f>
        <v>19.839057147944999</v>
      </c>
    </row>
    <row r="35" spans="1:19" ht="15">
      <c r="B35" s="105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23"/>
    </row>
    <row r="36" spans="1:19" ht="15">
      <c r="B36" s="105">
        <v>13</v>
      </c>
      <c r="C36" s="117"/>
      <c r="D36" s="117" t="s">
        <v>64</v>
      </c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23">
        <f>S32-S34</f>
        <v>74.632643556554996</v>
      </c>
    </row>
    <row r="37" spans="1:19" ht="15">
      <c r="B37" s="105"/>
      <c r="C37" s="117"/>
      <c r="D37" s="117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</row>
    <row r="38" spans="1:19" ht="15">
      <c r="B38" s="105">
        <v>14</v>
      </c>
      <c r="C38" s="117"/>
      <c r="D38" s="117" t="s">
        <v>65</v>
      </c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21">
        <f>ROUND(100/O28,6)</f>
        <v>1.0055229999999999</v>
      </c>
      <c r="P38" s="117"/>
      <c r="Q38" s="117"/>
      <c r="R38" s="117"/>
      <c r="S38" s="117">
        <f>ROUND(100/S36,6)</f>
        <v>1.339896</v>
      </c>
    </row>
    <row r="43" spans="1:19">
      <c r="A43" s="125" t="s">
        <v>128</v>
      </c>
      <c r="B43" s="120"/>
      <c r="C43" s="117"/>
      <c r="D43" s="291" t="s">
        <v>229</v>
      </c>
      <c r="E43" s="291"/>
      <c r="F43" s="291"/>
      <c r="G43" s="291"/>
      <c r="H43" s="291"/>
      <c r="I43" s="291"/>
      <c r="J43" s="291"/>
      <c r="K43" s="291"/>
      <c r="L43" s="291"/>
      <c r="M43" s="291"/>
      <c r="N43" s="291"/>
      <c r="O43" s="291"/>
      <c r="P43" s="291"/>
      <c r="Q43" s="291"/>
      <c r="R43" s="291"/>
      <c r="S43" s="291"/>
    </row>
  </sheetData>
  <customSheetViews>
    <customSheetView guid="{0BD4BC22-E7A2-4140-8384-5A5B3339DEED}" fitToPage="1" printArea="1" hiddenRows="1">
      <pane ySplit="4" topLeftCell="A5" activePane="bottomLeft" state="frozen"/>
      <selection pane="bottomLeft" activeCell="S49" sqref="S49"/>
      <pageMargins left="0" right="0" top="0" bottom="0.2" header="0" footer="0"/>
      <printOptions horizontalCentered="1" verticalCentered="1"/>
      <pageSetup scale="91" orientation="portrait" horizontalDpi="300" verticalDpi="300" r:id="rId1"/>
      <headerFooter alignWithMargins="0"/>
    </customSheetView>
    <customSheetView guid="{567BA860-460A-4CE0-A629-0EA7372574F1}" showPageBreaks="1" fitToPage="1" printArea="1" hiddenRows="1">
      <pane ySplit="4" topLeftCell="A5" activePane="bottomLeft" state="frozen"/>
      <selection pane="bottomLeft" activeCell="B33" sqref="B33"/>
      <pageMargins left="0" right="0" top="0" bottom="0.2" header="0" footer="0"/>
      <printOptions horizontalCentered="1" verticalCentered="1"/>
      <pageSetup scale="91" orientation="portrait" horizontalDpi="300" verticalDpi="300" r:id="rId2"/>
      <headerFooter alignWithMargins="0"/>
    </customSheetView>
    <customSheetView guid="{4EF176FC-448F-4BD8-8859-C810312E84E7}" fitToPage="1" hiddenRows="1">
      <pane ySplit="4" topLeftCell="A5" activePane="bottomLeft" state="frozen"/>
      <selection pane="bottomLeft" activeCell="B33" sqref="B33"/>
      <pageMargins left="0" right="0" top="0" bottom="0.2" header="0" footer="0"/>
      <printOptions horizontalCentered="1" verticalCentered="1"/>
      <pageSetup scale="91" orientation="portrait" horizontalDpi="300" verticalDpi="300" r:id="rId3"/>
      <headerFooter alignWithMargins="0"/>
    </customSheetView>
  </customSheetViews>
  <mergeCells count="3">
    <mergeCell ref="B1:S1"/>
    <mergeCell ref="B2:S2"/>
    <mergeCell ref="D43:S43"/>
  </mergeCells>
  <printOptions horizontalCentered="1" verticalCentered="1"/>
  <pageMargins left="0" right="0" top="0" bottom="0.2" header="0" footer="0"/>
  <pageSetup scale="97" orientation="portrait" horizontalDpi="300" verticalDpi="300" r:id="rId4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136"/>
  <sheetViews>
    <sheetView zoomScaleNormal="100" workbookViewId="0"/>
  </sheetViews>
  <sheetFormatPr defaultColWidth="9.140625" defaultRowHeight="12.75"/>
  <cols>
    <col min="1" max="1" width="9.5703125" style="2" customWidth="1"/>
    <col min="2" max="2" width="66.85546875" style="2" customWidth="1"/>
    <col min="3" max="3" width="18" style="2" customWidth="1"/>
    <col min="4" max="4" width="9.140625" style="2"/>
    <col min="5" max="5" width="31.140625" style="2" bestFit="1" customWidth="1"/>
    <col min="6" max="16384" width="9.140625" style="2"/>
  </cols>
  <sheetData>
    <row r="1" spans="1:5">
      <c r="A1" s="7" t="s">
        <v>99</v>
      </c>
    </row>
    <row r="3" spans="1:5" ht="13.5" hidden="1">
      <c r="B3" s="292"/>
      <c r="C3" s="292"/>
      <c r="E3" s="10" t="s">
        <v>100</v>
      </c>
    </row>
    <row r="4" spans="1:5" hidden="1">
      <c r="A4" s="2" t="s">
        <v>101</v>
      </c>
      <c r="B4" s="2" t="s">
        <v>102</v>
      </c>
      <c r="C4" s="8">
        <v>300309182.89368373</v>
      </c>
      <c r="E4" s="2" t="s">
        <v>209</v>
      </c>
    </row>
    <row r="5" spans="1:5" hidden="1">
      <c r="A5" s="2" t="s">
        <v>103</v>
      </c>
      <c r="B5" s="11" t="s">
        <v>104</v>
      </c>
      <c r="C5" s="11">
        <v>0.98499999999999999</v>
      </c>
      <c r="E5" s="2" t="s">
        <v>105</v>
      </c>
    </row>
    <row r="6" spans="1:5" hidden="1">
      <c r="A6" s="2" t="s">
        <v>106</v>
      </c>
      <c r="B6" s="2" t="s">
        <v>107</v>
      </c>
      <c r="C6" s="12">
        <f>C5*C4</f>
        <v>295804545.15027845</v>
      </c>
      <c r="E6" s="2" t="s">
        <v>108</v>
      </c>
    </row>
    <row r="7" spans="1:5" hidden="1">
      <c r="C7" s="12"/>
    </row>
    <row r="8" spans="1:5" hidden="1">
      <c r="A8" s="2" t="s">
        <v>109</v>
      </c>
      <c r="B8" s="2" t="s">
        <v>110</v>
      </c>
      <c r="C8" s="8">
        <v>266193975</v>
      </c>
      <c r="E8" s="2" t="s">
        <v>111</v>
      </c>
    </row>
    <row r="9" spans="1:5" hidden="1">
      <c r="A9" s="2" t="s">
        <v>112</v>
      </c>
      <c r="B9" s="2" t="s">
        <v>113</v>
      </c>
      <c r="C9" s="12">
        <f>C6-C8</f>
        <v>29610570.150278449</v>
      </c>
      <c r="E9" s="2" t="s">
        <v>108</v>
      </c>
    </row>
    <row r="10" spans="1:5" hidden="1"/>
    <row r="11" spans="1:5" hidden="1">
      <c r="A11" s="2" t="s">
        <v>114</v>
      </c>
      <c r="B11" s="39" t="s">
        <v>130</v>
      </c>
      <c r="C11" s="40">
        <v>7.0486908012783164E-2</v>
      </c>
      <c r="E11" s="2" t="s">
        <v>209</v>
      </c>
    </row>
    <row r="12" spans="1:5" ht="14.45" hidden="1" customHeight="1">
      <c r="A12" s="2" t="s">
        <v>115</v>
      </c>
      <c r="B12" s="41" t="s">
        <v>129</v>
      </c>
      <c r="C12" s="42">
        <v>6.7572499999999994E-2</v>
      </c>
      <c r="E12" s="2" t="s">
        <v>210</v>
      </c>
    </row>
    <row r="13" spans="1:5" hidden="1">
      <c r="A13" s="2" t="s">
        <v>116</v>
      </c>
      <c r="B13" s="2" t="s">
        <v>27</v>
      </c>
      <c r="C13" s="43">
        <f>C11-C12</f>
        <v>2.9144080127831706E-3</v>
      </c>
      <c r="E13" s="2" t="s">
        <v>108</v>
      </c>
    </row>
    <row r="14" spans="1:5" hidden="1"/>
    <row r="15" spans="1:5" hidden="1">
      <c r="A15" s="2" t="s">
        <v>117</v>
      </c>
      <c r="B15" s="2" t="s">
        <v>118</v>
      </c>
      <c r="C15" s="12">
        <f>C13*C9</f>
        <v>86297.282909049682</v>
      </c>
      <c r="E15" s="2" t="s">
        <v>108</v>
      </c>
    </row>
    <row r="16" spans="1:5" hidden="1">
      <c r="A16" s="2" t="s">
        <v>119</v>
      </c>
      <c r="B16" s="11" t="s">
        <v>51</v>
      </c>
      <c r="C16" s="44">
        <v>1.3452999999999999</v>
      </c>
      <c r="E16" s="2" t="s">
        <v>211</v>
      </c>
    </row>
    <row r="17" spans="1:8" ht="13.5" hidden="1">
      <c r="A17" s="45" t="s">
        <v>121</v>
      </c>
      <c r="B17" s="13" t="s">
        <v>120</v>
      </c>
      <c r="C17" s="46">
        <f>ROUND(C16*C15,0)</f>
        <v>116096</v>
      </c>
      <c r="E17" s="2" t="s">
        <v>108</v>
      </c>
    </row>
    <row r="18" spans="1:8" hidden="1"/>
    <row r="19" spans="1:8" ht="13.5" hidden="1" thickBot="1">
      <c r="A19" s="47" t="s">
        <v>122</v>
      </c>
      <c r="B19" s="2" t="s">
        <v>123</v>
      </c>
      <c r="C19" s="33">
        <f>ROUND(C17/12,0)</f>
        <v>9675</v>
      </c>
    </row>
    <row r="20" spans="1:8" ht="13.5" hidden="1" thickTop="1">
      <c r="A20" s="36"/>
      <c r="B20" s="36"/>
      <c r="C20" s="48"/>
      <c r="D20" s="36"/>
      <c r="E20" s="36"/>
      <c r="F20" s="36"/>
      <c r="G20" s="36"/>
      <c r="H20" s="36"/>
    </row>
    <row r="21" spans="1:8" hidden="1"/>
    <row r="22" spans="1:8" hidden="1">
      <c r="A22" s="2" t="s">
        <v>101</v>
      </c>
      <c r="B22" s="2" t="s">
        <v>102</v>
      </c>
      <c r="C22" s="8">
        <v>342717085</v>
      </c>
      <c r="E22" s="2" t="s">
        <v>180</v>
      </c>
    </row>
    <row r="23" spans="1:8" hidden="1">
      <c r="A23" s="2" t="s">
        <v>103</v>
      </c>
      <c r="B23" s="11" t="s">
        <v>104</v>
      </c>
      <c r="C23" s="11">
        <v>0.98499999999999999</v>
      </c>
      <c r="E23" s="2" t="s">
        <v>105</v>
      </c>
    </row>
    <row r="24" spans="1:8" hidden="1">
      <c r="A24" s="2" t="s">
        <v>106</v>
      </c>
      <c r="B24" s="2" t="s">
        <v>107</v>
      </c>
      <c r="C24" s="12">
        <f>C23*C22</f>
        <v>337576328.72500002</v>
      </c>
      <c r="E24" s="2" t="s">
        <v>108</v>
      </c>
    </row>
    <row r="25" spans="1:8" hidden="1">
      <c r="C25" s="12"/>
    </row>
    <row r="26" spans="1:8" hidden="1">
      <c r="A26" s="2" t="s">
        <v>109</v>
      </c>
      <c r="B26" s="2" t="s">
        <v>110</v>
      </c>
      <c r="C26" s="8">
        <v>266193975</v>
      </c>
      <c r="E26" s="2" t="s">
        <v>111</v>
      </c>
    </row>
    <row r="27" spans="1:8" hidden="1">
      <c r="A27" s="2" t="s">
        <v>112</v>
      </c>
      <c r="B27" s="2" t="s">
        <v>113</v>
      </c>
      <c r="C27" s="12">
        <f>C24-C26</f>
        <v>71382353.725000024</v>
      </c>
      <c r="E27" s="2" t="s">
        <v>108</v>
      </c>
    </row>
    <row r="28" spans="1:8" hidden="1"/>
    <row r="29" spans="1:8" hidden="1">
      <c r="A29" s="2" t="s">
        <v>114</v>
      </c>
      <c r="B29" s="39" t="s">
        <v>130</v>
      </c>
      <c r="C29" s="40">
        <v>7.2097999999999995E-2</v>
      </c>
      <c r="E29" s="2" t="s">
        <v>180</v>
      </c>
    </row>
    <row r="30" spans="1:8" hidden="1">
      <c r="A30" s="2" t="s">
        <v>115</v>
      </c>
      <c r="B30" s="41" t="s">
        <v>129</v>
      </c>
      <c r="C30" s="42">
        <v>6.7572499999999994E-2</v>
      </c>
      <c r="E30" s="2" t="s">
        <v>182</v>
      </c>
    </row>
    <row r="31" spans="1:8" hidden="1">
      <c r="A31" s="2" t="s">
        <v>116</v>
      </c>
      <c r="B31" s="2" t="s">
        <v>27</v>
      </c>
      <c r="C31" s="43">
        <f>C29-C30</f>
        <v>4.5255000000000017E-3</v>
      </c>
      <c r="E31" s="2" t="s">
        <v>108</v>
      </c>
    </row>
    <row r="32" spans="1:8" hidden="1"/>
    <row r="33" spans="1:8" hidden="1">
      <c r="A33" s="2" t="s">
        <v>117</v>
      </c>
      <c r="B33" s="2" t="s">
        <v>118</v>
      </c>
      <c r="C33" s="12">
        <f>C31*C27</f>
        <v>323040.84178248775</v>
      </c>
      <c r="E33" s="2" t="s">
        <v>108</v>
      </c>
    </row>
    <row r="34" spans="1:8" hidden="1">
      <c r="A34" s="2" t="s">
        <v>119</v>
      </c>
      <c r="B34" s="11" t="s">
        <v>51</v>
      </c>
      <c r="C34" s="44">
        <v>1.3351</v>
      </c>
      <c r="E34" s="2" t="s">
        <v>181</v>
      </c>
    </row>
    <row r="35" spans="1:8" ht="13.5" hidden="1">
      <c r="A35" s="45" t="s">
        <v>121</v>
      </c>
      <c r="B35" s="13" t="s">
        <v>189</v>
      </c>
      <c r="C35" s="46">
        <f>ROUND(C34*C33,0)</f>
        <v>431292</v>
      </c>
      <c r="E35" s="2" t="s">
        <v>108</v>
      </c>
    </row>
    <row r="36" spans="1:8" hidden="1"/>
    <row r="37" spans="1:8" ht="13.5" hidden="1" thickBot="1">
      <c r="A37" s="47" t="s">
        <v>122</v>
      </c>
      <c r="B37" s="2" t="s">
        <v>123</v>
      </c>
      <c r="C37" s="33">
        <f>ROUND(C35/12,0)</f>
        <v>35941</v>
      </c>
    </row>
    <row r="38" spans="1:8" ht="13.5" hidden="1" thickTop="1"/>
    <row r="39" spans="1:8" hidden="1">
      <c r="A39" s="36"/>
      <c r="B39" s="36"/>
      <c r="C39" s="36"/>
      <c r="D39" s="36"/>
      <c r="E39" s="36"/>
      <c r="F39" s="36"/>
      <c r="G39" s="36"/>
      <c r="H39" s="36"/>
    </row>
    <row r="40" spans="1:8" hidden="1"/>
    <row r="41" spans="1:8" hidden="1">
      <c r="A41" s="2" t="s">
        <v>101</v>
      </c>
      <c r="B41" s="2" t="s">
        <v>102</v>
      </c>
      <c r="C41" s="8">
        <v>346825177</v>
      </c>
      <c r="E41" s="2" t="s">
        <v>190</v>
      </c>
    </row>
    <row r="42" spans="1:8" hidden="1">
      <c r="A42" s="2" t="s">
        <v>103</v>
      </c>
      <c r="B42" s="11" t="s">
        <v>104</v>
      </c>
      <c r="C42" s="11">
        <v>0.98499999999999999</v>
      </c>
      <c r="E42" s="2" t="s">
        <v>105</v>
      </c>
    </row>
    <row r="43" spans="1:8" hidden="1">
      <c r="A43" s="2" t="s">
        <v>106</v>
      </c>
      <c r="B43" s="2" t="s">
        <v>107</v>
      </c>
      <c r="C43" s="12">
        <f>C42*C41</f>
        <v>341622799.34499997</v>
      </c>
      <c r="E43" s="2" t="s">
        <v>108</v>
      </c>
    </row>
    <row r="44" spans="1:8" hidden="1">
      <c r="C44" s="12"/>
    </row>
    <row r="45" spans="1:8" hidden="1">
      <c r="A45" s="2" t="s">
        <v>109</v>
      </c>
      <c r="B45" s="2" t="s">
        <v>110</v>
      </c>
      <c r="C45" s="8">
        <v>266193975</v>
      </c>
      <c r="E45" s="2" t="s">
        <v>111</v>
      </c>
    </row>
    <row r="46" spans="1:8" hidden="1">
      <c r="A46" s="2" t="s">
        <v>112</v>
      </c>
      <c r="B46" s="2" t="s">
        <v>113</v>
      </c>
      <c r="C46" s="12">
        <f>C43-C45</f>
        <v>75428824.344999969</v>
      </c>
      <c r="E46" s="2" t="s">
        <v>108</v>
      </c>
    </row>
    <row r="47" spans="1:8" hidden="1"/>
    <row r="48" spans="1:8" hidden="1">
      <c r="A48" s="2" t="s">
        <v>114</v>
      </c>
      <c r="B48" s="39" t="s">
        <v>130</v>
      </c>
      <c r="C48" s="40">
        <v>7.1297570000000005E-2</v>
      </c>
      <c r="E48" s="2" t="s">
        <v>190</v>
      </c>
    </row>
    <row r="49" spans="1:8" hidden="1">
      <c r="A49" s="2" t="s">
        <v>115</v>
      </c>
      <c r="B49" s="41" t="s">
        <v>129</v>
      </c>
      <c r="C49" s="42">
        <v>6.7572499999999994E-2</v>
      </c>
      <c r="E49" s="2" t="s">
        <v>182</v>
      </c>
    </row>
    <row r="50" spans="1:8" hidden="1">
      <c r="A50" s="2" t="s">
        <v>116</v>
      </c>
      <c r="B50" s="2" t="s">
        <v>27</v>
      </c>
      <c r="C50" s="43">
        <f>C48-C49</f>
        <v>3.7250700000000109E-3</v>
      </c>
      <c r="E50" s="2" t="s">
        <v>108</v>
      </c>
    </row>
    <row r="51" spans="1:8" hidden="1"/>
    <row r="52" spans="1:8" hidden="1">
      <c r="A52" s="2" t="s">
        <v>117</v>
      </c>
      <c r="B52" s="2" t="s">
        <v>118</v>
      </c>
      <c r="C52" s="12">
        <f>C50*C46</f>
        <v>280977.65070282988</v>
      </c>
      <c r="E52" s="2" t="s">
        <v>108</v>
      </c>
    </row>
    <row r="53" spans="1:8" hidden="1">
      <c r="A53" s="2" t="s">
        <v>119</v>
      </c>
      <c r="B53" s="11" t="s">
        <v>51</v>
      </c>
      <c r="C53" s="44">
        <v>1.3479000000000001</v>
      </c>
      <c r="E53" s="2" t="s">
        <v>191</v>
      </c>
    </row>
    <row r="54" spans="1:8" ht="13.5" hidden="1">
      <c r="A54" s="45" t="s">
        <v>121</v>
      </c>
      <c r="B54" s="13" t="s">
        <v>192</v>
      </c>
      <c r="C54" s="46">
        <f>ROUND(C53*C52,0)</f>
        <v>378730</v>
      </c>
      <c r="E54" s="2" t="s">
        <v>108</v>
      </c>
    </row>
    <row r="55" spans="1:8" hidden="1"/>
    <row r="56" spans="1:8" ht="13.5" hidden="1" thickBot="1">
      <c r="A56" s="47" t="s">
        <v>122</v>
      </c>
      <c r="B56" s="2" t="s">
        <v>123</v>
      </c>
      <c r="C56" s="33">
        <f>ROUND(C54/12,0)</f>
        <v>31561</v>
      </c>
    </row>
    <row r="57" spans="1:8" ht="13.5" hidden="1" thickTop="1"/>
    <row r="58" spans="1:8" hidden="1">
      <c r="A58" s="36"/>
      <c r="B58" s="36"/>
      <c r="C58" s="36"/>
      <c r="D58" s="36"/>
      <c r="E58" s="36"/>
      <c r="F58" s="36"/>
      <c r="G58" s="36"/>
      <c r="H58" s="36"/>
    </row>
    <row r="59" spans="1:8" hidden="1"/>
    <row r="60" spans="1:8" hidden="1"/>
    <row r="61" spans="1:8" hidden="1">
      <c r="A61" s="2" t="s">
        <v>101</v>
      </c>
      <c r="B61" s="2" t="s">
        <v>102</v>
      </c>
      <c r="C61" s="8">
        <v>380361298.36626935</v>
      </c>
      <c r="E61" s="2" t="s">
        <v>196</v>
      </c>
    </row>
    <row r="62" spans="1:8" hidden="1">
      <c r="A62" s="2" t="s">
        <v>103</v>
      </c>
      <c r="B62" s="11" t="s">
        <v>104</v>
      </c>
      <c r="C62" s="11">
        <v>0.98499999999999999</v>
      </c>
      <c r="E62" s="2" t="s">
        <v>197</v>
      </c>
    </row>
    <row r="63" spans="1:8" hidden="1">
      <c r="A63" s="2" t="s">
        <v>106</v>
      </c>
      <c r="B63" s="2" t="s">
        <v>107</v>
      </c>
      <c r="C63" s="12">
        <f>C62*C61</f>
        <v>374655878.89077532</v>
      </c>
      <c r="E63" s="2" t="s">
        <v>108</v>
      </c>
    </row>
    <row r="64" spans="1:8" hidden="1">
      <c r="C64" s="12"/>
    </row>
    <row r="65" spans="1:8" hidden="1">
      <c r="A65" s="2" t="s">
        <v>109</v>
      </c>
      <c r="B65" s="2" t="s">
        <v>110</v>
      </c>
      <c r="C65" s="8">
        <v>342210406</v>
      </c>
      <c r="E65" s="2" t="s">
        <v>198</v>
      </c>
    </row>
    <row r="66" spans="1:8" hidden="1">
      <c r="A66" s="2" t="s">
        <v>112</v>
      </c>
      <c r="B66" s="2" t="s">
        <v>113</v>
      </c>
      <c r="C66" s="12">
        <f>C63-C65</f>
        <v>32445472.890775323</v>
      </c>
      <c r="E66" s="2" t="s">
        <v>108</v>
      </c>
    </row>
    <row r="67" spans="1:8" hidden="1"/>
    <row r="68" spans="1:8" hidden="1">
      <c r="A68" s="2" t="s">
        <v>114</v>
      </c>
      <c r="B68" s="39" t="s">
        <v>130</v>
      </c>
      <c r="C68" s="40">
        <v>6.7616723895354336E-2</v>
      </c>
      <c r="E68" s="2" t="s">
        <v>196</v>
      </c>
    </row>
    <row r="69" spans="1:8" hidden="1">
      <c r="A69" s="2" t="s">
        <v>115</v>
      </c>
      <c r="B69" s="41" t="s">
        <v>199</v>
      </c>
      <c r="C69" s="42">
        <v>6.283582141416949E-2</v>
      </c>
      <c r="E69" s="2" t="s">
        <v>196</v>
      </c>
    </row>
    <row r="70" spans="1:8" hidden="1">
      <c r="A70" s="2" t="s">
        <v>116</v>
      </c>
      <c r="B70" s="2" t="s">
        <v>27</v>
      </c>
      <c r="C70" s="43">
        <f>C68-C69</f>
        <v>4.7809024811848455E-3</v>
      </c>
      <c r="E70" s="2" t="s">
        <v>108</v>
      </c>
    </row>
    <row r="71" spans="1:8" hidden="1"/>
    <row r="72" spans="1:8" hidden="1">
      <c r="A72" s="2" t="s">
        <v>117</v>
      </c>
      <c r="B72" s="2" t="s">
        <v>118</v>
      </c>
      <c r="C72" s="12">
        <f>C70*C66</f>
        <v>155118.64184672339</v>
      </c>
      <c r="E72" s="2" t="s">
        <v>108</v>
      </c>
    </row>
    <row r="73" spans="1:8" hidden="1">
      <c r="A73" s="2" t="s">
        <v>119</v>
      </c>
      <c r="B73" s="11" t="s">
        <v>51</v>
      </c>
      <c r="C73" s="44">
        <v>1.3446173622372279</v>
      </c>
      <c r="E73" s="2" t="s">
        <v>200</v>
      </c>
    </row>
    <row r="74" spans="1:8" ht="13.5" hidden="1">
      <c r="A74" s="45" t="s">
        <v>121</v>
      </c>
      <c r="B74" s="13" t="s">
        <v>204</v>
      </c>
      <c r="C74" s="46">
        <f>ROUND(C73*C72,0)</f>
        <v>208575</v>
      </c>
      <c r="E74" s="2" t="s">
        <v>108</v>
      </c>
    </row>
    <row r="75" spans="1:8" hidden="1"/>
    <row r="76" spans="1:8" ht="13.5" hidden="1" thickBot="1">
      <c r="A76" s="47" t="s">
        <v>122</v>
      </c>
      <c r="B76" s="2" t="s">
        <v>123</v>
      </c>
      <c r="C76" s="33">
        <f>ROUND(C74/12,0)</f>
        <v>17381</v>
      </c>
    </row>
    <row r="77" spans="1:8" ht="13.5" hidden="1" thickTop="1"/>
    <row r="78" spans="1:8" hidden="1">
      <c r="A78" s="36"/>
      <c r="B78" s="36"/>
      <c r="C78" s="36"/>
      <c r="D78" s="36"/>
      <c r="E78" s="36"/>
      <c r="F78" s="36"/>
      <c r="G78" s="36"/>
      <c r="H78" s="36"/>
    </row>
    <row r="81" spans="1:5">
      <c r="A81" s="2" t="s">
        <v>101</v>
      </c>
      <c r="B81" s="2" t="s">
        <v>102</v>
      </c>
      <c r="C81" s="8">
        <v>496964162</v>
      </c>
      <c r="E81" s="2" t="s">
        <v>196</v>
      </c>
    </row>
    <row r="82" spans="1:5">
      <c r="A82" s="2" t="s">
        <v>103</v>
      </c>
      <c r="B82" s="11" t="s">
        <v>104</v>
      </c>
      <c r="C82" s="11">
        <v>0.98499999999999999</v>
      </c>
      <c r="E82" s="2" t="s">
        <v>197</v>
      </c>
    </row>
    <row r="83" spans="1:5">
      <c r="A83" s="2" t="s">
        <v>106</v>
      </c>
      <c r="B83" s="2" t="s">
        <v>107</v>
      </c>
      <c r="C83" s="12">
        <f>C82*C81</f>
        <v>489509699.56999999</v>
      </c>
      <c r="E83" s="2" t="s">
        <v>108</v>
      </c>
    </row>
    <row r="84" spans="1:5">
      <c r="C84" s="12"/>
    </row>
    <row r="85" spans="1:5">
      <c r="A85" s="2" t="s">
        <v>109</v>
      </c>
      <c r="B85" s="2" t="s">
        <v>110</v>
      </c>
      <c r="C85" s="8">
        <v>342210406</v>
      </c>
      <c r="E85" s="2" t="s">
        <v>198</v>
      </c>
    </row>
    <row r="86" spans="1:5">
      <c r="A86" s="2" t="s">
        <v>112</v>
      </c>
      <c r="B86" s="2" t="s">
        <v>113</v>
      </c>
      <c r="C86" s="12">
        <f>C83-C85</f>
        <v>147299293.56999999</v>
      </c>
      <c r="E86" s="2" t="s">
        <v>108</v>
      </c>
    </row>
    <row r="88" spans="1:5">
      <c r="A88" s="2" t="s">
        <v>114</v>
      </c>
      <c r="B88" s="39" t="s">
        <v>130</v>
      </c>
      <c r="C88" s="40">
        <v>6.4807046708744667E-2</v>
      </c>
      <c r="E88" s="2" t="s">
        <v>214</v>
      </c>
    </row>
    <row r="89" spans="1:5">
      <c r="A89" s="2" t="s">
        <v>115</v>
      </c>
      <c r="B89" s="41" t="s">
        <v>199</v>
      </c>
      <c r="C89" s="42">
        <v>6.283582141416949E-2</v>
      </c>
      <c r="E89" s="2" t="s">
        <v>214</v>
      </c>
    </row>
    <row r="90" spans="1:5">
      <c r="A90" s="2" t="s">
        <v>116</v>
      </c>
      <c r="B90" s="2" t="s">
        <v>27</v>
      </c>
      <c r="C90" s="43">
        <f>C88-C89</f>
        <v>1.9712252945751768E-3</v>
      </c>
      <c r="E90" s="2" t="s">
        <v>108</v>
      </c>
    </row>
    <row r="92" spans="1:5">
      <c r="A92" s="2" t="s">
        <v>117</v>
      </c>
      <c r="B92" s="2" t="s">
        <v>118</v>
      </c>
      <c r="C92" s="12">
        <f>C90*C86</f>
        <v>290360.09335823869</v>
      </c>
      <c r="E92" s="2" t="s">
        <v>108</v>
      </c>
    </row>
    <row r="93" spans="1:5">
      <c r="A93" s="2" t="s">
        <v>119</v>
      </c>
      <c r="B93" s="11" t="s">
        <v>51</v>
      </c>
      <c r="C93" s="44">
        <v>1.4021076482167993</v>
      </c>
      <c r="E93" s="2" t="s">
        <v>215</v>
      </c>
    </row>
    <row r="94" spans="1:5" ht="13.5">
      <c r="A94" s="45" t="s">
        <v>121</v>
      </c>
      <c r="B94" s="13" t="s">
        <v>204</v>
      </c>
      <c r="C94" s="46">
        <f>ROUND(C93*C92,0)</f>
        <v>407116</v>
      </c>
      <c r="E94" s="2" t="s">
        <v>108</v>
      </c>
    </row>
    <row r="96" spans="1:5" ht="13.5" thickBot="1">
      <c r="A96" s="47" t="s">
        <v>122</v>
      </c>
      <c r="B96" s="2" t="s">
        <v>123</v>
      </c>
      <c r="C96" s="33">
        <f>ROUND(C94/12,0)</f>
        <v>33926</v>
      </c>
    </row>
    <row r="97" spans="1:8" ht="13.5" thickTop="1"/>
    <row r="98" spans="1:8">
      <c r="A98" s="36"/>
      <c r="B98" s="36"/>
      <c r="C98" s="36"/>
      <c r="D98" s="36"/>
      <c r="E98" s="36"/>
      <c r="F98" s="36"/>
      <c r="G98" s="36"/>
      <c r="H98" s="36"/>
    </row>
    <row r="101" spans="1:8">
      <c r="A101" s="2" t="s">
        <v>101</v>
      </c>
      <c r="B101" s="2" t="s">
        <v>102</v>
      </c>
      <c r="C101" s="8">
        <v>497312162</v>
      </c>
      <c r="E101" s="2" t="s">
        <v>196</v>
      </c>
    </row>
    <row r="102" spans="1:8">
      <c r="A102" s="2" t="s">
        <v>103</v>
      </c>
      <c r="B102" s="11" t="s">
        <v>104</v>
      </c>
      <c r="C102" s="11">
        <v>0.98499999999999999</v>
      </c>
      <c r="E102" s="2" t="s">
        <v>197</v>
      </c>
    </row>
    <row r="103" spans="1:8">
      <c r="A103" s="2" t="s">
        <v>106</v>
      </c>
      <c r="B103" s="2" t="s">
        <v>107</v>
      </c>
      <c r="C103" s="12">
        <f>C102*C101</f>
        <v>489852479.56999999</v>
      </c>
      <c r="E103" s="2" t="s">
        <v>108</v>
      </c>
    </row>
    <row r="104" spans="1:8">
      <c r="C104" s="12"/>
    </row>
    <row r="105" spans="1:8">
      <c r="A105" s="2" t="s">
        <v>109</v>
      </c>
      <c r="B105" s="2" t="s">
        <v>110</v>
      </c>
      <c r="C105" s="8">
        <v>342210406</v>
      </c>
      <c r="E105" s="2" t="s">
        <v>198</v>
      </c>
    </row>
    <row r="106" spans="1:8">
      <c r="A106" s="2" t="s">
        <v>112</v>
      </c>
      <c r="B106" s="2" t="s">
        <v>113</v>
      </c>
      <c r="C106" s="12">
        <f>C103-C105</f>
        <v>147642073.56999999</v>
      </c>
      <c r="E106" s="2" t="s">
        <v>108</v>
      </c>
    </row>
    <row r="108" spans="1:8">
      <c r="A108" s="2" t="s">
        <v>114</v>
      </c>
      <c r="B108" s="39" t="s">
        <v>130</v>
      </c>
      <c r="C108" s="40">
        <v>6.4807046708744667E-2</v>
      </c>
      <c r="E108" s="2" t="s">
        <v>214</v>
      </c>
    </row>
    <row r="109" spans="1:8">
      <c r="A109" s="2" t="s">
        <v>115</v>
      </c>
      <c r="B109" s="41" t="s">
        <v>199</v>
      </c>
      <c r="C109" s="42">
        <v>6.283582141416949E-2</v>
      </c>
      <c r="E109" s="2" t="s">
        <v>214</v>
      </c>
    </row>
    <row r="110" spans="1:8">
      <c r="A110" s="2" t="s">
        <v>116</v>
      </c>
      <c r="B110" s="2" t="s">
        <v>27</v>
      </c>
      <c r="C110" s="43">
        <f>C108-C109</f>
        <v>1.9712252945751768E-3</v>
      </c>
      <c r="E110" s="2" t="s">
        <v>108</v>
      </c>
    </row>
    <row r="112" spans="1:8">
      <c r="A112" s="2" t="s">
        <v>117</v>
      </c>
      <c r="B112" s="2" t="s">
        <v>118</v>
      </c>
      <c r="C112" s="12">
        <f>C110*C106</f>
        <v>291035.78996471316</v>
      </c>
      <c r="E112" s="2" t="s">
        <v>108</v>
      </c>
    </row>
    <row r="113" spans="1:8">
      <c r="A113" s="2" t="s">
        <v>119</v>
      </c>
      <c r="B113" s="11" t="s">
        <v>51</v>
      </c>
      <c r="C113" s="44">
        <v>1.4021076482167993</v>
      </c>
      <c r="E113" s="2" t="s">
        <v>215</v>
      </c>
    </row>
    <row r="114" spans="1:8" ht="13.5">
      <c r="A114" s="45" t="s">
        <v>121</v>
      </c>
      <c r="B114" s="13" t="s">
        <v>204</v>
      </c>
      <c r="C114" s="46">
        <f>ROUND(C113*C112,0)</f>
        <v>408064</v>
      </c>
      <c r="E114" s="2" t="s">
        <v>108</v>
      </c>
    </row>
    <row r="116" spans="1:8" ht="13.5" thickBot="1">
      <c r="A116" s="47" t="s">
        <v>122</v>
      </c>
      <c r="B116" s="2" t="s">
        <v>123</v>
      </c>
      <c r="C116" s="33">
        <f>ROUND(C114/12,0)</f>
        <v>34005</v>
      </c>
    </row>
    <row r="117" spans="1:8" ht="13.5" thickTop="1"/>
    <row r="118" spans="1:8">
      <c r="A118" s="36"/>
      <c r="B118" s="36"/>
      <c r="C118" s="36"/>
      <c r="D118" s="36"/>
      <c r="E118" s="36"/>
      <c r="F118" s="36"/>
      <c r="G118" s="36"/>
      <c r="H118" s="36"/>
    </row>
    <row r="120" spans="1:8">
      <c r="A120" s="2" t="s">
        <v>101</v>
      </c>
      <c r="B120" s="2" t="s">
        <v>102</v>
      </c>
      <c r="C120" s="8">
        <v>533975292</v>
      </c>
      <c r="E120" s="2" t="s">
        <v>223</v>
      </c>
    </row>
    <row r="121" spans="1:8">
      <c r="A121" s="2" t="s">
        <v>103</v>
      </c>
      <c r="B121" s="11" t="s">
        <v>104</v>
      </c>
      <c r="C121" s="11">
        <v>0.98499999999999999</v>
      </c>
      <c r="E121" s="2" t="s">
        <v>197</v>
      </c>
    </row>
    <row r="122" spans="1:8">
      <c r="A122" s="2" t="s">
        <v>106</v>
      </c>
      <c r="B122" s="2" t="s">
        <v>107</v>
      </c>
      <c r="C122" s="12">
        <f>C121*C120</f>
        <v>525965662.62</v>
      </c>
      <c r="E122" s="2" t="s">
        <v>108</v>
      </c>
    </row>
    <row r="123" spans="1:8">
      <c r="C123" s="12"/>
    </row>
    <row r="124" spans="1:8">
      <c r="A124" s="2" t="s">
        <v>109</v>
      </c>
      <c r="B124" s="2" t="s">
        <v>110</v>
      </c>
      <c r="C124" s="8">
        <v>342210406</v>
      </c>
      <c r="E124" s="2" t="s">
        <v>198</v>
      </c>
    </row>
    <row r="125" spans="1:8">
      <c r="A125" s="2" t="s">
        <v>112</v>
      </c>
      <c r="B125" s="2" t="s">
        <v>113</v>
      </c>
      <c r="C125" s="12">
        <f>C122-C124</f>
        <v>183755256.62</v>
      </c>
      <c r="E125" s="2" t="s">
        <v>108</v>
      </c>
    </row>
    <row r="127" spans="1:8">
      <c r="A127" s="2" t="s">
        <v>114</v>
      </c>
      <c r="B127" s="39" t="s">
        <v>130</v>
      </c>
      <c r="C127" s="130">
        <v>7.5524045299039999E-2</v>
      </c>
      <c r="E127" s="2" t="s">
        <v>223</v>
      </c>
    </row>
    <row r="128" spans="1:8">
      <c r="A128" s="2" t="s">
        <v>115</v>
      </c>
      <c r="B128" s="41" t="s">
        <v>199</v>
      </c>
      <c r="C128" s="42">
        <v>6.283582141416949E-2</v>
      </c>
      <c r="E128" s="129" t="s">
        <v>224</v>
      </c>
    </row>
    <row r="129" spans="1:5">
      <c r="A129" s="2" t="s">
        <v>116</v>
      </c>
      <c r="B129" s="2" t="s">
        <v>27</v>
      </c>
      <c r="C129" s="43">
        <f>C127-C128</f>
        <v>1.2688223884870509E-2</v>
      </c>
      <c r="E129" s="2" t="s">
        <v>108</v>
      </c>
    </row>
    <row r="131" spans="1:5">
      <c r="A131" s="2" t="s">
        <v>117</v>
      </c>
      <c r="B131" s="2" t="s">
        <v>118</v>
      </c>
      <c r="C131" s="12">
        <f>C129*C125</f>
        <v>2331527.8360163937</v>
      </c>
      <c r="E131" s="2" t="s">
        <v>108</v>
      </c>
    </row>
    <row r="132" spans="1:5">
      <c r="A132" s="2" t="s">
        <v>119</v>
      </c>
      <c r="B132" s="11" t="s">
        <v>51</v>
      </c>
      <c r="C132" s="44">
        <v>1.33258531</v>
      </c>
      <c r="E132" s="2" t="s">
        <v>225</v>
      </c>
    </row>
    <row r="133" spans="1:5" ht="13.5">
      <c r="A133" s="45" t="s">
        <v>121</v>
      </c>
      <c r="B133" s="13" t="s">
        <v>204</v>
      </c>
      <c r="C133" s="46">
        <f>ROUND(C132*C131,0)</f>
        <v>3106960</v>
      </c>
      <c r="E133" s="2" t="s">
        <v>108</v>
      </c>
    </row>
    <row r="135" spans="1:5" ht="13.5" thickBot="1">
      <c r="A135" s="47" t="s">
        <v>122</v>
      </c>
      <c r="B135" s="2" t="s">
        <v>123</v>
      </c>
      <c r="C135" s="33">
        <f>ROUND(C133/12,0)</f>
        <v>258913</v>
      </c>
    </row>
    <row r="136" spans="1:5" ht="13.5" thickTop="1"/>
  </sheetData>
  <customSheetViews>
    <customSheetView guid="{0BD4BC22-E7A2-4140-8384-5A5B3339DEED}" fitToPage="1" printArea="1">
      <selection activeCell="B11" sqref="B11"/>
      <pageMargins left="0.7" right="0.7" top="0.75" bottom="0.75" header="0.3" footer="0.3"/>
      <pageSetup scale="67" orientation="portrait" r:id="rId1"/>
    </customSheetView>
    <customSheetView guid="{567BA860-460A-4CE0-A629-0EA7372574F1}" showPageBreaks="1" fitToPage="1" printArea="1">
      <selection activeCell="E36" sqref="E36"/>
      <pageMargins left="0.7" right="0.7" top="0.75" bottom="0.75" header="0.3" footer="0.3"/>
      <pageSetup scale="67" orientation="portrait" r:id="rId2"/>
    </customSheetView>
    <customSheetView guid="{4EF176FC-448F-4BD8-8859-C810312E84E7}" fitToPage="1">
      <selection activeCell="C12" sqref="C12"/>
      <pageMargins left="0.7" right="0.7" top="0.75" bottom="0.75" header="0.3" footer="0.3"/>
      <pageSetup scale="67" orientation="portrait" r:id="rId3"/>
    </customSheetView>
  </customSheetViews>
  <mergeCells count="1">
    <mergeCell ref="B3:C3"/>
  </mergeCells>
  <pageMargins left="0.7" right="0.7" top="0.75" bottom="0.75" header="0.3" footer="0.3"/>
  <pageSetup scale="59" orientation="portrait"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YXV0b1NlbGVjdGVkU3VnZ2VzdGlvbiI+PGVsZW1lbnQgdWlkPSI1MGMzMTgyNC0wNzgwLTQ5MTAtODdkMS1lYWFmZmQxODJkNDIiIHZhbHVlPSIiIHhtbG5zPSJodHRwOi8vd3d3LmJvbGRvbmphbWVzLmNvbS8yMDA4LzAxL3NpZS9pbnRlcm5hbC9sYWJlbCIgLz48ZWxlbWVudCB1aWQ9ImM2NDIxOGFiLWI4ZDEtNDBiNi1hNDc4LWNiOGJlMWUxMGVjYyIgdmFsdWU9IiIgeG1sbnM9Imh0dHA6Ly93d3cuYm9sZG9uamFtZXMuY29tLzIwMDgvMDEvc2llL2ludGVybmFsL2xhYmVsIiAvPjwvc2lzbD48VXNlck5hbWU+Q09SUFxzMjkwNzkyPC9Vc2VyTmFtZT48RGF0ZVRpbWU+Ny8yNS8yMDIyIDQ6NTM6MjAgUE08L0RhdGVUaW1lPjxMYWJlbFN0cmluZz5BRVAgSW50ZXJuYWw8L0xhYmVsU3RyaW5nPjwvaXRlbT48aXRlbT48c2lzbCBzaXNsVmVyc2lvbj0iMCIgcG9saWN5PSJlOWMwYjhkNy1iZGI0LTRmZDMtYjYyYS1mNTAzMjdhYWVmY2UiIG9yaWdpbj0idXNlclNlbGVjdGVkIj48ZWxlbWVudCB1aWQ9IjUwYzMxODI0LTA3ODAtNDkxMC04N2QxLWVhYWZmZDE4MmQ0MiIgdmFsdWU9IiIgeG1sbnM9Imh0dHA6Ly93d3cuYm9sZG9uamFtZXMuY29tLzIwMDgvMDEvc2llL2ludGVybmFsL2xhYmVsIiAvPjwvc2lzbD48VXNlck5hbWU+Q09SUFxzMjkwNzkyPC9Vc2VyTmFtZT48RGF0ZVRpbWU+Ny8yNi8yMDIyIDM6Mjk6MDAgUE08L0RhdGVUaW1lPjxMYWJlbFN0cmluZz5BRVAgSW50ZXJuYWw8L0xhYmVsU3RyaW5nPjwvaXRlbT48L2xhYmVsSGlzdG9yeT4=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50c31824-0780-4910-87d1-eaaffd182d42" value=""/>
</sisl>
</file>

<file path=customXml/itemProps1.xml><?xml version="1.0" encoding="utf-8"?>
<ds:datastoreItem xmlns:ds="http://schemas.openxmlformats.org/officeDocument/2006/customXml" ds:itemID="{9B482F11-42D7-48F6-9F90-CC15E10D26C0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130953C3-F9DF-4E0F-92FA-6AA6651EEF9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7</vt:i4>
      </vt:variant>
    </vt:vector>
  </HeadingPairs>
  <TitlesOfParts>
    <vt:vector size="17" baseType="lpstr">
      <vt:lpstr>PPA Form 1.0</vt:lpstr>
      <vt:lpstr>PPA Form 2.0</vt:lpstr>
      <vt:lpstr>PPA Form 3.0</vt:lpstr>
      <vt:lpstr>PPA Form 3.0a</vt:lpstr>
      <vt:lpstr>PPA Form 4.0</vt:lpstr>
      <vt:lpstr>PPA Form 5.0</vt:lpstr>
      <vt:lpstr>Input Sheet</vt:lpstr>
      <vt:lpstr>GRCF</vt:lpstr>
      <vt:lpstr>Retail vs TO</vt:lpstr>
      <vt:lpstr>Rev Req Variance</vt:lpstr>
      <vt:lpstr>GRCF!Print_Area</vt:lpstr>
      <vt:lpstr>'PPA Form 1.0'!Print_Area</vt:lpstr>
      <vt:lpstr>'PPA Form 2.0'!Print_Area</vt:lpstr>
      <vt:lpstr>'PPA Form 3.0'!Print_Area</vt:lpstr>
      <vt:lpstr>'PPA Form 3.0a'!Print_Area</vt:lpstr>
      <vt:lpstr>'PPA Form 5.0'!Print_Area</vt:lpstr>
      <vt:lpstr>'Retail vs TO'!Print_Area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AEP</dc:creator>
  <cp:keywords/>
  <cp:lastModifiedBy>Lerah M Kahn</cp:lastModifiedBy>
  <cp:lastPrinted>2019-08-13T18:34:04Z</cp:lastPrinted>
  <dcterms:created xsi:type="dcterms:W3CDTF">2015-03-17T12:16:01Z</dcterms:created>
  <dcterms:modified xsi:type="dcterms:W3CDTF">2025-08-15T21:10:30Z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c31a8b5e-7cd5-4e22-85fe-ab32033ae9b1</vt:lpwstr>
  </property>
  <property fmtid="{D5CDD505-2E9C-101B-9397-08002B2CF9AE}" pid="3" name="bjSaver">
    <vt:lpwstr>82y7WusX6p1G1FJkfwXhV3ab3P1DoTfj</vt:lpwstr>
  </property>
  <property fmtid="{D5CDD505-2E9C-101B-9397-08002B2CF9AE}" pid="4" name="bjDocumentSecurityLabel">
    <vt:lpwstr>AEP Internal</vt:lpwstr>
  </property>
  <property fmtid="{D5CDD505-2E9C-101B-9397-08002B2CF9AE}" pid="5" name="Visual Markings Removed">
    <vt:lpwstr>No</vt:lpwstr>
  </property>
  <property fmtid="{D5CDD505-2E9C-101B-9397-08002B2CF9AE}" pid="6" name="MSIP_Label_69f43042-6bda-44b2-91eb-eca3d3d484f4_SiteId">
    <vt:lpwstr>15f3c881-6b03-4ff6-8559-77bf5177818f</vt:lpwstr>
  </property>
  <property fmtid="{D5CDD505-2E9C-101B-9397-08002B2CF9AE}" pid="7" name="MSIP_Label_69f43042-6bda-44b2-91eb-eca3d3d484f4_Name">
    <vt:lpwstr>AEP Internal</vt:lpwstr>
  </property>
  <property fmtid="{D5CDD505-2E9C-101B-9397-08002B2CF9AE}" pid="8" name="MSIP_Label_69f43042-6bda-44b2-91eb-eca3d3d484f4_Enabled">
    <vt:lpwstr>true</vt:lpwstr>
  </property>
  <property fmtid="{D5CDD505-2E9C-101B-9397-08002B2CF9AE}" pid="9" name="bjClsUserRVM">
    <vt:lpwstr>[]</vt:lpwstr>
  </property>
  <property fmtid="{D5CDD505-2E9C-101B-9397-08002B2CF9AE}" pid="10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11" name="bjDocumentLabelXML-0">
    <vt:lpwstr>ames.com/2008/01/sie/internal/label"&gt;&lt;element uid="50c31824-0780-4910-87d1-eaaffd182d42" value="" /&gt;&lt;/sisl&gt;</vt:lpwstr>
  </property>
  <property fmtid="{D5CDD505-2E9C-101B-9397-08002B2CF9AE}" pid="12" name="bjLabelHistoryID">
    <vt:lpwstr>{9B482F11-42D7-48F6-9F90-CC15E10D26C0}</vt:lpwstr>
  </property>
</Properties>
</file>