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Internal\01_Regulatory Services\01_Recurring Filings\01_Annual\PPA\2025\Cover Letter\"/>
    </mc:Choice>
  </mc:AlternateContent>
  <xr:revisionPtr revIDLastSave="0" documentId="13_ncr:1_{3F293CAB-C94B-49BC-9390-AD8C3AF4BD0A}" xr6:coauthVersionLast="47" xr6:coauthVersionMax="47" xr10:uidLastSave="{00000000-0000-0000-0000-000000000000}"/>
  <bookViews>
    <workbookView xWindow="38280" yWindow="-120" windowWidth="38640" windowHeight="21120" xr2:uid="{D2AE88C8-99DF-4C5E-9D3B-54A62813DBFC}"/>
  </bookViews>
  <sheets>
    <sheet name="Summary" sheetId="1" r:id="rId1"/>
    <sheet name="Expenses by Account" sheetId="2" r:id="rId2"/>
    <sheet name="Base PJM LSE OAT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3" l="1"/>
  <c r="C29" i="3"/>
  <c r="G11" i="3" s="1"/>
  <c r="C28" i="3"/>
  <c r="C35" i="3" s="1"/>
  <c r="C22" i="3"/>
  <c r="C21" i="3"/>
  <c r="C19" i="3"/>
  <c r="D18" i="3"/>
  <c r="F18" i="3" s="1"/>
  <c r="C12" i="3"/>
  <c r="D10" i="3"/>
  <c r="D8" i="3"/>
  <c r="F8" i="3" s="1"/>
  <c r="C23" i="3" l="1"/>
  <c r="G15" i="3"/>
  <c r="G17" i="3"/>
  <c r="G7" i="3"/>
  <c r="G9" i="3"/>
  <c r="C36" i="3"/>
  <c r="C37" i="3" s="1"/>
  <c r="D32" i="3"/>
  <c r="F32" i="3" s="1"/>
  <c r="G14" i="3"/>
  <c r="G16" i="3"/>
  <c r="F10" i="3"/>
  <c r="F22" i="3" s="1"/>
  <c r="D22" i="3"/>
  <c r="C30" i="3"/>
  <c r="C25" i="3"/>
  <c r="C3" i="1" l="1"/>
  <c r="D3" i="1" s="1"/>
  <c r="C14" i="1"/>
  <c r="D14" i="1" s="1"/>
  <c r="C6" i="1"/>
  <c r="D6" i="1" s="1"/>
  <c r="C13" i="1"/>
  <c r="D13" i="1" s="1"/>
  <c r="C5" i="1"/>
  <c r="D5" i="1" s="1"/>
  <c r="C12" i="1"/>
  <c r="D12" i="1" s="1"/>
  <c r="C4" i="1"/>
  <c r="D4" i="1" s="1"/>
  <c r="C11" i="1"/>
  <c r="D11" i="1" s="1"/>
  <c r="C10" i="1"/>
  <c r="D10" i="1" s="1"/>
  <c r="C7" i="1"/>
  <c r="D7" i="1" s="1"/>
  <c r="C9" i="1"/>
  <c r="D9" i="1" s="1"/>
  <c r="C8" i="1"/>
  <c r="D8" i="1" s="1"/>
  <c r="C2" i="1"/>
  <c r="D28" i="3" l="1"/>
  <c r="D29" i="3"/>
  <c r="D36" i="3" l="1"/>
  <c r="F36" i="3" s="1"/>
  <c r="D16" i="3"/>
  <c r="F16" i="3" s="1"/>
  <c r="F29" i="3"/>
  <c r="D11" i="3"/>
  <c r="F11" i="3" s="1"/>
  <c r="D14" i="3"/>
  <c r="F28" i="3"/>
  <c r="D17" i="3"/>
  <c r="F17" i="3" s="1"/>
  <c r="D30" i="3"/>
  <c r="D35" i="3"/>
  <c r="D15" i="3"/>
  <c r="F15" i="3" s="1"/>
  <c r="D9" i="3"/>
  <c r="F9" i="3" s="1"/>
  <c r="D7" i="3"/>
  <c r="F30" i="3" l="1"/>
  <c r="D12" i="3"/>
  <c r="F7" i="3"/>
  <c r="F12" i="3" s="1"/>
  <c r="D19" i="3"/>
  <c r="D21" i="3"/>
  <c r="D23" i="3" s="1"/>
  <c r="F14" i="3"/>
  <c r="D37" i="3"/>
  <c r="F35" i="3"/>
  <c r="F37" i="3" s="1"/>
  <c r="F19" i="3" l="1"/>
  <c r="F23" i="3" s="1"/>
  <c r="F21" i="3"/>
  <c r="F25" i="3"/>
  <c r="F31" i="3" s="1"/>
  <c r="D25" i="3"/>
  <c r="C16" i="1" l="1"/>
  <c r="D16" i="1" s="1"/>
  <c r="C19" i="1"/>
  <c r="D19" i="1" s="1"/>
  <c r="C18" i="1"/>
  <c r="D18" i="1" s="1"/>
  <c r="C17" i="1"/>
  <c r="D17" i="1" s="1"/>
  <c r="C15" i="1"/>
  <c r="D15" i="1" s="1"/>
  <c r="B2" i="1" l="1"/>
  <c r="D2" i="1" s="1"/>
  <c r="D20" i="1" s="1"/>
  <c r="T15" i="2" l="1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</calcChain>
</file>

<file path=xl/sharedStrings.xml><?xml version="1.0" encoding="utf-8"?>
<sst xmlns="http://schemas.openxmlformats.org/spreadsheetml/2006/main" count="79" uniqueCount="53">
  <si>
    <t>January 16 - 31, 2024</t>
  </si>
  <si>
    <t xml:space="preserve">Account No. </t>
  </si>
  <si>
    <t>Account Description</t>
  </si>
  <si>
    <t>PJM NITS Expense - Non-Affiliated</t>
  </si>
  <si>
    <t>PJM TO Serv Expense - Affiliated</t>
  </si>
  <si>
    <t>Firm and Non-Firm Point to Point Transmision Revenues</t>
  </si>
  <si>
    <t>RTO Formation Costs</t>
  </si>
  <si>
    <t>Purchase Power VCS Credit</t>
  </si>
  <si>
    <t>Network Integrated Transmission Service</t>
  </si>
  <si>
    <t>Schedule 1a Charges</t>
  </si>
  <si>
    <t>Transmission Enhancement Charges</t>
  </si>
  <si>
    <t>PJM NITS Expense - Affilated</t>
  </si>
  <si>
    <t>January 16-31, 2024</t>
  </si>
  <si>
    <t>Stranded Costs</t>
  </si>
  <si>
    <t>Amount Established in Base</t>
  </si>
  <si>
    <t>Total</t>
  </si>
  <si>
    <t>Month/Year</t>
  </si>
  <si>
    <t>PJM LSE OATT Expenses</t>
  </si>
  <si>
    <t>KPCo OATT Adjustment Workpaper</t>
  </si>
  <si>
    <t>TME March 2023</t>
  </si>
  <si>
    <t>Test Year</t>
  </si>
  <si>
    <t>Annualize 2023 Rates</t>
  </si>
  <si>
    <t>Adjustment to 2023 Rates</t>
  </si>
  <si>
    <t>A</t>
  </si>
  <si>
    <t>B</t>
  </si>
  <si>
    <t>C = B - A</t>
  </si>
  <si>
    <t>PJM Affiliated Trans NITS Cost</t>
  </si>
  <si>
    <t>PJM Affiliated Trans TO Cost</t>
  </si>
  <si>
    <t>Affil PJM Trans Enhancmnt Cost</t>
  </si>
  <si>
    <t>subtotal 456</t>
  </si>
  <si>
    <t>decrease 456 revenue</t>
  </si>
  <si>
    <t>PJM Trans Enhancement Charge</t>
  </si>
  <si>
    <t>PJM NITS Expense - Affiliated</t>
  </si>
  <si>
    <t>Affil PJM Trans Enhncement Exp</t>
  </si>
  <si>
    <t>sub total 565</t>
  </si>
  <si>
    <t>increase 565 expense</t>
  </si>
  <si>
    <t xml:space="preserve"> </t>
  </si>
  <si>
    <t>Total LSE OATT Expense Retail Demand</t>
  </si>
  <si>
    <t>Total LSE OATT Expense Retail Energy</t>
  </si>
  <si>
    <t>Total LSE OATT Expense</t>
  </si>
  <si>
    <t>Total Expense</t>
  </si>
  <si>
    <t>2023 Adjusted Amounts</t>
  </si>
  <si>
    <t>Adjustments</t>
  </si>
  <si>
    <t>NITS</t>
  </si>
  <si>
    <t>Transmission Enhancement</t>
  </si>
  <si>
    <t>Total PJM LSE OATT Expense</t>
  </si>
  <si>
    <t>Other Non-NITS</t>
  </si>
  <si>
    <t>Non-NITS</t>
  </si>
  <si>
    <t>20-Days Unadjusted, 8 Days Adjusted (Franklin Circuit Court Order)</t>
  </si>
  <si>
    <t>15-Days, Unadjusted</t>
  </si>
  <si>
    <t>Unadjusted</t>
  </si>
  <si>
    <t>Adjusted</t>
  </si>
  <si>
    <t>2023-00159 W23 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</si>
</sst>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7" fontId="5" fillId="0" borderId="0" xfId="0" applyNumberFormat="1" applyFont="1"/>
    <xf numFmtId="17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 wrapText="1"/>
    </xf>
    <xf numFmtId="164" fontId="5" fillId="0" borderId="0" xfId="1" applyNumberFormat="1" applyFont="1"/>
    <xf numFmtId="164" fontId="6" fillId="0" borderId="0" xfId="1" applyNumberFormat="1" applyFont="1"/>
    <xf numFmtId="164" fontId="5" fillId="0" borderId="0" xfId="0" applyNumberFormat="1" applyFont="1"/>
    <xf numFmtId="14" fontId="5" fillId="0" borderId="0" xfId="0" applyNumberFormat="1" applyFont="1"/>
    <xf numFmtId="0" fontId="5" fillId="0" borderId="0" xfId="0" applyNumberFormat="1" applyFont="1"/>
    <xf numFmtId="44" fontId="4" fillId="0" borderId="0" xfId="2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164" fontId="6" fillId="0" borderId="0" xfId="0" applyNumberFormat="1" applyFont="1"/>
    <xf numFmtId="164" fontId="5" fillId="0" borderId="0" xfId="1" applyNumberFormat="1" applyFont="1" applyFill="1"/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5" fontId="4" fillId="0" borderId="0" xfId="2" quotePrefix="1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165" fontId="4" fillId="0" borderId="0" xfId="2" applyNumberFormat="1" applyFont="1" applyFill="1"/>
    <xf numFmtId="165" fontId="4" fillId="0" borderId="0" xfId="0" applyNumberFormat="1" applyFont="1" applyFill="1"/>
    <xf numFmtId="9" fontId="4" fillId="0" borderId="0" xfId="3" applyFont="1" applyFill="1"/>
    <xf numFmtId="166" fontId="4" fillId="0" borderId="0" xfId="3" applyNumberFormat="1" applyFont="1" applyFill="1"/>
    <xf numFmtId="165" fontId="4" fillId="0" borderId="1" xfId="2" applyNumberFormat="1" applyFont="1" applyFill="1" applyBorder="1"/>
    <xf numFmtId="165" fontId="4" fillId="0" borderId="1" xfId="0" applyNumberFormat="1" applyFont="1" applyFill="1" applyBorder="1"/>
    <xf numFmtId="165" fontId="4" fillId="0" borderId="0" xfId="2" applyNumberFormat="1" applyFont="1" applyFill="1" applyBorder="1"/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164" fontId="4" fillId="0" borderId="0" xfId="1" applyNumberFormat="1" applyFont="1" applyFill="1" applyBorder="1"/>
    <xf numFmtId="44" fontId="4" fillId="0" borderId="0" xfId="2" applyFont="1" applyFill="1" applyBorder="1"/>
    <xf numFmtId="164" fontId="4" fillId="0" borderId="1" xfId="1" applyNumberFormat="1" applyFont="1" applyFill="1" applyBorder="1"/>
    <xf numFmtId="16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6" fontId="4" fillId="0" borderId="0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290792\Downloads\KPCO_R_KPSC_2_1_Attachment36_WalshWP16.xlsx" TargetMode="External"/><Relationship Id="rId1" Type="http://schemas.openxmlformats.org/officeDocument/2006/relationships/externalLinkPath" Target="file:///C:\Users\S290792\Downloads\KPCO_R_KPSC_2_1_Attachment36_WalshWP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justment"/>
      <sheetName val="ADJ-Calc"/>
      <sheetName val="2023 Rates"/>
      <sheetName val="12 CP FINAL"/>
      <sheetName val="Zonal Rates"/>
      <sheetName val="TransCo PJM Zonal Rates"/>
    </sheetNames>
    <sheetDataSet>
      <sheetData sheetId="0"/>
      <sheetData sheetId="1"/>
      <sheetData sheetId="2">
        <row r="17">
          <cell r="I17">
            <v>8294368.4078094866</v>
          </cell>
          <cell r="J17">
            <v>128209372.28515108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1599-ED5A-4710-948E-E6BCE2A6BF00}">
  <dimension ref="A1:F28"/>
  <sheetViews>
    <sheetView tabSelected="1" workbookViewId="0">
      <selection activeCell="F21" sqref="F21"/>
    </sheetView>
  </sheetViews>
  <sheetFormatPr defaultRowHeight="12.75" x14ac:dyDescent="0.2"/>
  <cols>
    <col min="1" max="1" width="16.7109375" style="4" bestFit="1" customWidth="1"/>
    <col min="2" max="2" width="16.28515625" style="12" customWidth="1"/>
    <col min="3" max="4" width="16.28515625" style="4" customWidth="1"/>
    <col min="5" max="5" width="9.140625" style="4"/>
    <col min="6" max="6" width="54.28515625" style="4" bestFit="1" customWidth="1"/>
    <col min="7" max="16384" width="9.140625" style="4"/>
  </cols>
  <sheetData>
    <row r="1" spans="1:6" s="8" customFormat="1" ht="27.75" customHeight="1" x14ac:dyDescent="0.2">
      <c r="A1" s="21" t="s">
        <v>16</v>
      </c>
      <c r="B1" s="22" t="s">
        <v>17</v>
      </c>
      <c r="C1" s="21" t="s">
        <v>14</v>
      </c>
      <c r="D1" s="21" t="s">
        <v>13</v>
      </c>
    </row>
    <row r="2" spans="1:6" x14ac:dyDescent="0.2">
      <c r="A2" s="5" t="s">
        <v>0</v>
      </c>
      <c r="B2" s="12">
        <f>12621269.38*(0.483870967741935)</f>
        <v>6107065.8290322591</v>
      </c>
      <c r="C2" s="12">
        <f>('Base PJM LSE OATT'!C23/12)*(15/31)</f>
        <v>4925159.3338709679</v>
      </c>
      <c r="D2" s="12">
        <f>+B2-C2</f>
        <v>1181906.4951612912</v>
      </c>
      <c r="F2" s="4" t="s">
        <v>49</v>
      </c>
    </row>
    <row r="3" spans="1:6" x14ac:dyDescent="0.2">
      <c r="A3" s="6">
        <v>45323</v>
      </c>
      <c r="B3" s="12">
        <v>11644960.57</v>
      </c>
      <c r="C3" s="12">
        <f>'Base PJM LSE OATT'!$C$23/12</f>
        <v>10178662.623333333</v>
      </c>
      <c r="D3" s="12">
        <f t="shared" ref="D3:D19" si="0">+B3-C3</f>
        <v>1466297.9466666672</v>
      </c>
      <c r="F3" s="4" t="s">
        <v>50</v>
      </c>
    </row>
    <row r="4" spans="1:6" x14ac:dyDescent="0.2">
      <c r="A4" s="7">
        <v>45352</v>
      </c>
      <c r="B4" s="12">
        <v>12590019.24</v>
      </c>
      <c r="C4" s="12">
        <f>'Base PJM LSE OATT'!$C$23/12</f>
        <v>10178662.623333333</v>
      </c>
      <c r="D4" s="12">
        <f t="shared" si="0"/>
        <v>2411356.6166666672</v>
      </c>
      <c r="F4" s="4" t="s">
        <v>50</v>
      </c>
    </row>
    <row r="5" spans="1:6" x14ac:dyDescent="0.2">
      <c r="A5" s="6">
        <v>45383</v>
      </c>
      <c r="B5" s="12">
        <v>12047751.169999998</v>
      </c>
      <c r="C5" s="12">
        <f>'Base PJM LSE OATT'!$C$23/12</f>
        <v>10178662.623333333</v>
      </c>
      <c r="D5" s="12">
        <f t="shared" si="0"/>
        <v>1869088.546666665</v>
      </c>
      <c r="F5" s="4" t="s">
        <v>50</v>
      </c>
    </row>
    <row r="6" spans="1:6" x14ac:dyDescent="0.2">
      <c r="A6" s="6">
        <v>45413</v>
      </c>
      <c r="B6" s="12">
        <v>12411015.789999999</v>
      </c>
      <c r="C6" s="12">
        <f>'Base PJM LSE OATT'!$C$23/12</f>
        <v>10178662.623333333</v>
      </c>
      <c r="D6" s="12">
        <f t="shared" si="0"/>
        <v>2232353.166666666</v>
      </c>
      <c r="F6" s="4" t="s">
        <v>50</v>
      </c>
    </row>
    <row r="7" spans="1:6" x14ac:dyDescent="0.2">
      <c r="A7" s="7">
        <v>45444</v>
      </c>
      <c r="B7" s="12">
        <v>12061379.659999998</v>
      </c>
      <c r="C7" s="12">
        <f>'Base PJM LSE OATT'!$C$23/12</f>
        <v>10178662.623333333</v>
      </c>
      <c r="D7" s="12">
        <f t="shared" si="0"/>
        <v>1882717.0366666652</v>
      </c>
      <c r="F7" s="4" t="s">
        <v>50</v>
      </c>
    </row>
    <row r="8" spans="1:6" x14ac:dyDescent="0.2">
      <c r="A8" s="6">
        <v>45474</v>
      </c>
      <c r="B8" s="12">
        <v>12484020.74</v>
      </c>
      <c r="C8" s="12">
        <f>'Base PJM LSE OATT'!$C$23/12</f>
        <v>10178662.623333333</v>
      </c>
      <c r="D8" s="12">
        <f t="shared" si="0"/>
        <v>2305358.1166666672</v>
      </c>
      <c r="F8" s="4" t="s">
        <v>50</v>
      </c>
    </row>
    <row r="9" spans="1:6" x14ac:dyDescent="0.2">
      <c r="A9" s="6">
        <v>45505</v>
      </c>
      <c r="B9" s="12">
        <v>12428695.74</v>
      </c>
      <c r="C9" s="12">
        <f>'Base PJM LSE OATT'!$C$23/12</f>
        <v>10178662.623333333</v>
      </c>
      <c r="D9" s="12">
        <f t="shared" si="0"/>
        <v>2250033.1166666672</v>
      </c>
      <c r="F9" s="4" t="s">
        <v>50</v>
      </c>
    </row>
    <row r="10" spans="1:6" x14ac:dyDescent="0.2">
      <c r="A10" s="7">
        <v>45536</v>
      </c>
      <c r="B10" s="12">
        <v>12030032.08</v>
      </c>
      <c r="C10" s="12">
        <f>'Base PJM LSE OATT'!$C$23/12</f>
        <v>10178662.623333333</v>
      </c>
      <c r="D10" s="12">
        <f t="shared" si="0"/>
        <v>1851369.456666667</v>
      </c>
      <c r="F10" s="4" t="s">
        <v>50</v>
      </c>
    </row>
    <row r="11" spans="1:6" x14ac:dyDescent="0.2">
      <c r="A11" s="6">
        <v>45566</v>
      </c>
      <c r="B11" s="12">
        <v>12447885.350000001</v>
      </c>
      <c r="C11" s="12">
        <f>'Base PJM LSE OATT'!$C$23/12</f>
        <v>10178662.623333333</v>
      </c>
      <c r="D11" s="12">
        <f t="shared" si="0"/>
        <v>2269222.7266666684</v>
      </c>
      <c r="F11" s="4" t="s">
        <v>50</v>
      </c>
    </row>
    <row r="12" spans="1:6" x14ac:dyDescent="0.2">
      <c r="A12" s="6">
        <v>45597</v>
      </c>
      <c r="B12" s="12">
        <v>12058670.879999999</v>
      </c>
      <c r="C12" s="12">
        <f>'Base PJM LSE OATT'!$C$23/12</f>
        <v>10178662.623333333</v>
      </c>
      <c r="D12" s="12">
        <f t="shared" si="0"/>
        <v>1880008.2566666659</v>
      </c>
      <c r="F12" s="4" t="s">
        <v>50</v>
      </c>
    </row>
    <row r="13" spans="1:6" x14ac:dyDescent="0.2">
      <c r="A13" s="7">
        <v>45627</v>
      </c>
      <c r="B13" s="12">
        <v>12470492.339999998</v>
      </c>
      <c r="C13" s="12">
        <f>'Base PJM LSE OATT'!$C$23/12</f>
        <v>10178662.623333333</v>
      </c>
      <c r="D13" s="12">
        <f t="shared" si="0"/>
        <v>2291829.7166666649</v>
      </c>
      <c r="F13" s="4" t="s">
        <v>50</v>
      </c>
    </row>
    <row r="14" spans="1:6" x14ac:dyDescent="0.2">
      <c r="A14" s="6">
        <v>45658</v>
      </c>
      <c r="B14" s="12">
        <v>12505471.790000001</v>
      </c>
      <c r="C14" s="12">
        <f>'Base PJM LSE OATT'!$C$23/12</f>
        <v>10178662.623333333</v>
      </c>
      <c r="D14" s="12">
        <f t="shared" si="0"/>
        <v>2326809.1666666679</v>
      </c>
      <c r="F14" s="4" t="s">
        <v>50</v>
      </c>
    </row>
    <row r="15" spans="1:6" x14ac:dyDescent="0.2">
      <c r="A15" s="6">
        <v>45689</v>
      </c>
      <c r="B15" s="20">
        <v>11244319.58</v>
      </c>
      <c r="C15" s="12">
        <f>(('Base PJM LSE OATT'!$C$23/12)*(20/28))+(('Base PJM LSE OATT'!D25/12)*(8/28))</f>
        <v>10517111.683880014</v>
      </c>
      <c r="D15" s="12">
        <f t="shared" si="0"/>
        <v>727207.89611998573</v>
      </c>
      <c r="F15" s="4" t="s">
        <v>48</v>
      </c>
    </row>
    <row r="16" spans="1:6" x14ac:dyDescent="0.2">
      <c r="A16" s="7">
        <v>45717</v>
      </c>
      <c r="B16" s="12">
        <v>12300101.420000002</v>
      </c>
      <c r="C16" s="12">
        <f>'Base PJM LSE OATT'!$D$25/12</f>
        <v>11363234.335246718</v>
      </c>
      <c r="D16" s="12">
        <f t="shared" si="0"/>
        <v>936867.08475328423</v>
      </c>
      <c r="F16" s="4" t="s">
        <v>51</v>
      </c>
    </row>
    <row r="17" spans="1:6" x14ac:dyDescent="0.2">
      <c r="A17" s="6">
        <v>45748</v>
      </c>
      <c r="B17" s="12">
        <v>12023695.220000001</v>
      </c>
      <c r="C17" s="12">
        <f>'Base PJM LSE OATT'!$D$25/12</f>
        <v>11363234.335246718</v>
      </c>
      <c r="D17" s="12">
        <f t="shared" si="0"/>
        <v>660460.88475328311</v>
      </c>
      <c r="F17" s="4" t="s">
        <v>51</v>
      </c>
    </row>
    <row r="18" spans="1:6" x14ac:dyDescent="0.2">
      <c r="A18" s="6">
        <v>45778</v>
      </c>
      <c r="B18" s="12">
        <v>12346418.16</v>
      </c>
      <c r="C18" s="12">
        <f>'Base PJM LSE OATT'!$D$25/12</f>
        <v>11363234.335246718</v>
      </c>
      <c r="D18" s="12">
        <f t="shared" si="0"/>
        <v>983183.82475328259</v>
      </c>
      <c r="F18" s="4" t="s">
        <v>51</v>
      </c>
    </row>
    <row r="19" spans="1:6" x14ac:dyDescent="0.2">
      <c r="A19" s="7">
        <v>45809</v>
      </c>
      <c r="B19" s="12">
        <v>11775762.540000001</v>
      </c>
      <c r="C19" s="12">
        <f>'Base PJM LSE OATT'!$D$25/12</f>
        <v>11363234.335246718</v>
      </c>
      <c r="D19" s="12">
        <f t="shared" si="0"/>
        <v>412528.20475328341</v>
      </c>
      <c r="F19" s="4" t="s">
        <v>51</v>
      </c>
    </row>
    <row r="20" spans="1:6" x14ac:dyDescent="0.2">
      <c r="A20" s="18" t="s">
        <v>15</v>
      </c>
      <c r="D20" s="19">
        <f>SUM(D2:D19)</f>
        <v>29938598.260294411</v>
      </c>
    </row>
    <row r="26" spans="1:6" x14ac:dyDescent="0.2">
      <c r="A26" s="15"/>
    </row>
    <row r="27" spans="1:6" x14ac:dyDescent="0.2">
      <c r="A27" s="15"/>
    </row>
    <row r="28" spans="1:6" x14ac:dyDescent="0.2">
      <c r="A28" s="16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7B5A-F704-4A98-9F14-E8CD12D7D8A6}">
  <dimension ref="A3:T16"/>
  <sheetViews>
    <sheetView workbookViewId="0">
      <selection activeCell="F32" sqref="F32"/>
    </sheetView>
  </sheetViews>
  <sheetFormatPr defaultRowHeight="12.75" x14ac:dyDescent="0.2"/>
  <cols>
    <col min="1" max="1" width="11.5703125" style="4" customWidth="1"/>
    <col min="2" max="2" width="45" style="4" bestFit="1" customWidth="1"/>
    <col min="3" max="20" width="12.5703125" style="4" customWidth="1"/>
    <col min="21" max="16384" width="9.140625" style="4"/>
  </cols>
  <sheetData>
    <row r="3" spans="1:20" s="10" customFormat="1" ht="34.5" customHeight="1" x14ac:dyDescent="0.25">
      <c r="A3" s="9" t="s">
        <v>1</v>
      </c>
      <c r="B3" s="9" t="s">
        <v>2</v>
      </c>
      <c r="C3" s="10" t="s">
        <v>12</v>
      </c>
      <c r="D3" s="11">
        <v>45323</v>
      </c>
      <c r="E3" s="11">
        <v>45352</v>
      </c>
      <c r="F3" s="11">
        <v>45383</v>
      </c>
      <c r="G3" s="11">
        <v>45413</v>
      </c>
      <c r="H3" s="11">
        <v>45444</v>
      </c>
      <c r="I3" s="11">
        <v>45474</v>
      </c>
      <c r="J3" s="11">
        <v>45505</v>
      </c>
      <c r="K3" s="11">
        <v>45536</v>
      </c>
      <c r="L3" s="11">
        <v>45566</v>
      </c>
      <c r="M3" s="11">
        <v>45597</v>
      </c>
      <c r="N3" s="11">
        <v>45627</v>
      </c>
      <c r="O3" s="11">
        <v>45658</v>
      </c>
      <c r="P3" s="11">
        <v>45689</v>
      </c>
      <c r="Q3" s="11">
        <v>45717</v>
      </c>
      <c r="R3" s="11">
        <v>45748</v>
      </c>
      <c r="S3" s="11">
        <v>45778</v>
      </c>
      <c r="T3" s="11">
        <v>45809</v>
      </c>
    </row>
    <row r="4" spans="1:20" x14ac:dyDescent="0.2">
      <c r="A4" s="1">
        <v>5650021</v>
      </c>
      <c r="B4" s="2" t="s">
        <v>3</v>
      </c>
      <c r="C4" s="12">
        <v>72919.290000000008</v>
      </c>
      <c r="D4" s="12">
        <v>71425.540000000008</v>
      </c>
      <c r="E4" s="12">
        <v>72269.990000000005</v>
      </c>
      <c r="F4" s="12">
        <v>72172.400000000009</v>
      </c>
      <c r="G4" s="12">
        <v>72270.009999999995</v>
      </c>
      <c r="H4" s="12">
        <v>72172.460000000006</v>
      </c>
      <c r="I4" s="12">
        <v>72347.77</v>
      </c>
      <c r="J4" s="12">
        <v>72425.39</v>
      </c>
      <c r="K4" s="12">
        <v>72250.12</v>
      </c>
      <c r="L4" s="12">
        <v>72347.680000000008</v>
      </c>
      <c r="M4" s="12">
        <v>72250.11</v>
      </c>
      <c r="N4" s="12">
        <v>78947.759999999995</v>
      </c>
      <c r="O4" s="12">
        <v>84543.12</v>
      </c>
      <c r="P4" s="12">
        <v>74451.600000000006</v>
      </c>
      <c r="Q4" s="12">
        <v>127048.53</v>
      </c>
      <c r="R4" s="12">
        <v>90871.650000000009</v>
      </c>
      <c r="S4" s="12">
        <v>91257.49</v>
      </c>
      <c r="T4" s="12">
        <v>90871.66</v>
      </c>
    </row>
    <row r="5" spans="1:20" x14ac:dyDescent="0.2">
      <c r="A5" s="1">
        <v>5650015</v>
      </c>
      <c r="B5" s="2" t="s">
        <v>4</v>
      </c>
      <c r="C5" s="12">
        <v>17805.91</v>
      </c>
      <c r="D5" s="12">
        <v>14028.62</v>
      </c>
      <c r="E5" s="12">
        <v>13616.74</v>
      </c>
      <c r="F5" s="12">
        <v>11770.97</v>
      </c>
      <c r="G5" s="12">
        <v>12613.19</v>
      </c>
      <c r="H5" s="12">
        <v>13746.02</v>
      </c>
      <c r="I5" s="12">
        <v>15142.11</v>
      </c>
      <c r="J5" s="12">
        <v>14278.87</v>
      </c>
      <c r="K5" s="12">
        <v>12454.03</v>
      </c>
      <c r="L5" s="12">
        <v>12289.300000000001</v>
      </c>
      <c r="M5" s="12">
        <v>12384.130000000001</v>
      </c>
      <c r="N5" s="12">
        <v>15917.140000000001</v>
      </c>
      <c r="O5" s="12">
        <v>19216.27</v>
      </c>
      <c r="P5" s="12">
        <v>14587.66</v>
      </c>
      <c r="Q5" s="12">
        <v>13698.220000000001</v>
      </c>
      <c r="R5" s="12">
        <v>12070.45</v>
      </c>
      <c r="S5" s="12">
        <v>11519.97</v>
      </c>
      <c r="T5" s="12">
        <v>13654.09</v>
      </c>
    </row>
    <row r="6" spans="1:20" x14ac:dyDescent="0.2">
      <c r="A6" s="1">
        <v>4561005</v>
      </c>
      <c r="B6" s="2" t="s">
        <v>5</v>
      </c>
      <c r="C6" s="12">
        <v>338660.56</v>
      </c>
      <c r="D6" s="12">
        <v>106665.92</v>
      </c>
      <c r="E6" s="12">
        <v>307667.74</v>
      </c>
      <c r="F6" s="12">
        <v>137109.12</v>
      </c>
      <c r="G6" s="12">
        <v>128057.65000000001</v>
      </c>
      <c r="H6" s="12">
        <v>154030.01</v>
      </c>
      <c r="I6" s="12">
        <v>204284.79</v>
      </c>
      <c r="J6" s="12">
        <v>148955.76999999999</v>
      </c>
      <c r="K6" s="12">
        <v>122543.96</v>
      </c>
      <c r="L6" s="12">
        <v>168119.25</v>
      </c>
      <c r="M6" s="12">
        <v>151074.75</v>
      </c>
      <c r="N6" s="12">
        <v>190746.49</v>
      </c>
      <c r="O6" s="12">
        <v>338806.06</v>
      </c>
      <c r="P6" s="12">
        <v>190931.29</v>
      </c>
      <c r="Q6" s="12">
        <v>125614.5</v>
      </c>
      <c r="R6" s="12">
        <v>225133.31</v>
      </c>
      <c r="S6" s="12">
        <v>177108.09</v>
      </c>
      <c r="T6" s="12">
        <v>-22977.47</v>
      </c>
    </row>
    <row r="7" spans="1:20" x14ac:dyDescent="0.2">
      <c r="A7" s="1">
        <v>4561002</v>
      </c>
      <c r="B7" s="2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</row>
    <row r="8" spans="1:20" x14ac:dyDescent="0.2">
      <c r="A8" s="1">
        <v>5550155</v>
      </c>
      <c r="B8" s="2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</row>
    <row r="9" spans="1:20" x14ac:dyDescent="0.2">
      <c r="A9" s="1">
        <v>4561035</v>
      </c>
      <c r="B9" s="3" t="s">
        <v>8</v>
      </c>
      <c r="C9" s="12">
        <v>5147379.34</v>
      </c>
      <c r="D9" s="12">
        <v>4813979.2</v>
      </c>
      <c r="E9" s="12">
        <v>5148028.9400000004</v>
      </c>
      <c r="F9" s="12">
        <v>4980679.2699999996</v>
      </c>
      <c r="G9" s="12">
        <v>5148028.9400000004</v>
      </c>
      <c r="H9" s="12">
        <v>4980679.2699999996</v>
      </c>
      <c r="I9" s="12">
        <v>5147951.29</v>
      </c>
      <c r="J9" s="12">
        <v>5147873.6399999997</v>
      </c>
      <c r="K9" s="12">
        <v>4980601.62</v>
      </c>
      <c r="L9" s="12">
        <v>5147951.29</v>
      </c>
      <c r="M9" s="12">
        <v>4980601.62</v>
      </c>
      <c r="N9" s="12">
        <v>5141351.21</v>
      </c>
      <c r="O9" s="12">
        <v>4916437.05</v>
      </c>
      <c r="P9" s="12">
        <v>4436559.62</v>
      </c>
      <c r="Q9" s="12">
        <v>4882865.9800000004</v>
      </c>
      <c r="R9" s="12">
        <v>4749763.6900000004</v>
      </c>
      <c r="S9" s="12">
        <v>4909722.83</v>
      </c>
      <c r="T9" s="12">
        <v>4749763.6900000004</v>
      </c>
    </row>
    <row r="10" spans="1:20" x14ac:dyDescent="0.2">
      <c r="A10" s="1">
        <v>4561036</v>
      </c>
      <c r="B10" s="2" t="s">
        <v>9</v>
      </c>
      <c r="C10" s="12">
        <v>-17823.75</v>
      </c>
      <c r="D10" s="12">
        <v>-13933.93</v>
      </c>
      <c r="E10" s="12">
        <v>-13518.48</v>
      </c>
      <c r="F10" s="12">
        <v>-11693.99</v>
      </c>
      <c r="G10" s="12">
        <v>-12552.66</v>
      </c>
      <c r="H10" s="12">
        <v>-13679.29</v>
      </c>
      <c r="I10" s="12">
        <v>-15090.25</v>
      </c>
      <c r="J10" s="12">
        <v>-14229.960000000001</v>
      </c>
      <c r="K10" s="12">
        <v>-12357.87</v>
      </c>
      <c r="L10" s="12">
        <v>-12207.23</v>
      </c>
      <c r="M10" s="12">
        <v>-12253.89</v>
      </c>
      <c r="N10" s="12">
        <v>-15781.37</v>
      </c>
      <c r="O10" s="12">
        <v>-11216.7</v>
      </c>
      <c r="P10" s="12">
        <v>-8542.7800000000007</v>
      </c>
      <c r="Q10" s="12">
        <v>-7998.52</v>
      </c>
      <c r="R10" s="12">
        <v>-7031.6900000000005</v>
      </c>
      <c r="S10" s="12">
        <v>-6746.27</v>
      </c>
      <c r="T10" s="12">
        <v>-7968.2300000000005</v>
      </c>
    </row>
    <row r="11" spans="1:20" x14ac:dyDescent="0.2">
      <c r="A11" s="1">
        <v>4561060</v>
      </c>
      <c r="B11" s="2" t="s">
        <v>10</v>
      </c>
      <c r="C11" s="12">
        <v>107360.58</v>
      </c>
      <c r="D11" s="12">
        <v>107360.58</v>
      </c>
      <c r="E11" s="12">
        <v>107360.58</v>
      </c>
      <c r="F11" s="12">
        <v>107360.58</v>
      </c>
      <c r="G11" s="12">
        <v>107360.58</v>
      </c>
      <c r="H11" s="12">
        <v>107360.58</v>
      </c>
      <c r="I11" s="12">
        <v>107360.58</v>
      </c>
      <c r="J11" s="12">
        <v>107360.58</v>
      </c>
      <c r="K11" s="12">
        <v>107360.58</v>
      </c>
      <c r="L11" s="12">
        <v>107360.58</v>
      </c>
      <c r="M11" s="12">
        <v>107360.58</v>
      </c>
      <c r="N11" s="12">
        <v>107360.58</v>
      </c>
      <c r="O11" s="12">
        <v>89401.67</v>
      </c>
      <c r="P11" s="12">
        <v>89401.67</v>
      </c>
      <c r="Q11" s="12">
        <v>89401.67</v>
      </c>
      <c r="R11" s="12">
        <v>89401.67</v>
      </c>
      <c r="S11" s="12">
        <v>89401.67</v>
      </c>
      <c r="T11" s="12">
        <v>89401.67</v>
      </c>
    </row>
    <row r="12" spans="1:20" x14ac:dyDescent="0.2">
      <c r="A12" s="1">
        <v>5650012</v>
      </c>
      <c r="B12" s="2" t="s">
        <v>10</v>
      </c>
      <c r="C12" s="12">
        <v>173455.56</v>
      </c>
      <c r="D12" s="12">
        <v>173773.47</v>
      </c>
      <c r="E12" s="12">
        <v>173081.5</v>
      </c>
      <c r="F12" s="12">
        <v>173766.30000000002</v>
      </c>
      <c r="G12" s="12">
        <v>173725.86000000002</v>
      </c>
      <c r="H12" s="12">
        <v>170484.08000000002</v>
      </c>
      <c r="I12" s="12">
        <v>170512.22</v>
      </c>
      <c r="J12" s="12">
        <v>170519.23</v>
      </c>
      <c r="K12" s="12">
        <v>170593.13</v>
      </c>
      <c r="L12" s="12">
        <v>170512.23</v>
      </c>
      <c r="M12" s="12">
        <v>170667.06</v>
      </c>
      <c r="N12" s="12">
        <v>170438.30000000002</v>
      </c>
      <c r="O12" s="12">
        <v>167900.46</v>
      </c>
      <c r="P12" s="12">
        <v>178658.29</v>
      </c>
      <c r="Q12" s="12">
        <v>169087.17</v>
      </c>
      <c r="R12" s="12">
        <v>173806.15</v>
      </c>
      <c r="S12" s="12">
        <v>173770.52</v>
      </c>
      <c r="T12" s="12">
        <v>173337.14</v>
      </c>
    </row>
    <row r="13" spans="1:20" x14ac:dyDescent="0.2">
      <c r="A13" s="1">
        <v>5650016</v>
      </c>
      <c r="B13" s="3" t="s">
        <v>11</v>
      </c>
      <c r="C13" s="12">
        <v>6323262.7699999996</v>
      </c>
      <c r="D13" s="12">
        <v>5913412.0600000005</v>
      </c>
      <c r="E13" s="12">
        <v>6323263.1100000003</v>
      </c>
      <c r="F13" s="12">
        <v>6118337.4100000001</v>
      </c>
      <c r="G13" s="12">
        <v>6323263.1100000003</v>
      </c>
      <c r="H13" s="12">
        <v>6118337.4100000001</v>
      </c>
      <c r="I13" s="12">
        <v>6323263.1100000003</v>
      </c>
      <c r="J13" s="12">
        <v>6323263.1100000003</v>
      </c>
      <c r="K13" s="12">
        <v>6118337.4100000001</v>
      </c>
      <c r="L13" s="12">
        <v>6323263.1100000003</v>
      </c>
      <c r="M13" s="12">
        <v>6118337.4100000001</v>
      </c>
      <c r="N13" s="12">
        <v>6323263.1100000003</v>
      </c>
      <c r="O13" s="12">
        <v>6501533.21</v>
      </c>
      <c r="P13" s="12">
        <v>5869421.5899999999</v>
      </c>
      <c r="Q13" s="12">
        <v>6501533.21</v>
      </c>
      <c r="R13" s="12">
        <v>6290829.3399999999</v>
      </c>
      <c r="S13" s="12">
        <v>6501533.21</v>
      </c>
      <c r="T13" s="12">
        <v>6290829.3399999999</v>
      </c>
    </row>
    <row r="14" spans="1:20" x14ac:dyDescent="0.2">
      <c r="A14" s="1">
        <v>5650019</v>
      </c>
      <c r="B14" s="2" t="s">
        <v>10</v>
      </c>
      <c r="C14" s="12">
        <v>458249.12</v>
      </c>
      <c r="D14" s="12">
        <v>458249.11</v>
      </c>
      <c r="E14" s="12">
        <v>458249.12</v>
      </c>
      <c r="F14" s="12">
        <v>458249.11</v>
      </c>
      <c r="G14" s="12">
        <v>458249.11</v>
      </c>
      <c r="H14" s="12">
        <v>458249.12</v>
      </c>
      <c r="I14" s="12">
        <v>458249.12</v>
      </c>
      <c r="J14" s="12">
        <v>458249.11</v>
      </c>
      <c r="K14" s="12">
        <v>458249.10000000003</v>
      </c>
      <c r="L14" s="12">
        <v>458249.14</v>
      </c>
      <c r="M14" s="12">
        <v>458249.11</v>
      </c>
      <c r="N14" s="12">
        <v>458249.12</v>
      </c>
      <c r="O14" s="12">
        <v>398850.65</v>
      </c>
      <c r="P14" s="12">
        <v>398850.64</v>
      </c>
      <c r="Q14" s="12">
        <v>398850.66000000003</v>
      </c>
      <c r="R14" s="12">
        <v>398850.65</v>
      </c>
      <c r="S14" s="12">
        <v>398850.65</v>
      </c>
      <c r="T14" s="12">
        <v>398850.65</v>
      </c>
    </row>
    <row r="15" spans="1:20" x14ac:dyDescent="0.2">
      <c r="A15" s="1"/>
      <c r="B15" s="2" t="s">
        <v>15</v>
      </c>
      <c r="C15" s="13">
        <f>SUM(C4:C14)</f>
        <v>12621269.379999997</v>
      </c>
      <c r="D15" s="13">
        <f t="shared" ref="D15:T15" si="0">SUM(D4:D14)</f>
        <v>11644960.57</v>
      </c>
      <c r="E15" s="13">
        <f t="shared" si="0"/>
        <v>12590019.24</v>
      </c>
      <c r="F15" s="13">
        <f t="shared" si="0"/>
        <v>12047751.169999998</v>
      </c>
      <c r="G15" s="13">
        <f t="shared" si="0"/>
        <v>12411015.789999999</v>
      </c>
      <c r="H15" s="13">
        <f t="shared" si="0"/>
        <v>12061379.659999998</v>
      </c>
      <c r="I15" s="13">
        <f t="shared" si="0"/>
        <v>12484020.74</v>
      </c>
      <c r="J15" s="13">
        <f t="shared" si="0"/>
        <v>12428695.74</v>
      </c>
      <c r="K15" s="13">
        <f t="shared" si="0"/>
        <v>12030032.08</v>
      </c>
      <c r="L15" s="13">
        <f t="shared" si="0"/>
        <v>12447885.350000001</v>
      </c>
      <c r="M15" s="13">
        <f t="shared" si="0"/>
        <v>12058670.879999999</v>
      </c>
      <c r="N15" s="13">
        <f t="shared" si="0"/>
        <v>12470492.339999998</v>
      </c>
      <c r="O15" s="13">
        <f t="shared" si="0"/>
        <v>12505471.790000001</v>
      </c>
      <c r="P15" s="13">
        <f t="shared" si="0"/>
        <v>11244319.58</v>
      </c>
      <c r="Q15" s="13">
        <f t="shared" si="0"/>
        <v>12300101.420000002</v>
      </c>
      <c r="R15" s="13">
        <f t="shared" si="0"/>
        <v>12023695.220000001</v>
      </c>
      <c r="S15" s="13">
        <f t="shared" si="0"/>
        <v>12346418.16</v>
      </c>
      <c r="T15" s="13">
        <f t="shared" si="0"/>
        <v>11775762.540000001</v>
      </c>
    </row>
    <row r="16" spans="1:20" x14ac:dyDescent="0.2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</sheetData>
  <pageMargins left="0.7" right="0.7" top="0.75" bottom="0.75" header="0.3" footer="0.3"/>
  <ignoredErrors>
    <ignoredError sqref="D15:T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C6657-F0CE-4401-BBB3-CE44F0D42886}">
  <dimension ref="A1:G41"/>
  <sheetViews>
    <sheetView workbookViewId="0">
      <selection activeCell="D34" sqref="D34"/>
    </sheetView>
  </sheetViews>
  <sheetFormatPr defaultRowHeight="12.75" x14ac:dyDescent="0.2"/>
  <cols>
    <col min="1" max="1" width="9.140625" style="24"/>
    <col min="2" max="2" width="48" style="24" bestFit="1" customWidth="1"/>
    <col min="3" max="3" width="19.7109375" style="24" customWidth="1"/>
    <col min="4" max="4" width="22.42578125" style="24" bestFit="1" customWidth="1"/>
    <col min="5" max="5" width="2.85546875" style="24" customWidth="1"/>
    <col min="6" max="6" width="22.7109375" style="24" bestFit="1" customWidth="1"/>
    <col min="7" max="7" width="9.140625" style="24"/>
    <col min="8" max="8" width="6" style="24" customWidth="1"/>
    <col min="9" max="16384" width="9.140625" style="24"/>
  </cols>
  <sheetData>
    <row r="1" spans="1:7" x14ac:dyDescent="0.2">
      <c r="A1" s="23" t="s">
        <v>52</v>
      </c>
    </row>
    <row r="2" spans="1:7" x14ac:dyDescent="0.2">
      <c r="A2" s="24" t="s">
        <v>18</v>
      </c>
    </row>
    <row r="4" spans="1:7" x14ac:dyDescent="0.2">
      <c r="C4" s="25" t="s">
        <v>19</v>
      </c>
    </row>
    <row r="5" spans="1:7" x14ac:dyDescent="0.2">
      <c r="C5" s="26" t="s">
        <v>20</v>
      </c>
      <c r="D5" s="26" t="s">
        <v>21</v>
      </c>
      <c r="E5" s="27"/>
      <c r="F5" s="26" t="s">
        <v>22</v>
      </c>
    </row>
    <row r="6" spans="1:7" x14ac:dyDescent="0.2">
      <c r="C6" s="28" t="s">
        <v>23</v>
      </c>
      <c r="D6" s="29" t="s">
        <v>24</v>
      </c>
      <c r="F6" s="30" t="s">
        <v>25</v>
      </c>
    </row>
    <row r="7" spans="1:7" x14ac:dyDescent="0.2">
      <c r="A7" s="24">
        <v>4561005</v>
      </c>
      <c r="B7" s="24" t="s">
        <v>5</v>
      </c>
      <c r="C7" s="31">
        <v>1274199.43</v>
      </c>
      <c r="D7" s="31">
        <f>G7*-$D$28</f>
        <v>1431546.8281620673</v>
      </c>
      <c r="E7" s="32"/>
      <c r="F7" s="32">
        <f>D7-C7</f>
        <v>157347.3981620674</v>
      </c>
      <c r="G7" s="33">
        <f>-C7/$C$28</f>
        <v>-1.116569563243908E-2</v>
      </c>
    </row>
    <row r="8" spans="1:7" x14ac:dyDescent="0.2">
      <c r="A8" s="24">
        <v>4561002</v>
      </c>
      <c r="B8" s="24" t="s">
        <v>6</v>
      </c>
      <c r="C8" s="31">
        <v>0</v>
      </c>
      <c r="D8" s="31">
        <f>C8</f>
        <v>0</v>
      </c>
      <c r="E8" s="32"/>
      <c r="F8" s="32">
        <f>D8-C8</f>
        <v>0</v>
      </c>
    </row>
    <row r="9" spans="1:7" x14ac:dyDescent="0.2">
      <c r="A9" s="24">
        <v>4561035</v>
      </c>
      <c r="B9" s="24" t="s">
        <v>26</v>
      </c>
      <c r="C9" s="31">
        <v>-52318907.969999999</v>
      </c>
      <c r="D9" s="31">
        <f>G9*-$D$28</f>
        <v>-58779626.637689374</v>
      </c>
      <c r="E9" s="32"/>
      <c r="F9" s="32">
        <f>D9-C9</f>
        <v>-6460718.6676893756</v>
      </c>
      <c r="G9" s="33">
        <f>-C9/$C$28</f>
        <v>0.45846591079907423</v>
      </c>
    </row>
    <row r="10" spans="1:7" x14ac:dyDescent="0.2">
      <c r="A10" s="24">
        <v>4561036</v>
      </c>
      <c r="B10" s="24" t="s">
        <v>27</v>
      </c>
      <c r="C10" s="31">
        <v>218761.7</v>
      </c>
      <c r="D10" s="31">
        <f>C10</f>
        <v>218761.7</v>
      </c>
      <c r="E10" s="32"/>
      <c r="F10" s="32">
        <f>D10-C10</f>
        <v>0</v>
      </c>
      <c r="G10" s="34"/>
    </row>
    <row r="11" spans="1:7" x14ac:dyDescent="0.2">
      <c r="A11" s="24">
        <v>4561060</v>
      </c>
      <c r="B11" s="24" t="s">
        <v>28</v>
      </c>
      <c r="C11" s="35">
        <v>-1178146.8</v>
      </c>
      <c r="D11" s="35">
        <f>G11*-$D$29</f>
        <v>-1195855.0709725684</v>
      </c>
      <c r="E11" s="36"/>
      <c r="F11" s="36">
        <f>D11-C11</f>
        <v>-17708.270972568309</v>
      </c>
      <c r="G11" s="33">
        <f>-C11/$C$29</f>
        <v>0.14417674887054957</v>
      </c>
    </row>
    <row r="12" spans="1:7" x14ac:dyDescent="0.2">
      <c r="A12" s="24" t="s">
        <v>29</v>
      </c>
      <c r="C12" s="31">
        <f>SUM(C7:C11)</f>
        <v>-52004093.639999993</v>
      </c>
      <c r="D12" s="31">
        <f>SUM(D7:D11)</f>
        <v>-58325173.180499874</v>
      </c>
      <c r="E12" s="32"/>
      <c r="F12" s="31">
        <f>SUM(F7:F11)</f>
        <v>-6321079.5404998772</v>
      </c>
      <c r="G12" s="24" t="s">
        <v>30</v>
      </c>
    </row>
    <row r="13" spans="1:7" x14ac:dyDescent="0.2">
      <c r="C13" s="31"/>
      <c r="D13" s="31"/>
    </row>
    <row r="14" spans="1:7" x14ac:dyDescent="0.2">
      <c r="A14" s="24">
        <v>5650012</v>
      </c>
      <c r="B14" s="24" t="s">
        <v>31</v>
      </c>
      <c r="C14" s="31">
        <v>1769370.2500000002</v>
      </c>
      <c r="D14" s="37">
        <f>G14*$D$29</f>
        <v>1795964.9730326487</v>
      </c>
      <c r="E14" s="32"/>
      <c r="F14" s="32">
        <f>D14-C14</f>
        <v>26594.723032648442</v>
      </c>
      <c r="G14" s="33">
        <f>C14/C29</f>
        <v>0.21652823756196726</v>
      </c>
    </row>
    <row r="15" spans="1:7" x14ac:dyDescent="0.2">
      <c r="A15" s="24">
        <v>5650016</v>
      </c>
      <c r="B15" s="24" t="s">
        <v>32</v>
      </c>
      <c r="C15" s="31">
        <v>62343822.530000001</v>
      </c>
      <c r="D15" s="31">
        <f>G15*$D$28</f>
        <v>70042490.443054393</v>
      </c>
      <c r="E15" s="32"/>
      <c r="F15" s="32">
        <f>D15-C15</f>
        <v>7698667.9130543917</v>
      </c>
      <c r="G15" s="33">
        <f>C15/$C$28</f>
        <v>0.54631334039505752</v>
      </c>
    </row>
    <row r="16" spans="1:7" x14ac:dyDescent="0.2">
      <c r="A16" s="24">
        <v>5650019</v>
      </c>
      <c r="B16" s="24" t="s">
        <v>33</v>
      </c>
      <c r="C16" s="37">
        <v>5224028.0100000007</v>
      </c>
      <c r="D16" s="31">
        <f>G16*$D$29</f>
        <v>5302548.3638042696</v>
      </c>
      <c r="E16" s="32"/>
      <c r="F16" s="32">
        <f>D16-C16</f>
        <v>78520.353804268874</v>
      </c>
      <c r="G16" s="33">
        <f>C16/$C$29</f>
        <v>0.63929501356748319</v>
      </c>
    </row>
    <row r="17" spans="1:7" x14ac:dyDescent="0.2">
      <c r="A17" s="24">
        <v>5650021</v>
      </c>
      <c r="B17" s="24" t="s">
        <v>3</v>
      </c>
      <c r="C17" s="37">
        <v>728804.0199999999</v>
      </c>
      <c r="D17" s="31">
        <f>G17*$D$28</f>
        <v>818802.03256939456</v>
      </c>
      <c r="E17" s="32"/>
      <c r="F17" s="32">
        <f>D17-C17</f>
        <v>89998.012569394661</v>
      </c>
      <c r="G17" s="33">
        <f>C17/$C$28</f>
        <v>6.3864444383074665E-3</v>
      </c>
    </row>
    <row r="18" spans="1:7" x14ac:dyDescent="0.2">
      <c r="A18" s="24">
        <v>5650015</v>
      </c>
      <c r="B18" s="24" t="s">
        <v>4</v>
      </c>
      <c r="C18" s="35">
        <v>73833.029999999984</v>
      </c>
      <c r="D18" s="35">
        <f>C18</f>
        <v>73833.029999999984</v>
      </c>
      <c r="E18" s="36"/>
      <c r="F18" s="36">
        <f>D18-C18</f>
        <v>0</v>
      </c>
      <c r="G18" s="33"/>
    </row>
    <row r="19" spans="1:7" x14ac:dyDescent="0.2">
      <c r="A19" s="24" t="s">
        <v>34</v>
      </c>
      <c r="C19" s="31">
        <f>SUM(C14:C18)</f>
        <v>70139857.840000004</v>
      </c>
      <c r="D19" s="31">
        <f>SUM(D14:D18)</f>
        <v>78033638.842460707</v>
      </c>
      <c r="E19" s="32"/>
      <c r="F19" s="31">
        <f>SUM(F14:F18)</f>
        <v>7893781.0024607042</v>
      </c>
      <c r="G19" s="24" t="s">
        <v>35</v>
      </c>
    </row>
    <row r="20" spans="1:7" x14ac:dyDescent="0.2">
      <c r="A20" s="24" t="s">
        <v>36</v>
      </c>
      <c r="C20" s="31"/>
      <c r="D20" s="31"/>
      <c r="E20" s="32"/>
      <c r="F20" s="32"/>
    </row>
    <row r="21" spans="1:7" x14ac:dyDescent="0.2">
      <c r="A21" s="24" t="s">
        <v>37</v>
      </c>
      <c r="C21" s="31">
        <f>SUM(C14:C17)-SUM(C7:C9,C11)</f>
        <v>122288880.15000001</v>
      </c>
      <c r="D21" s="31">
        <f>SUM(D14:D17)-SUM(D7:D9,D11)</f>
        <v>136503740.69296059</v>
      </c>
      <c r="E21" s="31"/>
      <c r="F21" s="31">
        <f>SUM(F14:F17)-SUM(F7:F9,F11)</f>
        <v>14214860.54296058</v>
      </c>
    </row>
    <row r="22" spans="1:7" x14ac:dyDescent="0.2">
      <c r="A22" s="24" t="s">
        <v>38</v>
      </c>
      <c r="C22" s="35">
        <f>-C10+C18</f>
        <v>-144928.67000000004</v>
      </c>
      <c r="D22" s="35">
        <f>-D10+D18</f>
        <v>-144928.67000000004</v>
      </c>
      <c r="E22" s="35"/>
      <c r="F22" s="35">
        <f>-F10+F18</f>
        <v>0</v>
      </c>
    </row>
    <row r="23" spans="1:7" x14ac:dyDescent="0.2">
      <c r="A23" s="24" t="s">
        <v>39</v>
      </c>
      <c r="C23" s="31">
        <f>C22+C21</f>
        <v>122143951.48</v>
      </c>
      <c r="D23" s="31">
        <f>D22+D21</f>
        <v>136358812.0229606</v>
      </c>
      <c r="E23" s="32"/>
      <c r="F23" s="31">
        <f>F19-F12</f>
        <v>14214860.54296058</v>
      </c>
    </row>
    <row r="24" spans="1:7" x14ac:dyDescent="0.2">
      <c r="F24" s="32"/>
    </row>
    <row r="25" spans="1:7" x14ac:dyDescent="0.2">
      <c r="B25" s="24" t="s">
        <v>40</v>
      </c>
      <c r="C25" s="38">
        <f>-C12+C19</f>
        <v>122143951.47999999</v>
      </c>
      <c r="D25" s="32">
        <f>D23</f>
        <v>136358812.0229606</v>
      </c>
      <c r="F25" s="32">
        <f>D23-C23</f>
        <v>14214860.542960599</v>
      </c>
    </row>
    <row r="26" spans="1:7" x14ac:dyDescent="0.2">
      <c r="D26" s="32"/>
    </row>
    <row r="27" spans="1:7" x14ac:dyDescent="0.2">
      <c r="C27" s="39" t="s">
        <v>20</v>
      </c>
      <c r="D27" s="17" t="s">
        <v>41</v>
      </c>
      <c r="F27" s="17" t="s">
        <v>42</v>
      </c>
    </row>
    <row r="28" spans="1:7" x14ac:dyDescent="0.2">
      <c r="B28" s="24" t="s">
        <v>43</v>
      </c>
      <c r="C28" s="32">
        <f>-C9+C15+C17+-C7</f>
        <v>114117335.08999999</v>
      </c>
      <c r="D28" s="40">
        <f>'[1]2023 Rates'!J17</f>
        <v>128209372.28515108</v>
      </c>
      <c r="F28" s="41">
        <f>D28-C28</f>
        <v>14092037.195151091</v>
      </c>
    </row>
    <row r="29" spans="1:7" x14ac:dyDescent="0.2">
      <c r="B29" s="27" t="s">
        <v>44</v>
      </c>
      <c r="C29" s="42">
        <f>-C11+C14+C16</f>
        <v>8171545.0600000005</v>
      </c>
      <c r="D29" s="42">
        <f>'[1]2023 Rates'!I17</f>
        <v>8294368.4078094866</v>
      </c>
      <c r="F29" s="36">
        <f>D29-C29</f>
        <v>122823.34780948609</v>
      </c>
    </row>
    <row r="30" spans="1:7" x14ac:dyDescent="0.2">
      <c r="B30" s="24" t="s">
        <v>45</v>
      </c>
      <c r="C30" s="43">
        <f>SUM(C28:C29)</f>
        <v>122288880.14999999</v>
      </c>
      <c r="D30" s="43">
        <f>SUM(D28:D29)</f>
        <v>136503740.69296056</v>
      </c>
      <c r="F30" s="44">
        <f>F28+F29</f>
        <v>14214860.542960577</v>
      </c>
    </row>
    <row r="31" spans="1:7" x14ac:dyDescent="0.2">
      <c r="C31" s="37"/>
      <c r="D31" s="37"/>
      <c r="F31" s="44">
        <f>F25-F30</f>
        <v>2.2351741790771484E-8</v>
      </c>
    </row>
    <row r="32" spans="1:7" x14ac:dyDescent="0.2">
      <c r="B32" s="24" t="s">
        <v>46</v>
      </c>
      <c r="C32" s="37">
        <f>-C10+C18</f>
        <v>-144928.67000000004</v>
      </c>
      <c r="D32" s="37">
        <f>-D10+D18</f>
        <v>-144928.67000000004</v>
      </c>
      <c r="F32" s="41">
        <f>D32-C32</f>
        <v>0</v>
      </c>
    </row>
    <row r="33" spans="2:6" x14ac:dyDescent="0.2">
      <c r="C33" s="37"/>
      <c r="D33" s="45"/>
    </row>
    <row r="34" spans="2:6" x14ac:dyDescent="0.2">
      <c r="C34" s="39" t="s">
        <v>20</v>
      </c>
      <c r="D34" s="17" t="s">
        <v>41</v>
      </c>
      <c r="F34" s="17" t="s">
        <v>42</v>
      </c>
    </row>
    <row r="35" spans="2:6" x14ac:dyDescent="0.2">
      <c r="B35" s="24" t="s">
        <v>43</v>
      </c>
      <c r="C35" s="37">
        <f>C28</f>
        <v>114117335.08999999</v>
      </c>
      <c r="D35" s="37">
        <f>D28</f>
        <v>128209372.28515108</v>
      </c>
      <c r="F35" s="32">
        <f>D35-C35</f>
        <v>14092037.195151091</v>
      </c>
    </row>
    <row r="36" spans="2:6" x14ac:dyDescent="0.2">
      <c r="B36" s="24" t="s">
        <v>47</v>
      </c>
      <c r="C36" s="35">
        <f>C29+C32</f>
        <v>8026616.3900000006</v>
      </c>
      <c r="D36" s="35">
        <f>D29+D32</f>
        <v>8149439.7378094867</v>
      </c>
      <c r="F36" s="36">
        <f>D36-C36</f>
        <v>122823.34780948609</v>
      </c>
    </row>
    <row r="37" spans="2:6" x14ac:dyDescent="0.2">
      <c r="C37" s="37">
        <f>SUM(C35:C36)</f>
        <v>122143951.47999999</v>
      </c>
      <c r="D37" s="37">
        <f>SUM(D35:D36)</f>
        <v>136358812.02296057</v>
      </c>
      <c r="F37" s="32">
        <f>SUM(F35:F36)</f>
        <v>14214860.542960577</v>
      </c>
    </row>
    <row r="38" spans="2:6" x14ac:dyDescent="0.2">
      <c r="C38" s="37"/>
      <c r="D38" s="37"/>
    </row>
    <row r="39" spans="2:6" x14ac:dyDescent="0.2">
      <c r="C39" s="37"/>
      <c r="D39" s="37"/>
    </row>
    <row r="40" spans="2:6" x14ac:dyDescent="0.2">
      <c r="C40" s="37"/>
      <c r="D40" s="37"/>
    </row>
    <row r="41" spans="2:6" x14ac:dyDescent="0.2">
      <c r="C41" s="37"/>
      <c r="D41" s="37"/>
      <c r="E41" s="32"/>
      <c r="F41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A3OTI8L1VzZXJOYW1lPjxEYXRlVGltZT44LzUvMjAyNSAxMjo1Mjo0M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0B818078-C353-4691-B04A-501374D29EC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EA7023F3-9A16-454E-BA71-F09BD9D0130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Expenses by Account</vt:lpstr>
      <vt:lpstr>Base PJM LSE OATT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Lerah M Kahn</dc:creator>
  <cp:lastModifiedBy>Lerah M Kahn</cp:lastModifiedBy>
  <dcterms:created xsi:type="dcterms:W3CDTF">2025-08-05T12:11:32Z</dcterms:created>
  <dcterms:modified xsi:type="dcterms:W3CDTF">2025-08-06T14:45:06Z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1b51096a-f4cf-4e6b-9f54-da43f3a573a0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{0B818078-C353-4691-B04A-501374D29EC4}</vt:lpwstr>
  </property>
</Properties>
</file>